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A97C1A1D-B0F2-4F1F-9EDC-B8B77A4A6840}" xr6:coauthVersionLast="47" xr6:coauthVersionMax="47" xr10:uidLastSave="{00000000-0000-0000-0000-000000000000}"/>
  <bookViews>
    <workbookView xWindow="-108" yWindow="-108" windowWidth="23256" windowHeight="12576" tabRatio="593" firstSheet="1" activeTab="5" xr2:uid="{00000000-000D-0000-FFFF-FFFF00000000}"/>
  </bookViews>
  <sheets>
    <sheet name="SGV" sheetId="10" state="veryHidden" r:id="rId1"/>
    <sheet name="Bieu TH" sheetId="13" r:id="rId2"/>
    <sheet name="178 khoi tinh" sheetId="4" r:id="rId3"/>
    <sheet name="178Khoi xa" sheetId="14" r:id="rId4"/>
    <sheet name="154" sheetId="12" r:id="rId5"/>
    <sheet name="177" sheetId="11" r:id="rId6"/>
  </sheets>
  <externalReferences>
    <externalReference r:id="rId7"/>
    <externalReference r:id="rId8"/>
  </externalReferences>
  <definedNames>
    <definedName name="_xlnm.Print_Area" localSheetId="5">'177'!$A$1:$AJ$14</definedName>
    <definedName name="_xlnm.Print_Area" localSheetId="2">'178 khoi tinh'!$A$1:$AJ$35</definedName>
    <definedName name="_xlnm.Print_Titles" localSheetId="4">'154'!$5:$6</definedName>
    <definedName name="_xlnm.Print_Titles" localSheetId="5">'177'!$6:$8</definedName>
    <definedName name="_xlnm.Print_Titles" localSheetId="2">'178 khoi tinh'!$6:$8</definedName>
    <definedName name="_xlnm.Print_Titles" localSheetId="3">'178Khoi xa'!$6:$9</definedName>
    <definedName name="_xlnm.Print_Titles" localSheetId="1">'Bieu TH'!$5:$8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3" l="1"/>
  <c r="H11" i="13"/>
  <c r="I11" i="13"/>
  <c r="L11" i="13"/>
  <c r="K26" i="13"/>
  <c r="L26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 l="1"/>
  <c r="L10" i="13"/>
  <c r="M391" i="14"/>
  <c r="O391" i="14" s="1"/>
  <c r="R391" i="14"/>
  <c r="U391" i="14"/>
  <c r="V391" i="14"/>
  <c r="AH391" i="14"/>
  <c r="M145" i="14"/>
  <c r="O145" i="14" s="1"/>
  <c r="R145" i="14"/>
  <c r="U145" i="14"/>
  <c r="V145" i="14"/>
  <c r="M271" i="14"/>
  <c r="O271" i="14" s="1"/>
  <c r="R271" i="14"/>
  <c r="U271" i="14"/>
  <c r="V271" i="14"/>
  <c r="AG271" i="14"/>
  <c r="M356" i="14"/>
  <c r="O356" i="14" s="1"/>
  <c r="R356" i="14"/>
  <c r="U356" i="14"/>
  <c r="V356" i="14"/>
  <c r="AH356" i="14"/>
  <c r="AB145" i="14" l="1"/>
  <c r="AB391" i="14"/>
  <c r="AA391" i="14"/>
  <c r="Z391" i="14" s="1"/>
  <c r="Y145" i="14"/>
  <c r="Y391" i="14"/>
  <c r="AA145" i="14"/>
  <c r="AB356" i="14"/>
  <c r="Y356" i="14"/>
  <c r="AE271" i="14"/>
  <c r="AD271" i="14"/>
  <c r="AA356" i="14"/>
  <c r="AF271" i="14"/>
  <c r="G28" i="13"/>
  <c r="G29" i="13"/>
  <c r="G30" i="13"/>
  <c r="G31" i="13"/>
  <c r="G32" i="13"/>
  <c r="G33" i="13"/>
  <c r="G34" i="13"/>
  <c r="G35" i="13"/>
  <c r="G36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3" i="13"/>
  <c r="G74" i="13"/>
  <c r="G75" i="13"/>
  <c r="G76" i="13"/>
  <c r="G77" i="13"/>
  <c r="G79" i="13"/>
  <c r="G80" i="13"/>
  <c r="G81" i="13"/>
  <c r="G82" i="13"/>
  <c r="G27" i="13"/>
  <c r="M26" i="13"/>
  <c r="M11" i="13"/>
  <c r="Z145" i="14" l="1"/>
  <c r="AG145" i="14" s="1"/>
  <c r="AJ145" i="14" s="1"/>
  <c r="AG391" i="14"/>
  <c r="AJ391" i="14" s="1"/>
  <c r="Z356" i="14"/>
  <c r="AG356" i="14" s="1"/>
  <c r="AJ356" i="14" s="1"/>
  <c r="AC271" i="14"/>
  <c r="V394" i="14"/>
  <c r="U394" i="14"/>
  <c r="R394" i="14"/>
  <c r="M394" i="14"/>
  <c r="O394" i="14" s="1"/>
  <c r="AG393" i="14"/>
  <c r="V393" i="14"/>
  <c r="U393" i="14"/>
  <c r="R393" i="14"/>
  <c r="M393" i="14"/>
  <c r="O393" i="14" s="1"/>
  <c r="AF393" i="14" s="1"/>
  <c r="AH392" i="14"/>
  <c r="V392" i="14"/>
  <c r="U392" i="14"/>
  <c r="R392" i="14"/>
  <c r="M392" i="14"/>
  <c r="O392" i="14" s="1"/>
  <c r="Y392" i="14" s="1"/>
  <c r="AI390" i="14"/>
  <c r="O390" i="14"/>
  <c r="AG389" i="14"/>
  <c r="V389" i="14"/>
  <c r="U389" i="14"/>
  <c r="R389" i="14"/>
  <c r="M389" i="14"/>
  <c r="O389" i="14" s="1"/>
  <c r="V388" i="14"/>
  <c r="U388" i="14"/>
  <c r="R388" i="14"/>
  <c r="O388" i="14"/>
  <c r="V387" i="14"/>
  <c r="U387" i="14"/>
  <c r="R387" i="14"/>
  <c r="O387" i="14"/>
  <c r="AD387" i="14" s="1"/>
  <c r="V386" i="14"/>
  <c r="U386" i="14"/>
  <c r="R386" i="14"/>
  <c r="O386" i="14"/>
  <c r="V385" i="14"/>
  <c r="U385" i="14"/>
  <c r="R385" i="14"/>
  <c r="M385" i="14"/>
  <c r="O385" i="14" s="1"/>
  <c r="V384" i="14"/>
  <c r="U384" i="14"/>
  <c r="R384" i="14"/>
  <c r="M384" i="14"/>
  <c r="O384" i="14" s="1"/>
  <c r="V383" i="14"/>
  <c r="U383" i="14"/>
  <c r="R383" i="14"/>
  <c r="M383" i="14"/>
  <c r="O383" i="14" s="1"/>
  <c r="AH382" i="14"/>
  <c r="V382" i="14"/>
  <c r="U382" i="14"/>
  <c r="R382" i="14"/>
  <c r="I382" i="14"/>
  <c r="O382" i="14" s="1"/>
  <c r="Y382" i="14" s="1"/>
  <c r="AH381" i="14"/>
  <c r="V381" i="14"/>
  <c r="U381" i="14"/>
  <c r="R381" i="14"/>
  <c r="M381" i="14"/>
  <c r="O381" i="14" s="1"/>
  <c r="Y381" i="14" s="1"/>
  <c r="AH380" i="14"/>
  <c r="V380" i="14"/>
  <c r="U380" i="14"/>
  <c r="R380" i="14"/>
  <c r="M380" i="14"/>
  <c r="O380" i="14" s="1"/>
  <c r="Y380" i="14" s="1"/>
  <c r="AI379" i="14"/>
  <c r="O379" i="14"/>
  <c r="AG378" i="14"/>
  <c r="V378" i="14"/>
  <c r="U378" i="14"/>
  <c r="R378" i="14"/>
  <c r="M378" i="14"/>
  <c r="O378" i="14" s="1"/>
  <c r="AG377" i="14"/>
  <c r="V377" i="14"/>
  <c r="U377" i="14"/>
  <c r="R377" i="14"/>
  <c r="M377" i="14"/>
  <c r="O377" i="14" s="1"/>
  <c r="AD377" i="14" s="1"/>
  <c r="AH376" i="14"/>
  <c r="V376" i="14"/>
  <c r="U376" i="14"/>
  <c r="R376" i="14"/>
  <c r="M376" i="14"/>
  <c r="O376" i="14" s="1"/>
  <c r="AI375" i="14"/>
  <c r="O375" i="14"/>
  <c r="AG374" i="14"/>
  <c r="V374" i="14"/>
  <c r="U374" i="14"/>
  <c r="R374" i="14"/>
  <c r="M374" i="14"/>
  <c r="O374" i="14" s="1"/>
  <c r="AD374" i="14" s="1"/>
  <c r="AG373" i="14"/>
  <c r="V373" i="14"/>
  <c r="U373" i="14"/>
  <c r="R373" i="14"/>
  <c r="M373" i="14"/>
  <c r="O373" i="14" s="1"/>
  <c r="V372" i="14"/>
  <c r="U372" i="14"/>
  <c r="R372" i="14"/>
  <c r="M372" i="14"/>
  <c r="O372" i="14" s="1"/>
  <c r="V371" i="14"/>
  <c r="U371" i="14"/>
  <c r="R371" i="14"/>
  <c r="M371" i="14"/>
  <c r="O371" i="14" s="1"/>
  <c r="AG370" i="14"/>
  <c r="V370" i="14"/>
  <c r="U370" i="14"/>
  <c r="R370" i="14"/>
  <c r="M370" i="14"/>
  <c r="O370" i="14" s="1"/>
  <c r="AG369" i="14"/>
  <c r="V369" i="14"/>
  <c r="U369" i="14"/>
  <c r="R369" i="14"/>
  <c r="M369" i="14"/>
  <c r="L369" i="14"/>
  <c r="AG368" i="14"/>
  <c r="V368" i="14"/>
  <c r="U368" i="14"/>
  <c r="R368" i="14"/>
  <c r="M368" i="14"/>
  <c r="L368" i="14"/>
  <c r="AG367" i="14"/>
  <c r="V367" i="14"/>
  <c r="U367" i="14"/>
  <c r="R367" i="14"/>
  <c r="M367" i="14"/>
  <c r="O367" i="14" s="1"/>
  <c r="AG366" i="14"/>
  <c r="V366" i="14"/>
  <c r="U366" i="14"/>
  <c r="R366" i="14"/>
  <c r="M366" i="14"/>
  <c r="O366" i="14" s="1"/>
  <c r="AI365" i="14"/>
  <c r="AB365" i="14"/>
  <c r="AA365" i="14"/>
  <c r="Z365" i="14"/>
  <c r="Y365" i="14"/>
  <c r="O365" i="14"/>
  <c r="V364" i="14"/>
  <c r="U364" i="14"/>
  <c r="R364" i="14"/>
  <c r="M364" i="14"/>
  <c r="O364" i="14" s="1"/>
  <c r="V363" i="14"/>
  <c r="U363" i="14"/>
  <c r="R363" i="14"/>
  <c r="M363" i="14"/>
  <c r="O363" i="14" s="1"/>
  <c r="V362" i="14"/>
  <c r="U362" i="14"/>
  <c r="R362" i="14"/>
  <c r="M362" i="14"/>
  <c r="O362" i="14" s="1"/>
  <c r="AG361" i="14"/>
  <c r="V361" i="14"/>
  <c r="U361" i="14"/>
  <c r="R361" i="14"/>
  <c r="M361" i="14"/>
  <c r="O361" i="14" s="1"/>
  <c r="AH360" i="14"/>
  <c r="V360" i="14"/>
  <c r="U360" i="14"/>
  <c r="R360" i="14"/>
  <c r="M360" i="14"/>
  <c r="O360" i="14" s="1"/>
  <c r="AI359" i="14"/>
  <c r="O359" i="14"/>
  <c r="AG358" i="14"/>
  <c r="V358" i="14"/>
  <c r="U358" i="14"/>
  <c r="R358" i="14"/>
  <c r="M358" i="14"/>
  <c r="O358" i="14" s="1"/>
  <c r="AG357" i="14"/>
  <c r="V357" i="14"/>
  <c r="U357" i="14"/>
  <c r="R357" i="14"/>
  <c r="M357" i="14"/>
  <c r="O357" i="14" s="1"/>
  <c r="AI355" i="14"/>
  <c r="O355" i="14"/>
  <c r="V354" i="14"/>
  <c r="U354" i="14"/>
  <c r="R354" i="14"/>
  <c r="M354" i="14"/>
  <c r="O354" i="14" s="1"/>
  <c r="AH353" i="14"/>
  <c r="V353" i="14"/>
  <c r="U353" i="14"/>
  <c r="R353" i="14"/>
  <c r="M353" i="14"/>
  <c r="O353" i="14" s="1"/>
  <c r="Y353" i="14" s="1"/>
  <c r="AH352" i="14"/>
  <c r="V352" i="14"/>
  <c r="U352" i="14"/>
  <c r="R352" i="14"/>
  <c r="M352" i="14"/>
  <c r="O352" i="14" s="1"/>
  <c r="AH351" i="14"/>
  <c r="V351" i="14"/>
  <c r="U351" i="14"/>
  <c r="R351" i="14"/>
  <c r="M351" i="14"/>
  <c r="O351" i="14" s="1"/>
  <c r="AI350" i="14"/>
  <c r="O350" i="14"/>
  <c r="AG349" i="14"/>
  <c r="V349" i="14"/>
  <c r="U349" i="14"/>
  <c r="R349" i="14"/>
  <c r="M349" i="14"/>
  <c r="J349" i="14"/>
  <c r="AG348" i="14"/>
  <c r="V348" i="14"/>
  <c r="U348" i="14"/>
  <c r="R348" i="14"/>
  <c r="M348" i="14"/>
  <c r="O348" i="14" s="1"/>
  <c r="AI347" i="14"/>
  <c r="AB347" i="14"/>
  <c r="AA347" i="14"/>
  <c r="Z347" i="14"/>
  <c r="Y347" i="14"/>
  <c r="O347" i="14"/>
  <c r="AG346" i="14"/>
  <c r="V346" i="14"/>
  <c r="U346" i="14"/>
  <c r="R346" i="14"/>
  <c r="M346" i="14"/>
  <c r="O346" i="14" s="1"/>
  <c r="AG345" i="14"/>
  <c r="V345" i="14"/>
  <c r="U345" i="14"/>
  <c r="R345" i="14"/>
  <c r="M345" i="14"/>
  <c r="J345" i="14"/>
  <c r="AG344" i="14"/>
  <c r="V344" i="14"/>
  <c r="U344" i="14"/>
  <c r="R344" i="14"/>
  <c r="M344" i="14"/>
  <c r="O344" i="14" s="1"/>
  <c r="AG343" i="14"/>
  <c r="V343" i="14"/>
  <c r="U343" i="14"/>
  <c r="R343" i="14"/>
  <c r="M343" i="14"/>
  <c r="O343" i="14" s="1"/>
  <c r="AG342" i="14"/>
  <c r="V342" i="14"/>
  <c r="U342" i="14"/>
  <c r="R342" i="14"/>
  <c r="M342" i="14"/>
  <c r="O342" i="14" s="1"/>
  <c r="AG341" i="14"/>
  <c r="V341" i="14"/>
  <c r="U341" i="14"/>
  <c r="R341" i="14"/>
  <c r="M341" i="14"/>
  <c r="O341" i="14" s="1"/>
  <c r="AD341" i="14" s="1"/>
  <c r="AG340" i="14"/>
  <c r="V340" i="14"/>
  <c r="U340" i="14"/>
  <c r="R340" i="14"/>
  <c r="M340" i="14"/>
  <c r="O340" i="14" s="1"/>
  <c r="AC339" i="14"/>
  <c r="AH339" i="14" s="1"/>
  <c r="V339" i="14"/>
  <c r="U339" i="14"/>
  <c r="R339" i="14"/>
  <c r="I339" i="14"/>
  <c r="O339" i="14" s="1"/>
  <c r="AC338" i="14"/>
  <c r="AH338" i="14" s="1"/>
  <c r="V338" i="14"/>
  <c r="U338" i="14"/>
  <c r="R338" i="14"/>
  <c r="O338" i="14"/>
  <c r="AC337" i="14"/>
  <c r="AH337" i="14" s="1"/>
  <c r="V337" i="14"/>
  <c r="U337" i="14"/>
  <c r="R337" i="14"/>
  <c r="O337" i="14"/>
  <c r="Y337" i="14" s="1"/>
  <c r="AI336" i="14"/>
  <c r="O336" i="14"/>
  <c r="AG335" i="14"/>
  <c r="V335" i="14"/>
  <c r="U335" i="14"/>
  <c r="R335" i="14"/>
  <c r="M335" i="14"/>
  <c r="O335" i="14" s="1"/>
  <c r="AD335" i="14" s="1"/>
  <c r="AG334" i="14"/>
  <c r="V334" i="14"/>
  <c r="U334" i="14"/>
  <c r="R334" i="14"/>
  <c r="M334" i="14"/>
  <c r="O334" i="14" s="1"/>
  <c r="AG333" i="14"/>
  <c r="V333" i="14"/>
  <c r="U333" i="14"/>
  <c r="R333" i="14"/>
  <c r="M333" i="14"/>
  <c r="O333" i="14" s="1"/>
  <c r="AG332" i="14"/>
  <c r="V332" i="14"/>
  <c r="U332" i="14"/>
  <c r="R332" i="14"/>
  <c r="M332" i="14"/>
  <c r="O332" i="14" s="1"/>
  <c r="AI331" i="14"/>
  <c r="AB331" i="14"/>
  <c r="AA331" i="14"/>
  <c r="Z331" i="14"/>
  <c r="Y331" i="14"/>
  <c r="O331" i="14"/>
  <c r="V330" i="14"/>
  <c r="U330" i="14"/>
  <c r="R330" i="14"/>
  <c r="M330" i="14"/>
  <c r="O330" i="14" s="1"/>
  <c r="AD330" i="14" s="1"/>
  <c r="V329" i="14"/>
  <c r="U329" i="14"/>
  <c r="R329" i="14"/>
  <c r="M329" i="14"/>
  <c r="O329" i="14" s="1"/>
  <c r="V328" i="14"/>
  <c r="U328" i="14"/>
  <c r="R328" i="14"/>
  <c r="N328" i="14"/>
  <c r="M328" i="14"/>
  <c r="V327" i="14"/>
  <c r="U327" i="14"/>
  <c r="R327" i="14"/>
  <c r="M327" i="14"/>
  <c r="O327" i="14" s="1"/>
  <c r="V326" i="14"/>
  <c r="U326" i="14"/>
  <c r="R326" i="14"/>
  <c r="M326" i="14"/>
  <c r="O326" i="14" s="1"/>
  <c r="V325" i="14"/>
  <c r="U325" i="14"/>
  <c r="R325" i="14"/>
  <c r="M325" i="14"/>
  <c r="O325" i="14" s="1"/>
  <c r="V324" i="14"/>
  <c r="U324" i="14"/>
  <c r="R324" i="14"/>
  <c r="M324" i="14"/>
  <c r="O324" i="14" s="1"/>
  <c r="V323" i="14"/>
  <c r="U323" i="14"/>
  <c r="R323" i="14"/>
  <c r="M323" i="14"/>
  <c r="O323" i="14" s="1"/>
  <c r="AG322" i="14"/>
  <c r="V322" i="14"/>
  <c r="U322" i="14"/>
  <c r="R322" i="14"/>
  <c r="M322" i="14"/>
  <c r="O322" i="14" s="1"/>
  <c r="AF322" i="14" s="1"/>
  <c r="AG321" i="14"/>
  <c r="V321" i="14"/>
  <c r="U321" i="14"/>
  <c r="R321" i="14"/>
  <c r="M321" i="14"/>
  <c r="O321" i="14" s="1"/>
  <c r="AD321" i="14" s="1"/>
  <c r="Z320" i="14"/>
  <c r="V320" i="14"/>
  <c r="U320" i="14"/>
  <c r="R320" i="14"/>
  <c r="M320" i="14"/>
  <c r="O320" i="14" s="1"/>
  <c r="AI319" i="14"/>
  <c r="AB319" i="14"/>
  <c r="AA319" i="14"/>
  <c r="Z319" i="14"/>
  <c r="Y319" i="14"/>
  <c r="O319" i="14"/>
  <c r="AG318" i="14"/>
  <c r="AG317" i="14" s="1"/>
  <c r="E80" i="13" s="1"/>
  <c r="V318" i="14"/>
  <c r="U318" i="14"/>
  <c r="R318" i="14"/>
  <c r="M318" i="14"/>
  <c r="O318" i="14" s="1"/>
  <c r="AI317" i="14"/>
  <c r="AB317" i="14"/>
  <c r="AA317" i="14"/>
  <c r="Z317" i="14"/>
  <c r="Y317" i="14"/>
  <c r="R317" i="14"/>
  <c r="O317" i="14"/>
  <c r="V316" i="14"/>
  <c r="U316" i="14"/>
  <c r="R316" i="14"/>
  <c r="M316" i="14"/>
  <c r="O316" i="14" s="1"/>
  <c r="AD316" i="14" s="1"/>
  <c r="AG315" i="14"/>
  <c r="V315" i="14"/>
  <c r="U315" i="14"/>
  <c r="R315" i="14"/>
  <c r="M315" i="14"/>
  <c r="O315" i="14" s="1"/>
  <c r="AD315" i="14" s="1"/>
  <c r="AG314" i="14"/>
  <c r="V314" i="14"/>
  <c r="U314" i="14"/>
  <c r="R314" i="14"/>
  <c r="M314" i="14"/>
  <c r="O314" i="14" s="1"/>
  <c r="AH313" i="14"/>
  <c r="V313" i="14"/>
  <c r="U313" i="14"/>
  <c r="R313" i="14"/>
  <c r="M313" i="14"/>
  <c r="O313" i="14" s="1"/>
  <c r="AI312" i="14"/>
  <c r="O312" i="14"/>
  <c r="AG311" i="14"/>
  <c r="AG310" i="14" s="1"/>
  <c r="E78" i="13" s="1"/>
  <c r="V311" i="14"/>
  <c r="U311" i="14"/>
  <c r="R311" i="14"/>
  <c r="I311" i="14"/>
  <c r="AI310" i="14"/>
  <c r="AB310" i="14"/>
  <c r="AA310" i="14"/>
  <c r="Z310" i="14"/>
  <c r="Y310" i="14"/>
  <c r="O310" i="14"/>
  <c r="AG309" i="14"/>
  <c r="V309" i="14"/>
  <c r="U309" i="14"/>
  <c r="R309" i="14"/>
  <c r="M309" i="14"/>
  <c r="O309" i="14" s="1"/>
  <c r="AG308" i="14"/>
  <c r="V308" i="14"/>
  <c r="U308" i="14"/>
  <c r="R308" i="14"/>
  <c r="M308" i="14"/>
  <c r="O308" i="14" s="1"/>
  <c r="AF308" i="14" s="1"/>
  <c r="AG307" i="14"/>
  <c r="V307" i="14"/>
  <c r="U307" i="14"/>
  <c r="R307" i="14"/>
  <c r="M307" i="14"/>
  <c r="O307" i="14" s="1"/>
  <c r="AD307" i="14" s="1"/>
  <c r="AG306" i="14"/>
  <c r="V306" i="14"/>
  <c r="U306" i="14"/>
  <c r="R306" i="14"/>
  <c r="M306" i="14"/>
  <c r="O306" i="14" s="1"/>
  <c r="AG305" i="14"/>
  <c r="V305" i="14"/>
  <c r="U305" i="14"/>
  <c r="R305" i="14"/>
  <c r="M305" i="14"/>
  <c r="O305" i="14" s="1"/>
  <c r="AG304" i="14"/>
  <c r="V304" i="14"/>
  <c r="U304" i="14"/>
  <c r="R304" i="14"/>
  <c r="M304" i="14"/>
  <c r="O304" i="14" s="1"/>
  <c r="AF304" i="14" s="1"/>
  <c r="AI303" i="14"/>
  <c r="AB303" i="14"/>
  <c r="AA303" i="14"/>
  <c r="Z303" i="14"/>
  <c r="Y303" i="14"/>
  <c r="O303" i="14"/>
  <c r="AG302" i="14"/>
  <c r="V302" i="14"/>
  <c r="U302" i="14"/>
  <c r="R302" i="14"/>
  <c r="M302" i="14"/>
  <c r="O302" i="14" s="1"/>
  <c r="AI301" i="14"/>
  <c r="AB301" i="14"/>
  <c r="AA301" i="14"/>
  <c r="Z301" i="14"/>
  <c r="Y301" i="14"/>
  <c r="O301" i="14"/>
  <c r="V300" i="14"/>
  <c r="U300" i="14"/>
  <c r="R300" i="14"/>
  <c r="M300" i="14"/>
  <c r="O300" i="14" s="1"/>
  <c r="AF300" i="14" s="1"/>
  <c r="V299" i="14"/>
  <c r="U299" i="14"/>
  <c r="R299" i="14"/>
  <c r="M299" i="14"/>
  <c r="O299" i="14" s="1"/>
  <c r="AF299" i="14" s="1"/>
  <c r="V298" i="14"/>
  <c r="U298" i="14"/>
  <c r="R298" i="14"/>
  <c r="M298" i="14"/>
  <c r="O298" i="14" s="1"/>
  <c r="AF298" i="14" s="1"/>
  <c r="V297" i="14"/>
  <c r="U297" i="14"/>
  <c r="R297" i="14"/>
  <c r="M297" i="14"/>
  <c r="O297" i="14" s="1"/>
  <c r="AF297" i="14" s="1"/>
  <c r="V296" i="14"/>
  <c r="U296" i="14"/>
  <c r="R296" i="14"/>
  <c r="M296" i="14"/>
  <c r="O296" i="14" s="1"/>
  <c r="AF296" i="14" s="1"/>
  <c r="V295" i="14"/>
  <c r="U295" i="14"/>
  <c r="R295" i="14"/>
  <c r="M295" i="14"/>
  <c r="O295" i="14" s="1"/>
  <c r="AF295" i="14" s="1"/>
  <c r="V294" i="14"/>
  <c r="U294" i="14"/>
  <c r="R294" i="14"/>
  <c r="M294" i="14"/>
  <c r="O294" i="14" s="1"/>
  <c r="AF294" i="14" s="1"/>
  <c r="AG293" i="14"/>
  <c r="V293" i="14"/>
  <c r="U293" i="14"/>
  <c r="R293" i="14"/>
  <c r="M293" i="14"/>
  <c r="O293" i="14" s="1"/>
  <c r="AH292" i="14"/>
  <c r="V292" i="14"/>
  <c r="U292" i="14"/>
  <c r="R292" i="14"/>
  <c r="M292" i="14"/>
  <c r="O292" i="14" s="1"/>
  <c r="AI291" i="14"/>
  <c r="O291" i="14"/>
  <c r="AG290" i="14"/>
  <c r="V290" i="14"/>
  <c r="U290" i="14"/>
  <c r="R290" i="14"/>
  <c r="M290" i="14"/>
  <c r="O290" i="14" s="1"/>
  <c r="V289" i="14"/>
  <c r="U289" i="14"/>
  <c r="R289" i="14"/>
  <c r="M289" i="14"/>
  <c r="O289" i="14" s="1"/>
  <c r="V288" i="14"/>
  <c r="U288" i="14"/>
  <c r="R288" i="14"/>
  <c r="M288" i="14"/>
  <c r="O288" i="14" s="1"/>
  <c r="AI287" i="14"/>
  <c r="AB287" i="14"/>
  <c r="AA287" i="14"/>
  <c r="Z287" i="14"/>
  <c r="Y287" i="14"/>
  <c r="O287" i="14"/>
  <c r="V286" i="14"/>
  <c r="U286" i="14"/>
  <c r="R286" i="14"/>
  <c r="M286" i="14"/>
  <c r="O286" i="14" s="1"/>
  <c r="AG285" i="14"/>
  <c r="V285" i="14"/>
  <c r="U285" i="14"/>
  <c r="R285" i="14"/>
  <c r="M285" i="14"/>
  <c r="O285" i="14" s="1"/>
  <c r="AG284" i="14"/>
  <c r="V284" i="14"/>
  <c r="U284" i="14"/>
  <c r="R284" i="14"/>
  <c r="M284" i="14"/>
  <c r="O284" i="14" s="1"/>
  <c r="AH283" i="14"/>
  <c r="V283" i="14"/>
  <c r="U283" i="14"/>
  <c r="R283" i="14"/>
  <c r="M283" i="14"/>
  <c r="O283" i="14" s="1"/>
  <c r="AI282" i="14"/>
  <c r="O282" i="14"/>
  <c r="AG281" i="14"/>
  <c r="V281" i="14"/>
  <c r="U281" i="14"/>
  <c r="R281" i="14"/>
  <c r="M281" i="14"/>
  <c r="O281" i="14" s="1"/>
  <c r="V280" i="14"/>
  <c r="U280" i="14"/>
  <c r="R280" i="14"/>
  <c r="M280" i="14"/>
  <c r="O280" i="14" s="1"/>
  <c r="AF280" i="14" s="1"/>
  <c r="V279" i="14"/>
  <c r="U279" i="14"/>
  <c r="R279" i="14"/>
  <c r="M279" i="14"/>
  <c r="O279" i="14" s="1"/>
  <c r="V278" i="14"/>
  <c r="U278" i="14"/>
  <c r="R278" i="14"/>
  <c r="M278" i="14"/>
  <c r="O278" i="14" s="1"/>
  <c r="AG277" i="14"/>
  <c r="V277" i="14"/>
  <c r="U277" i="14"/>
  <c r="R277" i="14"/>
  <c r="M277" i="14"/>
  <c r="O277" i="14" s="1"/>
  <c r="AF277" i="14" s="1"/>
  <c r="AG276" i="14"/>
  <c r="V276" i="14"/>
  <c r="U276" i="14"/>
  <c r="R276" i="14"/>
  <c r="M276" i="14"/>
  <c r="O276" i="14" s="1"/>
  <c r="AI275" i="14"/>
  <c r="AB275" i="14"/>
  <c r="AA275" i="14"/>
  <c r="Z275" i="14"/>
  <c r="Y275" i="14"/>
  <c r="O275" i="14"/>
  <c r="AG274" i="14"/>
  <c r="V274" i="14"/>
  <c r="U274" i="14"/>
  <c r="R274" i="14"/>
  <c r="M274" i="14"/>
  <c r="O274" i="14" s="1"/>
  <c r="AC273" i="14"/>
  <c r="AH273" i="14" s="1"/>
  <c r="V273" i="14"/>
  <c r="U273" i="14"/>
  <c r="R273" i="14"/>
  <c r="M273" i="14"/>
  <c r="O273" i="14" s="1"/>
  <c r="AI272" i="14"/>
  <c r="V272" i="14"/>
  <c r="U272" i="14"/>
  <c r="R272" i="14"/>
  <c r="M272" i="14"/>
  <c r="O272" i="14" s="1"/>
  <c r="AG270" i="14"/>
  <c r="V270" i="14"/>
  <c r="U270" i="14"/>
  <c r="R270" i="14"/>
  <c r="M270" i="14"/>
  <c r="O270" i="14" s="1"/>
  <c r="AG269" i="14"/>
  <c r="V269" i="14"/>
  <c r="U269" i="14"/>
  <c r="R269" i="14"/>
  <c r="M269" i="14"/>
  <c r="O269" i="14" s="1"/>
  <c r="AI268" i="14"/>
  <c r="AB268" i="14"/>
  <c r="AA268" i="14"/>
  <c r="Z268" i="14"/>
  <c r="Y268" i="14"/>
  <c r="U268" i="14"/>
  <c r="M268" i="14"/>
  <c r="O268" i="14" s="1"/>
  <c r="AG267" i="14"/>
  <c r="V267" i="14"/>
  <c r="U267" i="14"/>
  <c r="R267" i="14"/>
  <c r="M267" i="14"/>
  <c r="O267" i="14" s="1"/>
  <c r="AG266" i="14"/>
  <c r="V266" i="14"/>
  <c r="U266" i="14"/>
  <c r="R266" i="14"/>
  <c r="M266" i="14"/>
  <c r="O266" i="14" s="1"/>
  <c r="AG265" i="14"/>
  <c r="V265" i="14"/>
  <c r="U265" i="14"/>
  <c r="R265" i="14"/>
  <c r="M265" i="14"/>
  <c r="O265" i="14" s="1"/>
  <c r="AD265" i="14" s="1"/>
  <c r="AG264" i="14"/>
  <c r="V264" i="14"/>
  <c r="U264" i="14"/>
  <c r="R264" i="14"/>
  <c r="M264" i="14"/>
  <c r="O264" i="14" s="1"/>
  <c r="AI263" i="14"/>
  <c r="AB263" i="14"/>
  <c r="AA263" i="14"/>
  <c r="Z263" i="14"/>
  <c r="Y263" i="14"/>
  <c r="O263" i="14"/>
  <c r="AG262" i="14"/>
  <c r="V262" i="14"/>
  <c r="U262" i="14"/>
  <c r="R262" i="14"/>
  <c r="M262" i="14"/>
  <c r="J262" i="14"/>
  <c r="AG261" i="14"/>
  <c r="V261" i="14"/>
  <c r="U261" i="14"/>
  <c r="R261" i="14"/>
  <c r="M261" i="14"/>
  <c r="O261" i="14" s="1"/>
  <c r="AG260" i="14"/>
  <c r="V260" i="14"/>
  <c r="U260" i="14"/>
  <c r="R260" i="14"/>
  <c r="M260" i="14"/>
  <c r="O260" i="14" s="1"/>
  <c r="AD260" i="14" s="1"/>
  <c r="AG259" i="14"/>
  <c r="V259" i="14"/>
  <c r="U259" i="14"/>
  <c r="R259" i="14"/>
  <c r="M259" i="14"/>
  <c r="O259" i="14" s="1"/>
  <c r="AD259" i="14" s="1"/>
  <c r="AG258" i="14"/>
  <c r="V258" i="14"/>
  <c r="U258" i="14"/>
  <c r="R258" i="14"/>
  <c r="M258" i="14"/>
  <c r="O258" i="14" s="1"/>
  <c r="AG257" i="14"/>
  <c r="V257" i="14"/>
  <c r="U257" i="14"/>
  <c r="R257" i="14"/>
  <c r="I257" i="14"/>
  <c r="AG256" i="14"/>
  <c r="V256" i="14"/>
  <c r="U256" i="14"/>
  <c r="R256" i="14"/>
  <c r="M256" i="14"/>
  <c r="O256" i="14" s="1"/>
  <c r="AC255" i="14"/>
  <c r="AH255" i="14" s="1"/>
  <c r="V255" i="14"/>
  <c r="U255" i="14"/>
  <c r="R255" i="14"/>
  <c r="M255" i="14"/>
  <c r="O255" i="14" s="1"/>
  <c r="AI254" i="14"/>
  <c r="O254" i="14"/>
  <c r="AG253" i="14"/>
  <c r="V253" i="14"/>
  <c r="U253" i="14"/>
  <c r="R253" i="14"/>
  <c r="M253" i="14"/>
  <c r="O253" i="14" s="1"/>
  <c r="AG252" i="14"/>
  <c r="V252" i="14"/>
  <c r="U252" i="14"/>
  <c r="R252" i="14"/>
  <c r="M252" i="14"/>
  <c r="O252" i="14" s="1"/>
  <c r="AG251" i="14"/>
  <c r="V251" i="14"/>
  <c r="U251" i="14"/>
  <c r="R251" i="14"/>
  <c r="M251" i="14"/>
  <c r="O251" i="14" s="1"/>
  <c r="AD251" i="14" s="1"/>
  <c r="AG250" i="14"/>
  <c r="V250" i="14"/>
  <c r="U250" i="14"/>
  <c r="R250" i="14"/>
  <c r="M250" i="14"/>
  <c r="O250" i="14" s="1"/>
  <c r="AD250" i="14" s="1"/>
  <c r="AG249" i="14"/>
  <c r="V249" i="14"/>
  <c r="U249" i="14"/>
  <c r="R249" i="14"/>
  <c r="M249" i="14"/>
  <c r="O249" i="14" s="1"/>
  <c r="AG248" i="14"/>
  <c r="V248" i="14"/>
  <c r="U248" i="14"/>
  <c r="R248" i="14"/>
  <c r="M248" i="14"/>
  <c r="O248" i="14" s="1"/>
  <c r="AI247" i="14"/>
  <c r="AB247" i="14"/>
  <c r="AA247" i="14"/>
  <c r="Z247" i="14"/>
  <c r="Y247" i="14"/>
  <c r="U247" i="14"/>
  <c r="O247" i="14"/>
  <c r="AG246" i="14"/>
  <c r="V246" i="14"/>
  <c r="U246" i="14"/>
  <c r="R246" i="14"/>
  <c r="I246" i="14"/>
  <c r="AG245" i="14"/>
  <c r="V245" i="14"/>
  <c r="U245" i="14"/>
  <c r="R245" i="14"/>
  <c r="M245" i="14"/>
  <c r="O245" i="14" s="1"/>
  <c r="AG244" i="14"/>
  <c r="V244" i="14"/>
  <c r="U244" i="14"/>
  <c r="R244" i="14"/>
  <c r="M244" i="14"/>
  <c r="O244" i="14" s="1"/>
  <c r="AF244" i="14" s="1"/>
  <c r="AG243" i="14"/>
  <c r="V243" i="14"/>
  <c r="U243" i="14"/>
  <c r="R243" i="14"/>
  <c r="M243" i="14"/>
  <c r="O243" i="14" s="1"/>
  <c r="AF243" i="14" s="1"/>
  <c r="AG242" i="14"/>
  <c r="V242" i="14"/>
  <c r="U242" i="14"/>
  <c r="R242" i="14"/>
  <c r="M242" i="14"/>
  <c r="O242" i="14" s="1"/>
  <c r="AG241" i="14"/>
  <c r="V241" i="14"/>
  <c r="U241" i="14"/>
  <c r="R241" i="14"/>
  <c r="M241" i="14"/>
  <c r="O241" i="14" s="1"/>
  <c r="AG240" i="14"/>
  <c r="V240" i="14"/>
  <c r="U240" i="14"/>
  <c r="R240" i="14"/>
  <c r="M240" i="14"/>
  <c r="O240" i="14" s="1"/>
  <c r="AF240" i="14" s="1"/>
  <c r="AG239" i="14"/>
  <c r="V239" i="14"/>
  <c r="U239" i="14"/>
  <c r="R239" i="14"/>
  <c r="M239" i="14"/>
  <c r="O239" i="14" s="1"/>
  <c r="AF239" i="14" s="1"/>
  <c r="AG238" i="14"/>
  <c r="V238" i="14"/>
  <c r="U238" i="14"/>
  <c r="R238" i="14"/>
  <c r="M238" i="14"/>
  <c r="O238" i="14" s="1"/>
  <c r="AD238" i="14" s="1"/>
  <c r="AC237" i="14"/>
  <c r="AH237" i="14" s="1"/>
  <c r="V237" i="14"/>
  <c r="U237" i="14"/>
  <c r="R237" i="14"/>
  <c r="M237" i="14"/>
  <c r="O237" i="14" s="1"/>
  <c r="AC236" i="14"/>
  <c r="AH236" i="14" s="1"/>
  <c r="V236" i="14"/>
  <c r="U236" i="14"/>
  <c r="R236" i="14"/>
  <c r="M236" i="14"/>
  <c r="O236" i="14" s="1"/>
  <c r="Y236" i="14" s="1"/>
  <c r="AI235" i="14"/>
  <c r="U235" i="14"/>
  <c r="O235" i="14"/>
  <c r="AG234" i="14"/>
  <c r="V234" i="14"/>
  <c r="U234" i="14"/>
  <c r="R234" i="14"/>
  <c r="M234" i="14"/>
  <c r="O234" i="14" s="1"/>
  <c r="AG233" i="14"/>
  <c r="V233" i="14"/>
  <c r="U233" i="14"/>
  <c r="R233" i="14"/>
  <c r="M233" i="14"/>
  <c r="O233" i="14" s="1"/>
  <c r="AG232" i="14"/>
  <c r="V232" i="14"/>
  <c r="U232" i="14"/>
  <c r="R232" i="14"/>
  <c r="M232" i="14"/>
  <c r="O232" i="14" s="1"/>
  <c r="AG231" i="14"/>
  <c r="V231" i="14"/>
  <c r="U231" i="14"/>
  <c r="R231" i="14"/>
  <c r="M231" i="14"/>
  <c r="O231" i="14" s="1"/>
  <c r="AF231" i="14" s="1"/>
  <c r="AG230" i="14"/>
  <c r="V230" i="14"/>
  <c r="U230" i="14"/>
  <c r="R230" i="14"/>
  <c r="M230" i="14"/>
  <c r="O230" i="14" s="1"/>
  <c r="AG229" i="14"/>
  <c r="V229" i="14"/>
  <c r="U229" i="14"/>
  <c r="R229" i="14"/>
  <c r="M229" i="14"/>
  <c r="O229" i="14" s="1"/>
  <c r="AG228" i="14"/>
  <c r="V228" i="14"/>
  <c r="U228" i="14"/>
  <c r="R228" i="14"/>
  <c r="M228" i="14"/>
  <c r="O228" i="14" s="1"/>
  <c r="AG227" i="14"/>
  <c r="V227" i="14"/>
  <c r="U227" i="14"/>
  <c r="R227" i="14"/>
  <c r="M227" i="14"/>
  <c r="O227" i="14" s="1"/>
  <c r="AF227" i="14" s="1"/>
  <c r="AC226" i="14"/>
  <c r="AH226" i="14" s="1"/>
  <c r="V226" i="14"/>
  <c r="U226" i="14"/>
  <c r="R226" i="14"/>
  <c r="M226" i="14"/>
  <c r="O226" i="14" s="1"/>
  <c r="AI225" i="14"/>
  <c r="U225" i="14"/>
  <c r="M225" i="14"/>
  <c r="O225" i="14" s="1"/>
  <c r="AG224" i="14"/>
  <c r="V224" i="14"/>
  <c r="U224" i="14"/>
  <c r="R224" i="14"/>
  <c r="M224" i="14"/>
  <c r="O224" i="14" s="1"/>
  <c r="AG223" i="14"/>
  <c r="V223" i="14"/>
  <c r="U223" i="14"/>
  <c r="R223" i="14"/>
  <c r="M223" i="14"/>
  <c r="O223" i="14" s="1"/>
  <c r="AG222" i="14"/>
  <c r="V222" i="14"/>
  <c r="U222" i="14"/>
  <c r="R222" i="14"/>
  <c r="I222" i="14"/>
  <c r="AC221" i="14"/>
  <c r="V221" i="14"/>
  <c r="U221" i="14"/>
  <c r="R221" i="14"/>
  <c r="M221" i="14"/>
  <c r="O221" i="14" s="1"/>
  <c r="AI220" i="14"/>
  <c r="U220" i="14"/>
  <c r="M220" i="14"/>
  <c r="O220" i="14" s="1"/>
  <c r="AG219" i="14"/>
  <c r="V219" i="14"/>
  <c r="U219" i="14"/>
  <c r="R219" i="14"/>
  <c r="M219" i="14"/>
  <c r="O219" i="14" s="1"/>
  <c r="AG218" i="14"/>
  <c r="V218" i="14"/>
  <c r="U218" i="14"/>
  <c r="R218" i="14"/>
  <c r="M218" i="14"/>
  <c r="O218" i="14" s="1"/>
  <c r="AG217" i="14"/>
  <c r="V217" i="14"/>
  <c r="U217" i="14"/>
  <c r="R217" i="14"/>
  <c r="M217" i="14"/>
  <c r="O217" i="14" s="1"/>
  <c r="AG216" i="14"/>
  <c r="V216" i="14"/>
  <c r="U216" i="14"/>
  <c r="R216" i="14"/>
  <c r="M216" i="14"/>
  <c r="O216" i="14" s="1"/>
  <c r="AF216" i="14" s="1"/>
  <c r="AG215" i="14"/>
  <c r="V215" i="14"/>
  <c r="U215" i="14"/>
  <c r="R215" i="14"/>
  <c r="M215" i="14"/>
  <c r="O215" i="14" s="1"/>
  <c r="AG214" i="14"/>
  <c r="V214" i="14"/>
  <c r="U214" i="14"/>
  <c r="R214" i="14"/>
  <c r="M214" i="14"/>
  <c r="O214" i="14" s="1"/>
  <c r="AG213" i="14"/>
  <c r="V213" i="14"/>
  <c r="U213" i="14"/>
  <c r="R213" i="14"/>
  <c r="M213" i="14"/>
  <c r="O213" i="14" s="1"/>
  <c r="AI212" i="14"/>
  <c r="AB212" i="14"/>
  <c r="AA212" i="14"/>
  <c r="Z212" i="14"/>
  <c r="Y212" i="14"/>
  <c r="O212" i="14"/>
  <c r="AG211" i="14"/>
  <c r="V211" i="14"/>
  <c r="U211" i="14"/>
  <c r="R211" i="14"/>
  <c r="M211" i="14"/>
  <c r="O211" i="14" s="1"/>
  <c r="AD211" i="14" s="1"/>
  <c r="AG210" i="14"/>
  <c r="V210" i="14"/>
  <c r="U210" i="14"/>
  <c r="R210" i="14"/>
  <c r="M210" i="14"/>
  <c r="O210" i="14" s="1"/>
  <c r="AF210" i="14" s="1"/>
  <c r="AG209" i="14"/>
  <c r="V209" i="14"/>
  <c r="U209" i="14"/>
  <c r="R209" i="14"/>
  <c r="M209" i="14"/>
  <c r="O209" i="14" s="1"/>
  <c r="AD209" i="14" s="1"/>
  <c r="AG208" i="14"/>
  <c r="V208" i="14"/>
  <c r="U208" i="14"/>
  <c r="R208" i="14"/>
  <c r="M208" i="14"/>
  <c r="O208" i="14" s="1"/>
  <c r="AD208" i="14" s="1"/>
  <c r="AG207" i="14"/>
  <c r="V207" i="14"/>
  <c r="U207" i="14"/>
  <c r="R207" i="14"/>
  <c r="M207" i="14"/>
  <c r="O207" i="14" s="1"/>
  <c r="AG206" i="14"/>
  <c r="V206" i="14"/>
  <c r="U206" i="14"/>
  <c r="R206" i="14"/>
  <c r="M206" i="14"/>
  <c r="O206" i="14" s="1"/>
  <c r="AF206" i="14" s="1"/>
  <c r="AG205" i="14"/>
  <c r="V205" i="14"/>
  <c r="U205" i="14"/>
  <c r="R205" i="14"/>
  <c r="M205" i="14"/>
  <c r="O205" i="14" s="1"/>
  <c r="AD205" i="14" s="1"/>
  <c r="AI204" i="14"/>
  <c r="AB204" i="14"/>
  <c r="AA204" i="14"/>
  <c r="Z204" i="14"/>
  <c r="Y204" i="14"/>
  <c r="O204" i="14"/>
  <c r="AG203" i="14"/>
  <c r="V203" i="14"/>
  <c r="U203" i="14"/>
  <c r="R203" i="14"/>
  <c r="M203" i="14"/>
  <c r="O203" i="14" s="1"/>
  <c r="AG202" i="14"/>
  <c r="V202" i="14"/>
  <c r="U202" i="14"/>
  <c r="R202" i="14"/>
  <c r="M202" i="14"/>
  <c r="O202" i="14" s="1"/>
  <c r="AG201" i="14"/>
  <c r="V201" i="14"/>
  <c r="U201" i="14"/>
  <c r="R201" i="14"/>
  <c r="M201" i="14"/>
  <c r="O201" i="14" s="1"/>
  <c r="AF201" i="14" s="1"/>
  <c r="AG200" i="14"/>
  <c r="V200" i="14"/>
  <c r="U200" i="14"/>
  <c r="R200" i="14"/>
  <c r="M200" i="14"/>
  <c r="O200" i="14" s="1"/>
  <c r="AG199" i="14"/>
  <c r="V199" i="14"/>
  <c r="U199" i="14"/>
  <c r="R199" i="14"/>
  <c r="M199" i="14"/>
  <c r="O199" i="14" s="1"/>
  <c r="AC198" i="14"/>
  <c r="AH198" i="14" s="1"/>
  <c r="V198" i="14"/>
  <c r="U198" i="14"/>
  <c r="R198" i="14"/>
  <c r="M198" i="14"/>
  <c r="O198" i="14" s="1"/>
  <c r="AI197" i="14"/>
  <c r="U197" i="14"/>
  <c r="O197" i="14"/>
  <c r="AG196" i="14"/>
  <c r="AG195" i="14" s="1"/>
  <c r="E60" i="13" s="1"/>
  <c r="V196" i="14"/>
  <c r="U196" i="14"/>
  <c r="R196" i="14"/>
  <c r="M196" i="14"/>
  <c r="O196" i="14" s="1"/>
  <c r="AI195" i="14"/>
  <c r="AB195" i="14"/>
  <c r="AA195" i="14"/>
  <c r="Z195" i="14"/>
  <c r="Y195" i="14"/>
  <c r="U195" i="14"/>
  <c r="M195" i="14"/>
  <c r="O195" i="14" s="1"/>
  <c r="AG194" i="14"/>
  <c r="V194" i="14"/>
  <c r="U194" i="14"/>
  <c r="R194" i="14"/>
  <c r="M194" i="14"/>
  <c r="O194" i="14" s="1"/>
  <c r="AC193" i="14"/>
  <c r="AH193" i="14" s="1"/>
  <c r="V193" i="14"/>
  <c r="U193" i="14"/>
  <c r="R193" i="14"/>
  <c r="M193" i="14"/>
  <c r="O193" i="14" s="1"/>
  <c r="AI192" i="14"/>
  <c r="O192" i="14"/>
  <c r="AG191" i="14"/>
  <c r="V191" i="14"/>
  <c r="U191" i="14"/>
  <c r="R191" i="14"/>
  <c r="M191" i="14"/>
  <c r="O191" i="14" s="1"/>
  <c r="AG190" i="14"/>
  <c r="V190" i="14"/>
  <c r="U190" i="14"/>
  <c r="R190" i="14"/>
  <c r="M190" i="14"/>
  <c r="O190" i="14" s="1"/>
  <c r="AG189" i="14"/>
  <c r="V189" i="14"/>
  <c r="U189" i="14"/>
  <c r="R189" i="14"/>
  <c r="M189" i="14"/>
  <c r="O189" i="14" s="1"/>
  <c r="AG188" i="14"/>
  <c r="V188" i="14"/>
  <c r="U188" i="14"/>
  <c r="R188" i="14"/>
  <c r="M188" i="14"/>
  <c r="O188" i="14" s="1"/>
  <c r="AG187" i="14"/>
  <c r="V187" i="14"/>
  <c r="U187" i="14"/>
  <c r="R187" i="14"/>
  <c r="M187" i="14"/>
  <c r="O187" i="14" s="1"/>
  <c r="AG186" i="14"/>
  <c r="V186" i="14"/>
  <c r="U186" i="14"/>
  <c r="R186" i="14"/>
  <c r="M186" i="14"/>
  <c r="O186" i="14" s="1"/>
  <c r="AC185" i="14"/>
  <c r="AH185" i="14" s="1"/>
  <c r="V185" i="14"/>
  <c r="U185" i="14"/>
  <c r="R185" i="14"/>
  <c r="M185" i="14"/>
  <c r="O185" i="14" s="1"/>
  <c r="AI184" i="14"/>
  <c r="M184" i="14"/>
  <c r="O184" i="14" s="1"/>
  <c r="AG183" i="14"/>
  <c r="AG182" i="14" s="1"/>
  <c r="E57" i="13" s="1"/>
  <c r="V183" i="14"/>
  <c r="U183" i="14"/>
  <c r="R183" i="14"/>
  <c r="P183" i="14" a="1"/>
  <c r="P183" i="14" s="1"/>
  <c r="M183" i="14"/>
  <c r="O183" i="14" s="1"/>
  <c r="AD183" i="14" s="1"/>
  <c r="AD182" i="14" s="1"/>
  <c r="AI182" i="14"/>
  <c r="AB182" i="14"/>
  <c r="AA182" i="14"/>
  <c r="Z182" i="14"/>
  <c r="Y182" i="14"/>
  <c r="O182" i="14"/>
  <c r="AG181" i="14"/>
  <c r="V181" i="14"/>
  <c r="U181" i="14"/>
  <c r="R181" i="14"/>
  <c r="M181" i="14"/>
  <c r="O181" i="14" s="1"/>
  <c r="AG180" i="14"/>
  <c r="V180" i="14"/>
  <c r="U180" i="14"/>
  <c r="R180" i="14"/>
  <c r="M180" i="14"/>
  <c r="O180" i="14" s="1"/>
  <c r="AF180" i="14" s="1"/>
  <c r="AG179" i="14"/>
  <c r="V179" i="14"/>
  <c r="U179" i="14"/>
  <c r="R179" i="14"/>
  <c r="M179" i="14"/>
  <c r="J179" i="14"/>
  <c r="AG178" i="14"/>
  <c r="V178" i="14"/>
  <c r="U178" i="14"/>
  <c r="R178" i="14"/>
  <c r="N178" i="14"/>
  <c r="M178" i="14"/>
  <c r="AG177" i="14"/>
  <c r="V177" i="14"/>
  <c r="U177" i="14"/>
  <c r="R177" i="14"/>
  <c r="M177" i="14"/>
  <c r="O177" i="14" s="1"/>
  <c r="V176" i="14"/>
  <c r="U176" i="14"/>
  <c r="R176" i="14"/>
  <c r="M176" i="14"/>
  <c r="O176" i="14" s="1"/>
  <c r="Y176" i="14" s="1"/>
  <c r="AI175" i="14"/>
  <c r="O175" i="14"/>
  <c r="AG174" i="14"/>
  <c r="V174" i="14"/>
  <c r="U174" i="14"/>
  <c r="R174" i="14"/>
  <c r="M174" i="14"/>
  <c r="O174" i="14" s="1"/>
  <c r="V173" i="14"/>
  <c r="U173" i="14"/>
  <c r="R173" i="14"/>
  <c r="I173" i="14"/>
  <c r="M173" i="14" s="1"/>
  <c r="V172" i="14"/>
  <c r="U172" i="14"/>
  <c r="R172" i="14"/>
  <c r="M172" i="14"/>
  <c r="O172" i="14" s="1"/>
  <c r="Y172" i="14" s="1"/>
  <c r="AI171" i="14"/>
  <c r="O171" i="14"/>
  <c r="AG170" i="14"/>
  <c r="V170" i="14"/>
  <c r="U170" i="14"/>
  <c r="R170" i="14"/>
  <c r="M170" i="14"/>
  <c r="O170" i="14" s="1"/>
  <c r="AF170" i="14" s="1"/>
  <c r="AG169" i="14"/>
  <c r="V169" i="14"/>
  <c r="U169" i="14"/>
  <c r="R169" i="14"/>
  <c r="M169" i="14"/>
  <c r="O169" i="14" s="1"/>
  <c r="AD169" i="14" s="1"/>
  <c r="AG168" i="14"/>
  <c r="V168" i="14"/>
  <c r="U168" i="14"/>
  <c r="R168" i="14"/>
  <c r="M168" i="14"/>
  <c r="O168" i="14" s="1"/>
  <c r="AG167" i="14"/>
  <c r="V167" i="14"/>
  <c r="U167" i="14"/>
  <c r="R167" i="14"/>
  <c r="M167" i="14"/>
  <c r="O167" i="14" s="1"/>
  <c r="AG166" i="14"/>
  <c r="V166" i="14"/>
  <c r="U166" i="14"/>
  <c r="R166" i="14"/>
  <c r="M166" i="14"/>
  <c r="O166" i="14" s="1"/>
  <c r="AG165" i="14"/>
  <c r="V165" i="14"/>
  <c r="U165" i="14"/>
  <c r="R165" i="14"/>
  <c r="M165" i="14"/>
  <c r="J165" i="14"/>
  <c r="AG164" i="14"/>
  <c r="V164" i="14"/>
  <c r="U164" i="14"/>
  <c r="R164" i="14"/>
  <c r="M164" i="14"/>
  <c r="O164" i="14" s="1"/>
  <c r="AI163" i="14"/>
  <c r="AB163" i="14"/>
  <c r="AA163" i="14"/>
  <c r="Z163" i="14"/>
  <c r="Y163" i="14"/>
  <c r="O163" i="14"/>
  <c r="AG162" i="14"/>
  <c r="V162" i="14"/>
  <c r="U162" i="14"/>
  <c r="R162" i="14"/>
  <c r="M162" i="14"/>
  <c r="O162" i="14" s="1"/>
  <c r="AG161" i="14"/>
  <c r="V161" i="14"/>
  <c r="U161" i="14"/>
  <c r="R161" i="14"/>
  <c r="M161" i="14"/>
  <c r="O161" i="14" s="1"/>
  <c r="V160" i="14"/>
  <c r="U160" i="14"/>
  <c r="R160" i="14"/>
  <c r="M160" i="14"/>
  <c r="O160" i="14" s="1"/>
  <c r="V159" i="14"/>
  <c r="U159" i="14"/>
  <c r="R159" i="14"/>
  <c r="M159" i="14"/>
  <c r="O159" i="14" s="1"/>
  <c r="AI158" i="14"/>
  <c r="O158" i="14"/>
  <c r="AG157" i="14"/>
  <c r="V157" i="14"/>
  <c r="U157" i="14"/>
  <c r="R157" i="14"/>
  <c r="M157" i="14"/>
  <c r="O157" i="14" s="1"/>
  <c r="AG156" i="14"/>
  <c r="V156" i="14"/>
  <c r="U156" i="14"/>
  <c r="R156" i="14"/>
  <c r="M156" i="14"/>
  <c r="O156" i="14" s="1"/>
  <c r="V155" i="14"/>
  <c r="U155" i="14"/>
  <c r="R155" i="14"/>
  <c r="M155" i="14"/>
  <c r="O155" i="14" s="1"/>
  <c r="V154" i="14"/>
  <c r="U154" i="14"/>
  <c r="R154" i="14"/>
  <c r="M154" i="14"/>
  <c r="O154" i="14" s="1"/>
  <c r="V153" i="14"/>
  <c r="U153" i="14"/>
  <c r="R153" i="14"/>
  <c r="I153" i="14"/>
  <c r="M153" i="14" s="1"/>
  <c r="O153" i="14" s="1"/>
  <c r="AI152" i="14"/>
  <c r="O152" i="14"/>
  <c r="V151" i="14"/>
  <c r="U151" i="14"/>
  <c r="R151" i="14"/>
  <c r="M151" i="14"/>
  <c r="O151" i="14" s="1"/>
  <c r="V150" i="14"/>
  <c r="U150" i="14"/>
  <c r="R150" i="14"/>
  <c r="M150" i="14"/>
  <c r="O150" i="14" s="1"/>
  <c r="V149" i="14"/>
  <c r="U149" i="14"/>
  <c r="R149" i="14"/>
  <c r="M149" i="14"/>
  <c r="O149" i="14" s="1"/>
  <c r="AI148" i="14"/>
  <c r="AH148" i="14"/>
  <c r="F51" i="13" s="1"/>
  <c r="AF148" i="14"/>
  <c r="AE148" i="14"/>
  <c r="AD148" i="14"/>
  <c r="AC148" i="14"/>
  <c r="O148" i="14"/>
  <c r="AG147" i="14"/>
  <c r="V147" i="14"/>
  <c r="U147" i="14"/>
  <c r="R147" i="14"/>
  <c r="M147" i="14"/>
  <c r="O147" i="14" s="1"/>
  <c r="V146" i="14"/>
  <c r="U146" i="14"/>
  <c r="R146" i="14"/>
  <c r="M146" i="14"/>
  <c r="O146" i="14" s="1"/>
  <c r="AI144" i="14"/>
  <c r="O144" i="14"/>
  <c r="AG143" i="14"/>
  <c r="AG142" i="14" s="1"/>
  <c r="E49" i="13" s="1"/>
  <c r="V143" i="14"/>
  <c r="U143" i="14"/>
  <c r="R143" i="14"/>
  <c r="M143" i="14"/>
  <c r="O143" i="14" s="1"/>
  <c r="AI142" i="14"/>
  <c r="AB142" i="14"/>
  <c r="AA142" i="14"/>
  <c r="Z142" i="14"/>
  <c r="Y142" i="14"/>
  <c r="O142" i="14"/>
  <c r="AG141" i="14"/>
  <c r="V141" i="14"/>
  <c r="U141" i="14"/>
  <c r="R141" i="14"/>
  <c r="N141" i="14"/>
  <c r="M141" i="14"/>
  <c r="AI140" i="14"/>
  <c r="AB140" i="14"/>
  <c r="AA140" i="14"/>
  <c r="Z140" i="14"/>
  <c r="Y140" i="14"/>
  <c r="O140" i="14"/>
  <c r="AG139" i="14"/>
  <c r="V139" i="14"/>
  <c r="U139" i="14"/>
  <c r="R139" i="14"/>
  <c r="M139" i="14"/>
  <c r="O139" i="14" s="1"/>
  <c r="AG138" i="14"/>
  <c r="V138" i="14"/>
  <c r="U138" i="14"/>
  <c r="R138" i="14"/>
  <c r="M138" i="14"/>
  <c r="O138" i="14" s="1"/>
  <c r="AG137" i="14"/>
  <c r="V137" i="14"/>
  <c r="U137" i="14"/>
  <c r="R137" i="14"/>
  <c r="M137" i="14"/>
  <c r="O137" i="14" s="1"/>
  <c r="AH136" i="14"/>
  <c r="V136" i="14"/>
  <c r="U136" i="14"/>
  <c r="R136" i="14"/>
  <c r="M136" i="14"/>
  <c r="O136" i="14" s="1"/>
  <c r="AI135" i="14"/>
  <c r="O135" i="14"/>
  <c r="AG134" i="14"/>
  <c r="V134" i="14"/>
  <c r="U134" i="14"/>
  <c r="R134" i="14"/>
  <c r="M134" i="14"/>
  <c r="O134" i="14" s="1"/>
  <c r="AG133" i="14"/>
  <c r="V133" i="14"/>
  <c r="U133" i="14"/>
  <c r="R133" i="14"/>
  <c r="M133" i="14"/>
  <c r="O133" i="14" s="1"/>
  <c r="AG132" i="14"/>
  <c r="V132" i="14"/>
  <c r="U132" i="14"/>
  <c r="R132" i="14"/>
  <c r="M132" i="14"/>
  <c r="O132" i="14" s="1"/>
  <c r="AI131" i="14"/>
  <c r="AB131" i="14"/>
  <c r="AA131" i="14"/>
  <c r="Z131" i="14"/>
  <c r="Y131" i="14"/>
  <c r="O131" i="14"/>
  <c r="AG130" i="14"/>
  <c r="V130" i="14"/>
  <c r="U130" i="14"/>
  <c r="R130" i="14"/>
  <c r="M130" i="14"/>
  <c r="O130" i="14" s="1"/>
  <c r="AC129" i="14"/>
  <c r="AH129" i="14" s="1"/>
  <c r="V129" i="14"/>
  <c r="U129" i="14"/>
  <c r="R129" i="14"/>
  <c r="M129" i="14"/>
  <c r="O129" i="14" s="1"/>
  <c r="AI128" i="14"/>
  <c r="U128" i="14"/>
  <c r="O128" i="14"/>
  <c r="AG127" i="14"/>
  <c r="V127" i="14"/>
  <c r="U127" i="14"/>
  <c r="R127" i="14"/>
  <c r="M127" i="14"/>
  <c r="O127" i="14" s="1"/>
  <c r="AC126" i="14"/>
  <c r="AH126" i="14" s="1"/>
  <c r="V126" i="14"/>
  <c r="U126" i="14"/>
  <c r="R126" i="14"/>
  <c r="M126" i="14"/>
  <c r="O126" i="14" s="1"/>
  <c r="Y126" i="14" s="1"/>
  <c r="AC125" i="14"/>
  <c r="AH125" i="14" s="1"/>
  <c r="V125" i="14"/>
  <c r="U125" i="14"/>
  <c r="R125" i="14"/>
  <c r="M125" i="14"/>
  <c r="O125" i="14" s="1"/>
  <c r="AI124" i="14"/>
  <c r="O124" i="14"/>
  <c r="AG123" i="14"/>
  <c r="V123" i="14"/>
  <c r="U123" i="14"/>
  <c r="R123" i="14"/>
  <c r="M123" i="14"/>
  <c r="O123" i="14" s="1"/>
  <c r="AG122" i="14"/>
  <c r="V122" i="14"/>
  <c r="U122" i="14"/>
  <c r="R122" i="14"/>
  <c r="M122" i="14"/>
  <c r="J122" i="14"/>
  <c r="AG121" i="14"/>
  <c r="V121" i="14"/>
  <c r="U121" i="14"/>
  <c r="R121" i="14"/>
  <c r="M121" i="14"/>
  <c r="O121" i="14" s="1"/>
  <c r="AI120" i="14"/>
  <c r="AB120" i="14"/>
  <c r="AA120" i="14"/>
  <c r="Z120" i="14"/>
  <c r="Y120" i="14"/>
  <c r="U120" i="14"/>
  <c r="O120" i="14"/>
  <c r="AH119" i="14"/>
  <c r="AH118" i="14" s="1"/>
  <c r="F42" i="13" s="1"/>
  <c r="V119" i="14"/>
  <c r="U119" i="14"/>
  <c r="R119" i="14"/>
  <c r="M119" i="14"/>
  <c r="O119" i="14" s="1"/>
  <c r="Y119" i="14" s="1"/>
  <c r="AI118" i="14"/>
  <c r="AF118" i="14"/>
  <c r="AE118" i="14"/>
  <c r="AD118" i="14"/>
  <c r="AC118" i="14"/>
  <c r="U118" i="14"/>
  <c r="O118" i="14"/>
  <c r="AG117" i="14"/>
  <c r="V117" i="14"/>
  <c r="U117" i="14"/>
  <c r="R117" i="14"/>
  <c r="M117" i="14"/>
  <c r="O117" i="14" s="1"/>
  <c r="AG116" i="14"/>
  <c r="V116" i="14"/>
  <c r="U116" i="14"/>
  <c r="R116" i="14"/>
  <c r="M116" i="14"/>
  <c r="O116" i="14" s="1"/>
  <c r="AG115" i="14"/>
  <c r="V115" i="14"/>
  <c r="U115" i="14"/>
  <c r="R115" i="14"/>
  <c r="M115" i="14"/>
  <c r="O115" i="14" s="1"/>
  <c r="AG114" i="14"/>
  <c r="V114" i="14"/>
  <c r="U114" i="14"/>
  <c r="R114" i="14"/>
  <c r="M114" i="14"/>
  <c r="O114" i="14" s="1"/>
  <c r="AG113" i="14"/>
  <c r="V113" i="14"/>
  <c r="U113" i="14"/>
  <c r="R113" i="14"/>
  <c r="M113" i="14"/>
  <c r="O113" i="14" s="1"/>
  <c r="AG112" i="14"/>
  <c r="V112" i="14"/>
  <c r="U112" i="14"/>
  <c r="R112" i="14"/>
  <c r="M112" i="14"/>
  <c r="O112" i="14" s="1"/>
  <c r="AG111" i="14"/>
  <c r="V111" i="14"/>
  <c r="U111" i="14"/>
  <c r="R111" i="14"/>
  <c r="M111" i="14"/>
  <c r="O111" i="14" s="1"/>
  <c r="AG110" i="14"/>
  <c r="V110" i="14"/>
  <c r="U110" i="14"/>
  <c r="R110" i="14"/>
  <c r="M110" i="14"/>
  <c r="O110" i="14" s="1"/>
  <c r="AI109" i="14"/>
  <c r="AB109" i="14"/>
  <c r="AA109" i="14"/>
  <c r="Z109" i="14"/>
  <c r="Y109" i="14"/>
  <c r="U109" i="14"/>
  <c r="O109" i="14"/>
  <c r="AG108" i="14"/>
  <c r="V108" i="14"/>
  <c r="U108" i="14"/>
  <c r="R108" i="14"/>
  <c r="N108" i="14"/>
  <c r="M108" i="14"/>
  <c r="AG107" i="14"/>
  <c r="V107" i="14"/>
  <c r="U107" i="14"/>
  <c r="R107" i="14"/>
  <c r="M107" i="14"/>
  <c r="J107" i="14"/>
  <c r="AG106" i="14"/>
  <c r="V106" i="14"/>
  <c r="U106" i="14"/>
  <c r="R106" i="14"/>
  <c r="M106" i="14"/>
  <c r="O106" i="14" s="1"/>
  <c r="AD106" i="14" s="1"/>
  <c r="AG105" i="14"/>
  <c r="V105" i="14"/>
  <c r="U105" i="14"/>
  <c r="R105" i="14"/>
  <c r="M105" i="14"/>
  <c r="O105" i="14" s="1"/>
  <c r="AG104" i="14"/>
  <c r="V104" i="14"/>
  <c r="U104" i="14"/>
  <c r="R104" i="14"/>
  <c r="M104" i="14"/>
  <c r="O104" i="14" s="1"/>
  <c r="AG103" i="14"/>
  <c r="V103" i="14"/>
  <c r="U103" i="14"/>
  <c r="R103" i="14"/>
  <c r="M103" i="14"/>
  <c r="O103" i="14" s="1"/>
  <c r="AF103" i="14" s="1"/>
  <c r="AG102" i="14"/>
  <c r="V102" i="14"/>
  <c r="U102" i="14"/>
  <c r="R102" i="14"/>
  <c r="M102" i="14"/>
  <c r="O102" i="14" s="1"/>
  <c r="AD102" i="14" s="1"/>
  <c r="AI101" i="14"/>
  <c r="AB101" i="14"/>
  <c r="AA101" i="14"/>
  <c r="Z101" i="14"/>
  <c r="Y101" i="14"/>
  <c r="O101" i="14"/>
  <c r="AG100" i="14"/>
  <c r="V100" i="14"/>
  <c r="U100" i="14"/>
  <c r="R100" i="14"/>
  <c r="M100" i="14"/>
  <c r="O100" i="14" s="1"/>
  <c r="AG99" i="14"/>
  <c r="V99" i="14"/>
  <c r="U99" i="14"/>
  <c r="R99" i="14"/>
  <c r="M99" i="14"/>
  <c r="O99" i="14" s="1"/>
  <c r="AG98" i="14"/>
  <c r="V98" i="14"/>
  <c r="U98" i="14"/>
  <c r="R98" i="14"/>
  <c r="M98" i="14"/>
  <c r="O98" i="14" s="1"/>
  <c r="AD98" i="14" s="1"/>
  <c r="AH97" i="14"/>
  <c r="V97" i="14"/>
  <c r="U97" i="14"/>
  <c r="R97" i="14"/>
  <c r="M97" i="14"/>
  <c r="O97" i="14" s="1"/>
  <c r="AH96" i="14"/>
  <c r="V96" i="14"/>
  <c r="U96" i="14"/>
  <c r="R96" i="14"/>
  <c r="M96" i="14"/>
  <c r="O96" i="14" s="1"/>
  <c r="Y96" i="14" s="1"/>
  <c r="AI95" i="14"/>
  <c r="O95" i="14"/>
  <c r="AG94" i="14"/>
  <c r="V94" i="14"/>
  <c r="U94" i="14"/>
  <c r="R94" i="14"/>
  <c r="M94" i="14"/>
  <c r="O94" i="14" s="1"/>
  <c r="AF94" i="14" s="1"/>
  <c r="AG93" i="14"/>
  <c r="V93" i="14"/>
  <c r="U93" i="14"/>
  <c r="R93" i="14"/>
  <c r="M93" i="14"/>
  <c r="O93" i="14" s="1"/>
  <c r="AD93" i="14" s="1"/>
  <c r="AG92" i="14"/>
  <c r="V92" i="14"/>
  <c r="U92" i="14"/>
  <c r="R92" i="14"/>
  <c r="M92" i="14"/>
  <c r="O92" i="14" s="1"/>
  <c r="AG91" i="14"/>
  <c r="V91" i="14"/>
  <c r="U91" i="14"/>
  <c r="R91" i="14"/>
  <c r="M91" i="14"/>
  <c r="O91" i="14" s="1"/>
  <c r="AG90" i="14"/>
  <c r="V90" i="14"/>
  <c r="U90" i="14"/>
  <c r="R90" i="14"/>
  <c r="M90" i="14"/>
  <c r="O90" i="14" s="1"/>
  <c r="AF90" i="14" s="1"/>
  <c r="AG89" i="14"/>
  <c r="V89" i="14"/>
  <c r="U89" i="14"/>
  <c r="R89" i="14"/>
  <c r="M89" i="14"/>
  <c r="O89" i="14" s="1"/>
  <c r="AD89" i="14" s="1"/>
  <c r="AG88" i="14"/>
  <c r="V88" i="14"/>
  <c r="U88" i="14"/>
  <c r="R88" i="14"/>
  <c r="M88" i="14"/>
  <c r="O88" i="14" s="1"/>
  <c r="AG87" i="14"/>
  <c r="V87" i="14"/>
  <c r="U87" i="14"/>
  <c r="R87" i="14"/>
  <c r="M87" i="14"/>
  <c r="O87" i="14" s="1"/>
  <c r="AC86" i="14"/>
  <c r="V86" i="14"/>
  <c r="U86" i="14"/>
  <c r="R86" i="14"/>
  <c r="M86" i="14"/>
  <c r="O86" i="14" s="1"/>
  <c r="AC85" i="14"/>
  <c r="V85" i="14"/>
  <c r="U85" i="14"/>
  <c r="R85" i="14"/>
  <c r="M85" i="14"/>
  <c r="O85" i="14" s="1"/>
  <c r="Y85" i="14" s="1"/>
  <c r="AI84" i="14"/>
  <c r="O84" i="14"/>
  <c r="AG83" i="14"/>
  <c r="V83" i="14"/>
  <c r="U83" i="14"/>
  <c r="R83" i="14"/>
  <c r="M83" i="14"/>
  <c r="O83" i="14" s="1"/>
  <c r="AF83" i="14" s="1"/>
  <c r="AG82" i="14"/>
  <c r="V82" i="14"/>
  <c r="U82" i="14"/>
  <c r="R82" i="14"/>
  <c r="M82" i="14"/>
  <c r="O82" i="14" s="1"/>
  <c r="AD82" i="14" s="1"/>
  <c r="AI81" i="14"/>
  <c r="AB81" i="14"/>
  <c r="AA81" i="14"/>
  <c r="Z81" i="14"/>
  <c r="Y81" i="14"/>
  <c r="M81" i="14"/>
  <c r="O81" i="14" s="1"/>
  <c r="AG80" i="14"/>
  <c r="V80" i="14"/>
  <c r="U80" i="14"/>
  <c r="R80" i="14"/>
  <c r="M80" i="14"/>
  <c r="J80" i="14"/>
  <c r="AG79" i="14"/>
  <c r="V79" i="14"/>
  <c r="U79" i="14"/>
  <c r="R79" i="14"/>
  <c r="M79" i="14"/>
  <c r="J79" i="14"/>
  <c r="AG78" i="14"/>
  <c r="V78" i="14"/>
  <c r="U78" i="14"/>
  <c r="R78" i="14"/>
  <c r="M78" i="14"/>
  <c r="O78" i="14" s="1"/>
  <c r="AD78" i="14" s="1"/>
  <c r="AG77" i="14"/>
  <c r="V77" i="14"/>
  <c r="U77" i="14"/>
  <c r="R77" i="14"/>
  <c r="M77" i="14"/>
  <c r="O77" i="14" s="1"/>
  <c r="AG76" i="14"/>
  <c r="V76" i="14"/>
  <c r="U76" i="14"/>
  <c r="R76" i="14"/>
  <c r="M76" i="14"/>
  <c r="O76" i="14" s="1"/>
  <c r="AG75" i="14"/>
  <c r="V75" i="14"/>
  <c r="U75" i="14"/>
  <c r="R75" i="14"/>
  <c r="M75" i="14"/>
  <c r="O75" i="14" s="1"/>
  <c r="AG74" i="14"/>
  <c r="V74" i="14"/>
  <c r="U74" i="14"/>
  <c r="R74" i="14"/>
  <c r="M74" i="14"/>
  <c r="O74" i="14" s="1"/>
  <c r="AD74" i="14" s="1"/>
  <c r="AG73" i="14"/>
  <c r="V73" i="14"/>
  <c r="U73" i="14"/>
  <c r="R73" i="14"/>
  <c r="M73" i="14"/>
  <c r="O73" i="14" s="1"/>
  <c r="AF73" i="14" s="1"/>
  <c r="Z72" i="14"/>
  <c r="Z71" i="14" s="1"/>
  <c r="V72" i="14"/>
  <c r="U72" i="14"/>
  <c r="R72" i="14"/>
  <c r="M72" i="14"/>
  <c r="O72" i="14" s="1"/>
  <c r="AI71" i="14"/>
  <c r="AB71" i="14"/>
  <c r="AA71" i="14"/>
  <c r="Y71" i="14"/>
  <c r="O71" i="14"/>
  <c r="AG70" i="14"/>
  <c r="V70" i="14"/>
  <c r="U70" i="14"/>
  <c r="R70" i="14"/>
  <c r="M70" i="14"/>
  <c r="O70" i="14" s="1"/>
  <c r="AG69" i="14"/>
  <c r="V69" i="14"/>
  <c r="U69" i="14"/>
  <c r="R69" i="14"/>
  <c r="M69" i="14"/>
  <c r="O69" i="14" s="1"/>
  <c r="AG68" i="14"/>
  <c r="V68" i="14"/>
  <c r="U68" i="14"/>
  <c r="R68" i="14"/>
  <c r="M68" i="14"/>
  <c r="O68" i="14" s="1"/>
  <c r="AD68" i="14" s="1"/>
  <c r="AG67" i="14"/>
  <c r="V67" i="14"/>
  <c r="U67" i="14"/>
  <c r="R67" i="14"/>
  <c r="M67" i="14"/>
  <c r="O67" i="14" s="1"/>
  <c r="AF67" i="14" s="1"/>
  <c r="AG66" i="14"/>
  <c r="V66" i="14"/>
  <c r="U66" i="14"/>
  <c r="R66" i="14"/>
  <c r="M66" i="14"/>
  <c r="O66" i="14" s="1"/>
  <c r="AI65" i="14"/>
  <c r="AB65" i="14"/>
  <c r="AA65" i="14"/>
  <c r="Z65" i="14"/>
  <c r="Y65" i="14"/>
  <c r="O65" i="14"/>
  <c r="AG64" i="14"/>
  <c r="V64" i="14"/>
  <c r="U64" i="14"/>
  <c r="R64" i="14"/>
  <c r="M64" i="14"/>
  <c r="O64" i="14" s="1"/>
  <c r="V63" i="14"/>
  <c r="U63" i="14"/>
  <c r="R63" i="14"/>
  <c r="M63" i="14"/>
  <c r="O63" i="14" s="1"/>
  <c r="AF63" i="14" s="1"/>
  <c r="V62" i="14"/>
  <c r="U62" i="14"/>
  <c r="R62" i="14"/>
  <c r="M62" i="14"/>
  <c r="O62" i="14" s="1"/>
  <c r="AF62" i="14" s="1"/>
  <c r="V61" i="14"/>
  <c r="U61" i="14"/>
  <c r="R61" i="14"/>
  <c r="M61" i="14"/>
  <c r="O61" i="14" s="1"/>
  <c r="V60" i="14"/>
  <c r="U60" i="14"/>
  <c r="R60" i="14"/>
  <c r="M60" i="14"/>
  <c r="O60" i="14" s="1"/>
  <c r="AF60" i="14" s="1"/>
  <c r="V59" i="14"/>
  <c r="U59" i="14"/>
  <c r="R59" i="14"/>
  <c r="M59" i="14"/>
  <c r="O59" i="14" s="1"/>
  <c r="V58" i="14"/>
  <c r="U58" i="14"/>
  <c r="R58" i="14"/>
  <c r="M58" i="14"/>
  <c r="O58" i="14" s="1"/>
  <c r="AF58" i="14" s="1"/>
  <c r="AG57" i="14"/>
  <c r="V57" i="14"/>
  <c r="U57" i="14"/>
  <c r="R57" i="14"/>
  <c r="M57" i="14"/>
  <c r="O57" i="14" s="1"/>
  <c r="AG56" i="14"/>
  <c r="V56" i="14"/>
  <c r="U56" i="14"/>
  <c r="R56" i="14"/>
  <c r="M56" i="14"/>
  <c r="O56" i="14" s="1"/>
  <c r="AG55" i="14"/>
  <c r="V55" i="14"/>
  <c r="U55" i="14"/>
  <c r="R55" i="14"/>
  <c r="M55" i="14"/>
  <c r="O55" i="14" s="1"/>
  <c r="AD55" i="14" s="1"/>
  <c r="AI54" i="14"/>
  <c r="AB54" i="14"/>
  <c r="AA54" i="14"/>
  <c r="Z54" i="14"/>
  <c r="Y54" i="14"/>
  <c r="O54" i="14"/>
  <c r="AG53" i="14"/>
  <c r="V53" i="14"/>
  <c r="U53" i="14"/>
  <c r="R53" i="14"/>
  <c r="M53" i="14"/>
  <c r="O53" i="14" s="1"/>
  <c r="AG52" i="14"/>
  <c r="V52" i="14"/>
  <c r="U52" i="14"/>
  <c r="R52" i="14"/>
  <c r="M52" i="14"/>
  <c r="O52" i="14" s="1"/>
  <c r="AD52" i="14" s="1"/>
  <c r="AG51" i="14"/>
  <c r="V51" i="14"/>
  <c r="U51" i="14"/>
  <c r="R51" i="14"/>
  <c r="M51" i="14"/>
  <c r="O51" i="14" s="1"/>
  <c r="AF51" i="14" s="1"/>
  <c r="AG50" i="14"/>
  <c r="V50" i="14"/>
  <c r="U50" i="14"/>
  <c r="R50" i="14"/>
  <c r="M50" i="14"/>
  <c r="O50" i="14" s="1"/>
  <c r="AI49" i="14"/>
  <c r="AB49" i="14"/>
  <c r="AA49" i="14"/>
  <c r="Z49" i="14"/>
  <c r="Y49" i="14"/>
  <c r="O49" i="14"/>
  <c r="AG48" i="14"/>
  <c r="V48" i="14"/>
  <c r="U48" i="14"/>
  <c r="R48" i="14"/>
  <c r="M48" i="14"/>
  <c r="O48" i="14" s="1"/>
  <c r="AF48" i="14" s="1"/>
  <c r="V47" i="14"/>
  <c r="U47" i="14"/>
  <c r="R47" i="14"/>
  <c r="M47" i="14"/>
  <c r="O47" i="14" s="1"/>
  <c r="V46" i="14"/>
  <c r="U46" i="14"/>
  <c r="R46" i="14"/>
  <c r="M46" i="14"/>
  <c r="O46" i="14" s="1"/>
  <c r="AF46" i="14" s="1"/>
  <c r="V45" i="14"/>
  <c r="U45" i="14"/>
  <c r="R45" i="14"/>
  <c r="M45" i="14"/>
  <c r="O45" i="14" s="1"/>
  <c r="Y45" i="14" s="1"/>
  <c r="V44" i="14"/>
  <c r="U44" i="14"/>
  <c r="R44" i="14"/>
  <c r="M44" i="14"/>
  <c r="O44" i="14" s="1"/>
  <c r="Y44" i="14" s="1"/>
  <c r="V43" i="14"/>
  <c r="U43" i="14"/>
  <c r="R43" i="14"/>
  <c r="M43" i="14"/>
  <c r="O43" i="14" s="1"/>
  <c r="Y43" i="14" s="1"/>
  <c r="AI42" i="14"/>
  <c r="O42" i="14"/>
  <c r="AG41" i="14"/>
  <c r="V41" i="14"/>
  <c r="U41" i="14"/>
  <c r="R41" i="14"/>
  <c r="M41" i="14"/>
  <c r="O41" i="14" s="1"/>
  <c r="AD41" i="14" s="1"/>
  <c r="AG40" i="14"/>
  <c r="V40" i="14"/>
  <c r="U40" i="14"/>
  <c r="R40" i="14"/>
  <c r="M40" i="14"/>
  <c r="O40" i="14" s="1"/>
  <c r="AF40" i="14" s="1"/>
  <c r="AG39" i="14"/>
  <c r="V39" i="14"/>
  <c r="U39" i="14"/>
  <c r="R39" i="14"/>
  <c r="M39" i="14"/>
  <c r="O39" i="14" s="1"/>
  <c r="AG38" i="14"/>
  <c r="V38" i="14"/>
  <c r="U38" i="14"/>
  <c r="R38" i="14"/>
  <c r="M38" i="14"/>
  <c r="O38" i="14" s="1"/>
  <c r="AG37" i="14"/>
  <c r="V37" i="14"/>
  <c r="U37" i="14"/>
  <c r="R37" i="14"/>
  <c r="M37" i="14"/>
  <c r="O37" i="14" s="1"/>
  <c r="AI36" i="14"/>
  <c r="AB36" i="14"/>
  <c r="AA36" i="14"/>
  <c r="Z36" i="14"/>
  <c r="Y36" i="14"/>
  <c r="O36" i="14"/>
  <c r="AG35" i="14"/>
  <c r="V35" i="14"/>
  <c r="U35" i="14"/>
  <c r="R35" i="14"/>
  <c r="M35" i="14"/>
  <c r="O35" i="14" s="1"/>
  <c r="AG34" i="14"/>
  <c r="V34" i="14"/>
  <c r="U34" i="14"/>
  <c r="R34" i="14"/>
  <c r="M34" i="14"/>
  <c r="O34" i="14" s="1"/>
  <c r="AG33" i="14"/>
  <c r="V33" i="14"/>
  <c r="U33" i="14"/>
  <c r="R33" i="14"/>
  <c r="M33" i="14"/>
  <c r="O33" i="14" s="1"/>
  <c r="AF33" i="14" s="1"/>
  <c r="AG32" i="14"/>
  <c r="V32" i="14"/>
  <c r="U32" i="14"/>
  <c r="R32" i="14"/>
  <c r="M32" i="14"/>
  <c r="O32" i="14" s="1"/>
  <c r="AG31" i="14"/>
  <c r="V31" i="14"/>
  <c r="U31" i="14"/>
  <c r="R31" i="14"/>
  <c r="M31" i="14"/>
  <c r="O31" i="14" s="1"/>
  <c r="AG30" i="14"/>
  <c r="V30" i="14"/>
  <c r="U30" i="14"/>
  <c r="R30" i="14"/>
  <c r="M30" i="14"/>
  <c r="O30" i="14" s="1"/>
  <c r="AG29" i="14"/>
  <c r="V29" i="14"/>
  <c r="U29" i="14"/>
  <c r="R29" i="14"/>
  <c r="M29" i="14"/>
  <c r="O29" i="14" s="1"/>
  <c r="AH28" i="14"/>
  <c r="V28" i="14"/>
  <c r="U28" i="14"/>
  <c r="R28" i="14"/>
  <c r="M28" i="14"/>
  <c r="O28" i="14" s="1"/>
  <c r="AH27" i="14"/>
  <c r="V27" i="14"/>
  <c r="U27" i="14"/>
  <c r="R27" i="14"/>
  <c r="M27" i="14"/>
  <c r="O27" i="14" s="1"/>
  <c r="Y27" i="14" s="1"/>
  <c r="AI26" i="14"/>
  <c r="AG25" i="14"/>
  <c r="AG24" i="14" s="1"/>
  <c r="E29" i="13" s="1"/>
  <c r="V25" i="14"/>
  <c r="U25" i="14"/>
  <c r="R25" i="14"/>
  <c r="M25" i="14"/>
  <c r="O25" i="14" s="1"/>
  <c r="AF25" i="14" s="1"/>
  <c r="AF24" i="14" s="1"/>
  <c r="AI24" i="14"/>
  <c r="AB24" i="14"/>
  <c r="AA24" i="14"/>
  <c r="Z24" i="14"/>
  <c r="Y24" i="14"/>
  <c r="AG23" i="14"/>
  <c r="V23" i="14"/>
  <c r="U23" i="14"/>
  <c r="R23" i="14"/>
  <c r="M23" i="14"/>
  <c r="O23" i="14" s="1"/>
  <c r="AG22" i="14"/>
  <c r="V22" i="14"/>
  <c r="U22" i="14"/>
  <c r="R22" i="14"/>
  <c r="M22" i="14"/>
  <c r="O22" i="14" s="1"/>
  <c r="AG21" i="14"/>
  <c r="V21" i="14"/>
  <c r="U21" i="14"/>
  <c r="R21" i="14"/>
  <c r="M21" i="14"/>
  <c r="O21" i="14" s="1"/>
  <c r="AF21" i="14" s="1"/>
  <c r="AG20" i="14"/>
  <c r="V20" i="14"/>
  <c r="U20" i="14"/>
  <c r="R20" i="14"/>
  <c r="M20" i="14"/>
  <c r="O20" i="14" s="1"/>
  <c r="AG19" i="14"/>
  <c r="V19" i="14"/>
  <c r="U19" i="14"/>
  <c r="R19" i="14"/>
  <c r="M19" i="14"/>
  <c r="O19" i="14" s="1"/>
  <c r="AG18" i="14"/>
  <c r="V18" i="14"/>
  <c r="U18" i="14"/>
  <c r="R18" i="14"/>
  <c r="M18" i="14"/>
  <c r="O18" i="14" s="1"/>
  <c r="AG17" i="14"/>
  <c r="V17" i="14"/>
  <c r="U17" i="14"/>
  <c r="R17" i="14"/>
  <c r="M17" i="14"/>
  <c r="O17" i="14" s="1"/>
  <c r="AF17" i="14" s="1"/>
  <c r="AH16" i="14"/>
  <c r="V16" i="14"/>
  <c r="U16" i="14"/>
  <c r="R16" i="14"/>
  <c r="M16" i="14"/>
  <c r="O16" i="14" s="1"/>
  <c r="AI15" i="14"/>
  <c r="AG14" i="14"/>
  <c r="V14" i="14"/>
  <c r="U14" i="14"/>
  <c r="R14" i="14"/>
  <c r="M14" i="14"/>
  <c r="O14" i="14" s="1"/>
  <c r="AG13" i="14"/>
  <c r="V13" i="14"/>
  <c r="U13" i="14"/>
  <c r="R13" i="14"/>
  <c r="M13" i="14"/>
  <c r="O13" i="14" s="1"/>
  <c r="AF13" i="14" s="1"/>
  <c r="V12" i="14"/>
  <c r="U12" i="14"/>
  <c r="R12" i="14"/>
  <c r="M12" i="14"/>
  <c r="O12" i="14" s="1"/>
  <c r="AI11" i="14"/>
  <c r="AH271" i="14" l="1"/>
  <c r="AJ271" i="14" s="1"/>
  <c r="AG320" i="14"/>
  <c r="AE14" i="14"/>
  <c r="AB221" i="14"/>
  <c r="AB220" i="14" s="1"/>
  <c r="AE132" i="14"/>
  <c r="AE139" i="14"/>
  <c r="AE203" i="14"/>
  <c r="AA352" i="14"/>
  <c r="AB16" i="14"/>
  <c r="AB15" i="14" s="1"/>
  <c r="AE20" i="14"/>
  <c r="AE302" i="14"/>
  <c r="AE301" i="14" s="1"/>
  <c r="AG65" i="14"/>
  <c r="E35" i="13" s="1"/>
  <c r="AA154" i="14"/>
  <c r="AA155" i="14"/>
  <c r="AE234" i="14"/>
  <c r="AG109" i="14"/>
  <c r="E41" i="13" s="1"/>
  <c r="AG347" i="14"/>
  <c r="E84" i="13" s="1"/>
  <c r="O368" i="14"/>
  <c r="AF368" i="14" s="1"/>
  <c r="AA16" i="14"/>
  <c r="AA15" i="14" s="1"/>
  <c r="O108" i="14"/>
  <c r="AE108" i="14" s="1"/>
  <c r="O141" i="14"/>
  <c r="AE228" i="14"/>
  <c r="AE344" i="14"/>
  <c r="AA193" i="14"/>
  <c r="O262" i="14"/>
  <c r="AB273" i="14"/>
  <c r="AB272" i="14" s="1"/>
  <c r="AA313" i="14"/>
  <c r="AA312" i="14" s="1"/>
  <c r="AE213" i="14"/>
  <c r="AE217" i="14"/>
  <c r="AB283" i="14"/>
  <c r="AB282" i="14" s="1"/>
  <c r="AE309" i="14"/>
  <c r="AB360" i="14"/>
  <c r="AB359" i="14" s="1"/>
  <c r="AE366" i="14"/>
  <c r="AE386" i="14"/>
  <c r="AE388" i="14"/>
  <c r="AB85" i="14"/>
  <c r="O178" i="14"/>
  <c r="AE178" i="14" s="1"/>
  <c r="O107" i="14"/>
  <c r="AE107" i="14" s="1"/>
  <c r="AA149" i="14"/>
  <c r="AE164" i="14"/>
  <c r="O179" i="14"/>
  <c r="AE179" i="14" s="1"/>
  <c r="AE181" i="14"/>
  <c r="AE232" i="14"/>
  <c r="AG275" i="14"/>
  <c r="E72" i="13" s="1"/>
  <c r="AE94" i="14"/>
  <c r="AE230" i="14"/>
  <c r="AA292" i="14"/>
  <c r="AA291" i="14" s="1"/>
  <c r="AA337" i="14"/>
  <c r="AA336" i="14" s="1"/>
  <c r="AE33" i="14"/>
  <c r="AF98" i="14"/>
  <c r="AI10" i="14"/>
  <c r="AA45" i="14"/>
  <c r="AG49" i="14"/>
  <c r="E33" i="13" s="1"/>
  <c r="AE60" i="14"/>
  <c r="O165" i="14"/>
  <c r="AD165" i="14" s="1"/>
  <c r="AA221" i="14"/>
  <c r="AG303" i="14"/>
  <c r="E77" i="13" s="1"/>
  <c r="AB313" i="14"/>
  <c r="AB312" i="14" s="1"/>
  <c r="AG331" i="14"/>
  <c r="E82" i="13" s="1"/>
  <c r="AB337" i="14"/>
  <c r="Z337" i="14" s="1"/>
  <c r="AA338" i="14"/>
  <c r="AA339" i="14"/>
  <c r="AE361" i="14"/>
  <c r="O369" i="14"/>
  <c r="AF369" i="14" s="1"/>
  <c r="AE58" i="14"/>
  <c r="AE40" i="14"/>
  <c r="AE51" i="14"/>
  <c r="AE62" i="14"/>
  <c r="AE73" i="14"/>
  <c r="O80" i="14"/>
  <c r="AD80" i="14" s="1"/>
  <c r="AA85" i="14"/>
  <c r="AB97" i="14"/>
  <c r="AF47" i="14"/>
  <c r="AF42" i="14" s="1"/>
  <c r="AD47" i="14"/>
  <c r="AF59" i="14"/>
  <c r="AD59" i="14"/>
  <c r="AA43" i="14"/>
  <c r="AF61" i="14"/>
  <c r="AD61" i="14"/>
  <c r="AF29" i="14"/>
  <c r="AD29" i="14"/>
  <c r="AD21" i="14"/>
  <c r="AE29" i="14"/>
  <c r="AE46" i="14"/>
  <c r="AA86" i="14"/>
  <c r="AF166" i="14"/>
  <c r="AD166" i="14"/>
  <c r="AF174" i="14"/>
  <c r="AF171" i="14" s="1"/>
  <c r="AE174" i="14"/>
  <c r="AE171" i="14" s="1"/>
  <c r="AF186" i="14"/>
  <c r="AE186" i="14"/>
  <c r="AD186" i="14"/>
  <c r="AD270" i="14"/>
  <c r="AE270" i="14"/>
  <c r="AE334" i="14"/>
  <c r="AD334" i="14"/>
  <c r="AE340" i="14"/>
  <c r="AD340" i="14"/>
  <c r="AF378" i="14"/>
  <c r="AD378" i="14"/>
  <c r="AD375" i="14" s="1"/>
  <c r="AE25" i="14"/>
  <c r="AE24" i="14" s="1"/>
  <c r="AD33" i="14"/>
  <c r="AD40" i="14"/>
  <c r="AE47" i="14"/>
  <c r="AD51" i="14"/>
  <c r="AD58" i="14"/>
  <c r="AD60" i="14"/>
  <c r="AF223" i="14"/>
  <c r="AE223" i="14"/>
  <c r="AA255" i="14"/>
  <c r="AA254" i="14" s="1"/>
  <c r="AF357" i="14"/>
  <c r="AD357" i="14"/>
  <c r="AA44" i="14"/>
  <c r="AD46" i="14"/>
  <c r="AD42" i="14" s="1"/>
  <c r="AD48" i="14"/>
  <c r="AD63" i="14"/>
  <c r="AF77" i="14"/>
  <c r="AD77" i="14"/>
  <c r="AF252" i="14"/>
  <c r="AE252" i="14"/>
  <c r="AD252" i="14"/>
  <c r="AF261" i="14"/>
  <c r="AE261" i="14"/>
  <c r="AD261" i="14"/>
  <c r="AF285" i="14"/>
  <c r="AE285" i="14"/>
  <c r="AE305" i="14"/>
  <c r="AF305" i="14"/>
  <c r="AE48" i="14"/>
  <c r="AF64" i="14"/>
  <c r="AD64" i="14"/>
  <c r="AD256" i="14"/>
  <c r="AF256" i="14"/>
  <c r="AE256" i="14"/>
  <c r="AF264" i="14"/>
  <c r="AD264" i="14"/>
  <c r="AF278" i="14"/>
  <c r="AD278" i="14"/>
  <c r="AF389" i="14"/>
  <c r="AD389" i="14"/>
  <c r="AE59" i="14"/>
  <c r="AE61" i="14"/>
  <c r="AE63" i="14"/>
  <c r="AD67" i="14"/>
  <c r="AC67" i="14" s="1"/>
  <c r="AD90" i="14"/>
  <c r="AF93" i="14"/>
  <c r="AD170" i="14"/>
  <c r="AE183" i="14"/>
  <c r="AE182" i="14" s="1"/>
  <c r="AF205" i="14"/>
  <c r="AF209" i="14"/>
  <c r="AE219" i="14"/>
  <c r="AE243" i="14"/>
  <c r="AF265" i="14"/>
  <c r="AE307" i="14"/>
  <c r="O328" i="14"/>
  <c r="AE328" i="14" s="1"/>
  <c r="Y339" i="14"/>
  <c r="O349" i="14"/>
  <c r="AF349" i="14" s="1"/>
  <c r="AG365" i="14"/>
  <c r="E88" i="13" s="1"/>
  <c r="AE387" i="14"/>
  <c r="AC387" i="14" s="1"/>
  <c r="AD62" i="14"/>
  <c r="AC62" i="14" s="1"/>
  <c r="AE67" i="14"/>
  <c r="O79" i="14"/>
  <c r="AD79" i="14" s="1"/>
  <c r="AF89" i="14"/>
  <c r="AE90" i="14"/>
  <c r="AE93" i="14"/>
  <c r="AE103" i="14"/>
  <c r="O122" i="14"/>
  <c r="AD122" i="14" s="1"/>
  <c r="AA136" i="14"/>
  <c r="AA135" i="14" s="1"/>
  <c r="AA150" i="14"/>
  <c r="AA151" i="14"/>
  <c r="AF169" i="14"/>
  <c r="AE170" i="14"/>
  <c r="AE177" i="14"/>
  <c r="AD201" i="14"/>
  <c r="AA237" i="14"/>
  <c r="AD239" i="14"/>
  <c r="AC239" i="14" s="1"/>
  <c r="AD240" i="14"/>
  <c r="AF251" i="14"/>
  <c r="AF260" i="14"/>
  <c r="AD280" i="14"/>
  <c r="AE294" i="14"/>
  <c r="AD304" i="14"/>
  <c r="AD308" i="14"/>
  <c r="AA355" i="14"/>
  <c r="AE357" i="14"/>
  <c r="AE377" i="14"/>
  <c r="AA380" i="14"/>
  <c r="AA382" i="14"/>
  <c r="AE64" i="14"/>
  <c r="AD73" i="14"/>
  <c r="AE77" i="14"/>
  <c r="AE89" i="14"/>
  <c r="AA96" i="14"/>
  <c r="AE166" i="14"/>
  <c r="AE169" i="14"/>
  <c r="AE201" i="14"/>
  <c r="AE215" i="14"/>
  <c r="AA236" i="14"/>
  <c r="AE239" i="14"/>
  <c r="AE251" i="14"/>
  <c r="AE260" i="14"/>
  <c r="AE276" i="14"/>
  <c r="M311" i="14"/>
  <c r="O311" i="14" s="1"/>
  <c r="AB339" i="14"/>
  <c r="O345" i="14"/>
  <c r="AF345" i="14" s="1"/>
  <c r="AA392" i="14"/>
  <c r="AA390" i="14" s="1"/>
  <c r="Y86" i="14"/>
  <c r="AD94" i="14"/>
  <c r="AE100" i="14"/>
  <c r="AG101" i="14"/>
  <c r="E40" i="13" s="1"/>
  <c r="AE141" i="14"/>
  <c r="AE140" i="14" s="1"/>
  <c r="AE156" i="14"/>
  <c r="AA172" i="14"/>
  <c r="AE206" i="14"/>
  <c r="AF211" i="14"/>
  <c r="AD243" i="14"/>
  <c r="AC243" i="14" s="1"/>
  <c r="AD244" i="14"/>
  <c r="AE250" i="14"/>
  <c r="AE259" i="14"/>
  <c r="AE265" i="14"/>
  <c r="AC265" i="14" s="1"/>
  <c r="AE295" i="14"/>
  <c r="AD344" i="14"/>
  <c r="AA353" i="14"/>
  <c r="AE374" i="14"/>
  <c r="AA381" i="14"/>
  <c r="AE22" i="14"/>
  <c r="AF22" i="14"/>
  <c r="AD22" i="14"/>
  <c r="AB12" i="14"/>
  <c r="AB11" i="14" s="1"/>
  <c r="AA12" i="14"/>
  <c r="Y12" i="14"/>
  <c r="AE18" i="14"/>
  <c r="AF18" i="14"/>
  <c r="AD18" i="14"/>
  <c r="AD19" i="14"/>
  <c r="AF19" i="14"/>
  <c r="AE19" i="14"/>
  <c r="AD23" i="14"/>
  <c r="AF23" i="14"/>
  <c r="AE23" i="14"/>
  <c r="AD13" i="14"/>
  <c r="AF14" i="14"/>
  <c r="AF11" i="14" s="1"/>
  <c r="AE17" i="14"/>
  <c r="AF20" i="14"/>
  <c r="AE21" i="14"/>
  <c r="AE35" i="14"/>
  <c r="AD35" i="14"/>
  <c r="AF35" i="14"/>
  <c r="AG36" i="14"/>
  <c r="E31" i="13" s="1"/>
  <c r="AF39" i="14"/>
  <c r="AD39" i="14"/>
  <c r="AE39" i="14"/>
  <c r="AF53" i="14"/>
  <c r="AE53" i="14"/>
  <c r="AD53" i="14"/>
  <c r="AF70" i="14"/>
  <c r="AE70" i="14"/>
  <c r="AD70" i="14"/>
  <c r="AE13" i="14"/>
  <c r="AE11" i="14" s="1"/>
  <c r="Y16" i="14"/>
  <c r="AA27" i="14"/>
  <c r="AB28" i="14"/>
  <c r="Y28" i="14"/>
  <c r="AA28" i="14"/>
  <c r="AD30" i="14"/>
  <c r="AF30" i="14"/>
  <c r="AE30" i="14"/>
  <c r="AE38" i="14"/>
  <c r="AD38" i="14"/>
  <c r="AF38" i="14"/>
  <c r="AF56" i="14"/>
  <c r="AE56" i="14"/>
  <c r="AD56" i="14"/>
  <c r="AF66" i="14"/>
  <c r="AE66" i="14"/>
  <c r="AD66" i="14"/>
  <c r="AF75" i="14"/>
  <c r="AE75" i="14"/>
  <c r="AD75" i="14"/>
  <c r="AE91" i="14"/>
  <c r="AF91" i="14"/>
  <c r="AD91" i="14"/>
  <c r="AD99" i="14"/>
  <c r="AF99" i="14"/>
  <c r="AE99" i="14"/>
  <c r="AD20" i="14"/>
  <c r="AD25" i="14"/>
  <c r="AB27" i="14"/>
  <c r="AF32" i="14"/>
  <c r="AD32" i="14"/>
  <c r="AE32" i="14"/>
  <c r="AD34" i="14"/>
  <c r="AF34" i="14"/>
  <c r="AE34" i="14"/>
  <c r="AF50" i="14"/>
  <c r="AE50" i="14"/>
  <c r="AD50" i="14"/>
  <c r="AF57" i="14"/>
  <c r="AE57" i="14"/>
  <c r="AD57" i="14"/>
  <c r="AF76" i="14"/>
  <c r="AE76" i="14"/>
  <c r="AD76" i="14"/>
  <c r="AE87" i="14"/>
  <c r="AF87" i="14"/>
  <c r="AD87" i="14"/>
  <c r="AD92" i="14"/>
  <c r="AF92" i="14"/>
  <c r="AE92" i="14"/>
  <c r="AD105" i="14"/>
  <c r="AE105" i="14"/>
  <c r="AF105" i="14"/>
  <c r="AD17" i="14"/>
  <c r="AE31" i="14"/>
  <c r="AD31" i="14"/>
  <c r="AF31" i="14"/>
  <c r="AD37" i="14"/>
  <c r="AF37" i="14"/>
  <c r="AE37" i="14"/>
  <c r="Y42" i="14"/>
  <c r="AF69" i="14"/>
  <c r="AE69" i="14"/>
  <c r="AD69" i="14"/>
  <c r="AF72" i="14"/>
  <c r="AE72" i="14"/>
  <c r="AD72" i="14"/>
  <c r="AD88" i="14"/>
  <c r="AF88" i="14"/>
  <c r="AE88" i="14"/>
  <c r="AD14" i="14"/>
  <c r="AE41" i="14"/>
  <c r="AB43" i="14"/>
  <c r="AB44" i="14"/>
  <c r="Z44" i="14" s="1"/>
  <c r="AB45" i="14"/>
  <c r="AE52" i="14"/>
  <c r="AG54" i="14"/>
  <c r="E34" i="13" s="1"/>
  <c r="AE55" i="14"/>
  <c r="AE68" i="14"/>
  <c r="AG72" i="14"/>
  <c r="AE74" i="14"/>
  <c r="AE78" i="14"/>
  <c r="AG81" i="14"/>
  <c r="E37" i="13" s="1"/>
  <c r="AE82" i="14"/>
  <c r="AD83" i="14"/>
  <c r="AD81" i="14" s="1"/>
  <c r="AA97" i="14"/>
  <c r="AF100" i="14"/>
  <c r="AF102" i="14"/>
  <c r="AD103" i="14"/>
  <c r="AF106" i="14"/>
  <c r="AF111" i="14"/>
  <c r="AE111" i="14"/>
  <c r="AD111" i="14"/>
  <c r="AE112" i="14"/>
  <c r="AD112" i="14"/>
  <c r="AF112" i="14"/>
  <c r="AF115" i="14"/>
  <c r="AE115" i="14"/>
  <c r="AD115" i="14"/>
  <c r="AE116" i="14"/>
  <c r="AD116" i="14"/>
  <c r="AF116" i="14"/>
  <c r="AA126" i="14"/>
  <c r="AF127" i="14"/>
  <c r="AF124" i="14" s="1"/>
  <c r="AE127" i="14"/>
  <c r="AE124" i="14" s="1"/>
  <c r="AD127" i="14"/>
  <c r="AD133" i="14"/>
  <c r="AF133" i="14"/>
  <c r="AE133" i="14"/>
  <c r="Y136" i="14"/>
  <c r="AB136" i="14"/>
  <c r="AB135" i="14" s="1"/>
  <c r="Y146" i="14"/>
  <c r="AB146" i="14"/>
  <c r="AA146" i="14"/>
  <c r="AF147" i="14"/>
  <c r="AF144" i="14" s="1"/>
  <c r="AE147" i="14"/>
  <c r="AE144" i="14" s="1"/>
  <c r="AD147" i="14"/>
  <c r="Y149" i="14"/>
  <c r="AB149" i="14"/>
  <c r="Y150" i="14"/>
  <c r="AB150" i="14"/>
  <c r="Y151" i="14"/>
  <c r="AB151" i="14"/>
  <c r="AF41" i="14"/>
  <c r="AF52" i="14"/>
  <c r="AF55" i="14"/>
  <c r="AF68" i="14"/>
  <c r="AF74" i="14"/>
  <c r="AF78" i="14"/>
  <c r="AF82" i="14"/>
  <c r="AF81" i="14" s="1"/>
  <c r="AE83" i="14"/>
  <c r="AB86" i="14"/>
  <c r="AB96" i="14"/>
  <c r="AE98" i="14"/>
  <c r="AF110" i="14"/>
  <c r="AD110" i="14"/>
  <c r="AE110" i="14"/>
  <c r="AF114" i="14"/>
  <c r="AD114" i="14"/>
  <c r="AE114" i="14"/>
  <c r="AA119" i="14"/>
  <c r="AB125" i="14"/>
  <c r="AA125" i="14"/>
  <c r="Y125" i="14"/>
  <c r="AB126" i="14"/>
  <c r="AB129" i="14"/>
  <c r="AB128" i="14" s="1"/>
  <c r="AA129" i="14"/>
  <c r="Y129" i="14"/>
  <c r="AF134" i="14"/>
  <c r="AE134" i="14"/>
  <c r="AD134" i="14"/>
  <c r="AF137" i="14"/>
  <c r="AE137" i="14"/>
  <c r="AD137" i="14"/>
  <c r="AF143" i="14"/>
  <c r="AF142" i="14" s="1"/>
  <c r="AE143" i="14"/>
  <c r="AE142" i="14" s="1"/>
  <c r="AD143" i="14"/>
  <c r="AB159" i="14"/>
  <c r="Y159" i="14"/>
  <c r="Y160" i="14"/>
  <c r="AB160" i="14"/>
  <c r="AE161" i="14"/>
  <c r="AF161" i="14"/>
  <c r="AD161" i="14"/>
  <c r="AE167" i="14"/>
  <c r="AF167" i="14"/>
  <c r="AD167" i="14"/>
  <c r="AF178" i="14"/>
  <c r="AD178" i="14"/>
  <c r="AA185" i="14"/>
  <c r="Y97" i="14"/>
  <c r="AD100" i="14"/>
  <c r="AE104" i="14"/>
  <c r="AF104" i="14"/>
  <c r="AD113" i="14"/>
  <c r="AE113" i="14"/>
  <c r="AF113" i="14"/>
  <c r="AD117" i="14"/>
  <c r="AE117" i="14"/>
  <c r="AF117" i="14"/>
  <c r="Y118" i="14"/>
  <c r="AB119" i="14"/>
  <c r="AB118" i="14" s="1"/>
  <c r="AD121" i="14"/>
  <c r="AE121" i="14"/>
  <c r="AF121" i="14"/>
  <c r="AE123" i="14"/>
  <c r="AD123" i="14"/>
  <c r="AF123" i="14"/>
  <c r="AF138" i="14"/>
  <c r="AE138" i="14"/>
  <c r="AD138" i="14"/>
  <c r="AA153" i="14"/>
  <c r="Y153" i="14"/>
  <c r="AB153" i="14"/>
  <c r="AD157" i="14"/>
  <c r="AF157" i="14"/>
  <c r="AE157" i="14"/>
  <c r="AD162" i="14"/>
  <c r="AF162" i="14"/>
  <c r="AE162" i="14"/>
  <c r="AD168" i="14"/>
  <c r="AE168" i="14"/>
  <c r="AF168" i="14"/>
  <c r="AB185" i="14"/>
  <c r="AB184" i="14" s="1"/>
  <c r="Y185" i="14"/>
  <c r="AE102" i="14"/>
  <c r="AD104" i="14"/>
  <c r="AE106" i="14"/>
  <c r="AD130" i="14"/>
  <c r="AF130" i="14"/>
  <c r="AF128" i="14" s="1"/>
  <c r="AE130" i="14"/>
  <c r="AE128" i="14" s="1"/>
  <c r="AD187" i="14"/>
  <c r="AE187" i="14"/>
  <c r="AF187" i="14"/>
  <c r="AG120" i="14"/>
  <c r="E43" i="13" s="1"/>
  <c r="AF132" i="14"/>
  <c r="AF139" i="14"/>
  <c r="AF141" i="14"/>
  <c r="AF140" i="14" s="1"/>
  <c r="AB154" i="14"/>
  <c r="Z154" i="14" s="1"/>
  <c r="AB155" i="14"/>
  <c r="AF156" i="14"/>
  <c r="AG163" i="14"/>
  <c r="E54" i="13" s="1"/>
  <c r="AB172" i="14"/>
  <c r="O173" i="14"/>
  <c r="AD174" i="14"/>
  <c r="AF177" i="14"/>
  <c r="AF179" i="14"/>
  <c r="AE180" i="14"/>
  <c r="AF183" i="14"/>
  <c r="AD191" i="14"/>
  <c r="AF191" i="14"/>
  <c r="AE191" i="14"/>
  <c r="AA192" i="14"/>
  <c r="AD199" i="14"/>
  <c r="AF199" i="14"/>
  <c r="AE199" i="14"/>
  <c r="AE224" i="14"/>
  <c r="AD224" i="14"/>
  <c r="AF224" i="14"/>
  <c r="AA226" i="14"/>
  <c r="AD233" i="14"/>
  <c r="AF233" i="14"/>
  <c r="AE233" i="14"/>
  <c r="Y154" i="14"/>
  <c r="Y155" i="14"/>
  <c r="AA160" i="14"/>
  <c r="AF194" i="14"/>
  <c r="AF192" i="14" s="1"/>
  <c r="AE194" i="14"/>
  <c r="AE192" i="14" s="1"/>
  <c r="AD194" i="14"/>
  <c r="AF200" i="14"/>
  <c r="AE200" i="14"/>
  <c r="AD200" i="14"/>
  <c r="AE202" i="14"/>
  <c r="AD202" i="14"/>
  <c r="AD218" i="14"/>
  <c r="AF218" i="14"/>
  <c r="AE218" i="14"/>
  <c r="Y226" i="14"/>
  <c r="AB226" i="14"/>
  <c r="AB225" i="14" s="1"/>
  <c r="AD132" i="14"/>
  <c r="AD139" i="14"/>
  <c r="AG140" i="14"/>
  <c r="E48" i="13" s="1"/>
  <c r="AD141" i="14"/>
  <c r="AD156" i="14"/>
  <c r="AD164" i="14"/>
  <c r="Y175" i="14"/>
  <c r="AA176" i="14"/>
  <c r="AD177" i="14"/>
  <c r="AD179" i="14"/>
  <c r="AD181" i="14"/>
  <c r="AF189" i="14"/>
  <c r="AE189" i="14"/>
  <c r="AD189" i="14"/>
  <c r="AE190" i="14"/>
  <c r="AD190" i="14"/>
  <c r="AF190" i="14"/>
  <c r="AF196" i="14"/>
  <c r="AF195" i="14" s="1"/>
  <c r="AE196" i="14"/>
  <c r="AE195" i="14" s="1"/>
  <c r="AD196" i="14"/>
  <c r="AB198" i="14"/>
  <c r="AB197" i="14" s="1"/>
  <c r="AA198" i="14"/>
  <c r="Y198" i="14"/>
  <c r="AD229" i="14"/>
  <c r="AF229" i="14"/>
  <c r="AE229" i="14"/>
  <c r="AG131" i="14"/>
  <c r="E46" i="13" s="1"/>
  <c r="AA159" i="14"/>
  <c r="AF164" i="14"/>
  <c r="AB176" i="14"/>
  <c r="AB175" i="14" s="1"/>
  <c r="AD180" i="14"/>
  <c r="AF181" i="14"/>
  <c r="AF188" i="14"/>
  <c r="AD188" i="14"/>
  <c r="AE188" i="14"/>
  <c r="AE207" i="14"/>
  <c r="AD207" i="14"/>
  <c r="AF207" i="14"/>
  <c r="AD214" i="14"/>
  <c r="AF214" i="14"/>
  <c r="AE214" i="14"/>
  <c r="AB193" i="14"/>
  <c r="AB192" i="14" s="1"/>
  <c r="AE205" i="14"/>
  <c r="AD206" i="14"/>
  <c r="AE209" i="14"/>
  <c r="AE211" i="14"/>
  <c r="AG212" i="14"/>
  <c r="E63" i="13" s="1"/>
  <c r="AF215" i="14"/>
  <c r="AE216" i="14"/>
  <c r="AF219" i="14"/>
  <c r="AH221" i="14"/>
  <c r="AD223" i="14"/>
  <c r="AE227" i="14"/>
  <c r="AF230" i="14"/>
  <c r="AE231" i="14"/>
  <c r="AF234" i="14"/>
  <c r="AB237" i="14"/>
  <c r="Y237" i="14"/>
  <c r="AF241" i="14"/>
  <c r="AE241" i="14"/>
  <c r="AD241" i="14"/>
  <c r="AE258" i="14"/>
  <c r="AF258" i="14"/>
  <c r="AD258" i="14"/>
  <c r="AA273" i="14"/>
  <c r="Y193" i="14"/>
  <c r="AD210" i="14"/>
  <c r="AE238" i="14"/>
  <c r="M246" i="14"/>
  <c r="O246" i="14" s="1"/>
  <c r="AF248" i="14"/>
  <c r="AE248" i="14"/>
  <c r="AD248" i="14"/>
  <c r="AG247" i="14"/>
  <c r="E67" i="13" s="1"/>
  <c r="AE253" i="14"/>
  <c r="AF253" i="14"/>
  <c r="AD253" i="14"/>
  <c r="AD262" i="14"/>
  <c r="AF262" i="14"/>
  <c r="AE262" i="14"/>
  <c r="Y273" i="14"/>
  <c r="AF274" i="14"/>
  <c r="AF272" i="14" s="1"/>
  <c r="AE274" i="14"/>
  <c r="AE272" i="14" s="1"/>
  <c r="AD274" i="14"/>
  <c r="AE281" i="14"/>
  <c r="AF281" i="14"/>
  <c r="AD281" i="14"/>
  <c r="AD203" i="14"/>
  <c r="AG204" i="14"/>
  <c r="E62" i="13" s="1"/>
  <c r="AE208" i="14"/>
  <c r="AE210" i="14"/>
  <c r="AD213" i="14"/>
  <c r="AD215" i="14"/>
  <c r="AD217" i="14"/>
  <c r="AD219" i="14"/>
  <c r="AD228" i="14"/>
  <c r="AD230" i="14"/>
  <c r="AD232" i="14"/>
  <c r="AD234" i="14"/>
  <c r="AF238" i="14"/>
  <c r="AE242" i="14"/>
  <c r="AD242" i="14"/>
  <c r="AF242" i="14"/>
  <c r="M257" i="14"/>
  <c r="O257" i="14" s="1"/>
  <c r="AF266" i="14"/>
  <c r="AE266" i="14"/>
  <c r="AD266" i="14"/>
  <c r="AF267" i="14"/>
  <c r="AE267" i="14"/>
  <c r="AD267" i="14"/>
  <c r="AE279" i="14"/>
  <c r="AF279" i="14"/>
  <c r="AD279" i="14"/>
  <c r="AF208" i="14"/>
  <c r="AF213" i="14"/>
  <c r="AD216" i="14"/>
  <c r="AF217" i="14"/>
  <c r="Y221" i="14"/>
  <c r="M222" i="14"/>
  <c r="O222" i="14" s="1"/>
  <c r="AD227" i="14"/>
  <c r="AF228" i="14"/>
  <c r="AD231" i="14"/>
  <c r="AF232" i="14"/>
  <c r="AB236" i="14"/>
  <c r="AF245" i="14"/>
  <c r="AE245" i="14"/>
  <c r="AD245" i="14"/>
  <c r="AE249" i="14"/>
  <c r="AF249" i="14"/>
  <c r="AD249" i="14"/>
  <c r="AE269" i="14"/>
  <c r="AF269" i="14"/>
  <c r="AD269" i="14"/>
  <c r="AE240" i="14"/>
  <c r="AE244" i="14"/>
  <c r="AF250" i="14"/>
  <c r="AF259" i="14"/>
  <c r="AF270" i="14"/>
  <c r="AF276" i="14"/>
  <c r="AE277" i="14"/>
  <c r="AA283" i="14"/>
  <c r="AD288" i="14"/>
  <c r="AF288" i="14"/>
  <c r="AE288" i="14"/>
  <c r="AD289" i="14"/>
  <c r="AF289" i="14"/>
  <c r="AE289" i="14"/>
  <c r="AD290" i="14"/>
  <c r="AF290" i="14"/>
  <c r="AE290" i="14"/>
  <c r="AD306" i="14"/>
  <c r="AF306" i="14"/>
  <c r="AE306" i="14"/>
  <c r="AE314" i="14"/>
  <c r="AD314" i="14"/>
  <c r="AF314" i="14"/>
  <c r="AB255" i="14"/>
  <c r="AB254" i="14" s="1"/>
  <c r="Y255" i="14"/>
  <c r="AG263" i="14"/>
  <c r="E69" i="13" s="1"/>
  <c r="AE278" i="14"/>
  <c r="AE280" i="14"/>
  <c r="AD293" i="14"/>
  <c r="AF293" i="14"/>
  <c r="AF291" i="14" s="1"/>
  <c r="AE293" i="14"/>
  <c r="AE264" i="14"/>
  <c r="AG268" i="14"/>
  <c r="E70" i="13" s="1"/>
  <c r="AD276" i="14"/>
  <c r="AF286" i="14"/>
  <c r="AE286" i="14"/>
  <c r="AD286" i="14"/>
  <c r="AD320" i="14"/>
  <c r="AF320" i="14"/>
  <c r="AE320" i="14"/>
  <c r="AG319" i="14"/>
  <c r="E81" i="13" s="1"/>
  <c r="AE323" i="14"/>
  <c r="AD323" i="14"/>
  <c r="AF323" i="14"/>
  <c r="AE324" i="14"/>
  <c r="AF324" i="14"/>
  <c r="AD324" i="14"/>
  <c r="AE325" i="14"/>
  <c r="AD325" i="14"/>
  <c r="AF325" i="14"/>
  <c r="AE326" i="14"/>
  <c r="AF326" i="14"/>
  <c r="AD326" i="14"/>
  <c r="AD327" i="14"/>
  <c r="AE327" i="14"/>
  <c r="AF327" i="14"/>
  <c r="AD277" i="14"/>
  <c r="Y283" i="14"/>
  <c r="AD284" i="14"/>
  <c r="AE284" i="14"/>
  <c r="AF284" i="14"/>
  <c r="AD318" i="14"/>
  <c r="AE318" i="14"/>
  <c r="AE317" i="14" s="1"/>
  <c r="AF318" i="14"/>
  <c r="AF317" i="14" s="1"/>
  <c r="AD285" i="14"/>
  <c r="AG287" i="14"/>
  <c r="E74" i="13" s="1"/>
  <c r="AB292" i="14"/>
  <c r="AB291" i="14" s="1"/>
  <c r="AD294" i="14"/>
  <c r="AD295" i="14"/>
  <c r="AC295" i="14" s="1"/>
  <c r="AD296" i="14"/>
  <c r="AD297" i="14"/>
  <c r="AD298" i="14"/>
  <c r="AD299" i="14"/>
  <c r="AD300" i="14"/>
  <c r="AD302" i="14"/>
  <c r="AE304" i="14"/>
  <c r="AF307" i="14"/>
  <c r="AE308" i="14"/>
  <c r="AE316" i="14"/>
  <c r="AE321" i="14"/>
  <c r="AD322" i="14"/>
  <c r="AF333" i="14"/>
  <c r="AE333" i="14"/>
  <c r="AD333" i="14"/>
  <c r="AE358" i="14"/>
  <c r="AE355" i="14" s="1"/>
  <c r="AF358" i="14"/>
  <c r="AF355" i="14" s="1"/>
  <c r="AD358" i="14"/>
  <c r="Y292" i="14"/>
  <c r="AE296" i="14"/>
  <c r="AE297" i="14"/>
  <c r="AE298" i="14"/>
  <c r="AE299" i="14"/>
  <c r="AE300" i="14"/>
  <c r="AF302" i="14"/>
  <c r="AF301" i="14" s="1"/>
  <c r="AF316" i="14"/>
  <c r="AF321" i="14"/>
  <c r="AE322" i="14"/>
  <c r="AF346" i="14"/>
  <c r="AE346" i="14"/>
  <c r="AD346" i="14"/>
  <c r="AF348" i="14"/>
  <c r="AE348" i="14"/>
  <c r="AD348" i="14"/>
  <c r="AG301" i="14"/>
  <c r="E76" i="13" s="1"/>
  <c r="AD305" i="14"/>
  <c r="AD309" i="14"/>
  <c r="AE315" i="14"/>
  <c r="AF342" i="14"/>
  <c r="AE342" i="14"/>
  <c r="AD342" i="14"/>
  <c r="AD349" i="14"/>
  <c r="AB351" i="14"/>
  <c r="AA351" i="14"/>
  <c r="Y351" i="14"/>
  <c r="AF309" i="14"/>
  <c r="Y313" i="14"/>
  <c r="AF315" i="14"/>
  <c r="AF329" i="14"/>
  <c r="AE329" i="14"/>
  <c r="AD329" i="14"/>
  <c r="AF332" i="14"/>
  <c r="AE332" i="14"/>
  <c r="AD332" i="14"/>
  <c r="AF343" i="14"/>
  <c r="AE343" i="14"/>
  <c r="AD343" i="14"/>
  <c r="AF354" i="14"/>
  <c r="AF350" i="14" s="1"/>
  <c r="AE354" i="14"/>
  <c r="AE350" i="14" s="1"/>
  <c r="AD354" i="14"/>
  <c r="Y355" i="14"/>
  <c r="AD362" i="14"/>
  <c r="AF362" i="14"/>
  <c r="AE362" i="14"/>
  <c r="AD363" i="14"/>
  <c r="AE363" i="14"/>
  <c r="AF363" i="14"/>
  <c r="AD364" i="14"/>
  <c r="AF364" i="14"/>
  <c r="AE364" i="14"/>
  <c r="AE330" i="14"/>
  <c r="AF334" i="14"/>
  <c r="AE335" i="14"/>
  <c r="AB338" i="14"/>
  <c r="Z338" i="14" s="1"/>
  <c r="AF340" i="14"/>
  <c r="AE341" i="14"/>
  <c r="AF344" i="14"/>
  <c r="AB352" i="14"/>
  <c r="AB355" i="14"/>
  <c r="AA360" i="14"/>
  <c r="AD366" i="14"/>
  <c r="AF366" i="14"/>
  <c r="AF367" i="14"/>
  <c r="AE367" i="14"/>
  <c r="AD367" i="14"/>
  <c r="AF370" i="14"/>
  <c r="AE370" i="14"/>
  <c r="AD370" i="14"/>
  <c r="AA376" i="14"/>
  <c r="AF330" i="14"/>
  <c r="AF335" i="14"/>
  <c r="Y338" i="14"/>
  <c r="AF341" i="14"/>
  <c r="Y352" i="14"/>
  <c r="AB353" i="14"/>
  <c r="AB376" i="14"/>
  <c r="AB375" i="14" s="1"/>
  <c r="Y376" i="14"/>
  <c r="AF383" i="14"/>
  <c r="AE383" i="14"/>
  <c r="AD383" i="14"/>
  <c r="AF384" i="14"/>
  <c r="AE384" i="14"/>
  <c r="AD384" i="14"/>
  <c r="AF385" i="14"/>
  <c r="AE385" i="14"/>
  <c r="AD385" i="14"/>
  <c r="Y390" i="14"/>
  <c r="Y360" i="14"/>
  <c r="AD361" i="14"/>
  <c r="AE371" i="14"/>
  <c r="AD371" i="14"/>
  <c r="AF371" i="14"/>
  <c r="AF361" i="14"/>
  <c r="AE368" i="14"/>
  <c r="AD368" i="14"/>
  <c r="AF372" i="14"/>
  <c r="AE372" i="14"/>
  <c r="AD372" i="14"/>
  <c r="AF373" i="14"/>
  <c r="AE373" i="14"/>
  <c r="AD373" i="14"/>
  <c r="Y379" i="14"/>
  <c r="AF394" i="14"/>
  <c r="AF390" i="14" s="1"/>
  <c r="AE394" i="14"/>
  <c r="AD394" i="14"/>
  <c r="AF374" i="14"/>
  <c r="AF377" i="14"/>
  <c r="AE378" i="14"/>
  <c r="AB380" i="14"/>
  <c r="AD386" i="14"/>
  <c r="AC386" i="14" s="1"/>
  <c r="AD388" i="14"/>
  <c r="AC388" i="14" s="1"/>
  <c r="AE389" i="14"/>
  <c r="AD393" i="14"/>
  <c r="AB381" i="14"/>
  <c r="Z381" i="14" s="1"/>
  <c r="AB392" i="14"/>
  <c r="AE393" i="14"/>
  <c r="AB382" i="14"/>
  <c r="AC259" i="14" l="1"/>
  <c r="AC240" i="14"/>
  <c r="AA379" i="14"/>
  <c r="AF375" i="14"/>
  <c r="AF328" i="14"/>
  <c r="Z150" i="14"/>
  <c r="Z382" i="14"/>
  <c r="AG382" i="14" s="1"/>
  <c r="AJ382" i="14" s="1"/>
  <c r="AC374" i="14"/>
  <c r="AH374" i="14" s="1"/>
  <c r="AJ374" i="14" s="1"/>
  <c r="AA84" i="14"/>
  <c r="Z392" i="14"/>
  <c r="AG392" i="14" s="1"/>
  <c r="AJ392" i="14" s="1"/>
  <c r="AC203" i="14"/>
  <c r="AA235" i="14"/>
  <c r="AC209" i="14"/>
  <c r="AH209" i="14" s="1"/>
  <c r="AJ209" i="14" s="1"/>
  <c r="AC74" i="14"/>
  <c r="AH74" i="14" s="1"/>
  <c r="AJ74" i="14" s="1"/>
  <c r="AC256" i="14"/>
  <c r="AC344" i="14"/>
  <c r="AC304" i="14"/>
  <c r="AH304" i="14" s="1"/>
  <c r="AC305" i="14"/>
  <c r="AH305" i="14" s="1"/>
  <c r="AJ305" i="14" s="1"/>
  <c r="Z353" i="14"/>
  <c r="AG353" i="14" s="1"/>
  <c r="AJ353" i="14" s="1"/>
  <c r="AC294" i="14"/>
  <c r="AH294" i="14" s="1"/>
  <c r="AJ294" i="14" s="1"/>
  <c r="AE268" i="14"/>
  <c r="AE349" i="14"/>
  <c r="AC334" i="14"/>
  <c r="AD355" i="14"/>
  <c r="AC285" i="14"/>
  <c r="AH285" i="14" s="1"/>
  <c r="AJ285" i="14" s="1"/>
  <c r="AF122" i="14"/>
  <c r="AF120" i="14" s="1"/>
  <c r="AC59" i="14"/>
  <c r="AH59" i="14" s="1"/>
  <c r="AJ59" i="14" s="1"/>
  <c r="AE369" i="14"/>
  <c r="AC369" i="14" s="1"/>
  <c r="AH369" i="14" s="1"/>
  <c r="AJ369" i="14" s="1"/>
  <c r="AB95" i="14"/>
  <c r="Z352" i="14"/>
  <c r="AG352" i="14" s="1"/>
  <c r="AJ352" i="14" s="1"/>
  <c r="AD369" i="14"/>
  <c r="AE345" i="14"/>
  <c r="AC308" i="14"/>
  <c r="AH308" i="14" s="1"/>
  <c r="AJ308" i="14" s="1"/>
  <c r="AF80" i="14"/>
  <c r="AE80" i="14"/>
  <c r="AE71" i="14" s="1"/>
  <c r="AF165" i="14"/>
  <c r="AC60" i="14"/>
  <c r="AH60" i="14" s="1"/>
  <c r="AJ60" i="14" s="1"/>
  <c r="AD345" i="14"/>
  <c r="Z155" i="14"/>
  <c r="AG155" i="14" s="1"/>
  <c r="AJ155" i="14" s="1"/>
  <c r="AE152" i="14"/>
  <c r="AF107" i="14"/>
  <c r="Y26" i="14"/>
  <c r="AC389" i="14"/>
  <c r="AD328" i="14"/>
  <c r="AC328" i="14" s="1"/>
  <c r="AD107" i="14"/>
  <c r="Y84" i="14"/>
  <c r="Y95" i="14"/>
  <c r="Z149" i="14"/>
  <c r="Z148" i="14" s="1"/>
  <c r="AH387" i="14"/>
  <c r="AJ387" i="14" s="1"/>
  <c r="AF108" i="14"/>
  <c r="AH265" i="14"/>
  <c r="AJ265" i="14" s="1"/>
  <c r="AC316" i="14"/>
  <c r="AC270" i="14"/>
  <c r="AC205" i="14"/>
  <c r="AH205" i="14" s="1"/>
  <c r="AC280" i="14"/>
  <c r="AC206" i="14"/>
  <c r="AH206" i="14" s="1"/>
  <c r="AJ206" i="14" s="1"/>
  <c r="AD108" i="14"/>
  <c r="AD101" i="14" s="1"/>
  <c r="AC47" i="14"/>
  <c r="AC250" i="14"/>
  <c r="AH250" i="14" s="1"/>
  <c r="AJ250" i="14" s="1"/>
  <c r="Z237" i="14"/>
  <c r="AG237" i="14" s="1"/>
  <c r="AJ237" i="14" s="1"/>
  <c r="Z86" i="14"/>
  <c r="AG86" i="14" s="1"/>
  <c r="AJ86" i="14" s="1"/>
  <c r="AC14" i="14"/>
  <c r="Z85" i="14"/>
  <c r="AC244" i="14"/>
  <c r="Z16" i="14"/>
  <c r="Z15" i="14" s="1"/>
  <c r="Z136" i="14"/>
  <c r="Z135" i="14" s="1"/>
  <c r="Z221" i="14"/>
  <c r="Z220" i="14" s="1"/>
  <c r="AF163" i="14"/>
  <c r="AC307" i="14"/>
  <c r="AC223" i="14"/>
  <c r="AC378" i="14"/>
  <c r="AC278" i="14"/>
  <c r="AC103" i="14"/>
  <c r="Z172" i="14"/>
  <c r="AG172" i="14" s="1"/>
  <c r="Z97" i="14"/>
  <c r="Z45" i="14"/>
  <c r="AC94" i="14"/>
  <c r="AH94" i="14" s="1"/>
  <c r="AJ94" i="14" s="1"/>
  <c r="AC33" i="14"/>
  <c r="AH33" i="14" s="1"/>
  <c r="AJ33" i="14" s="1"/>
  <c r="AF79" i="14"/>
  <c r="AC297" i="14"/>
  <c r="AH297" i="14" s="1"/>
  <c r="AJ297" i="14" s="1"/>
  <c r="AC180" i="14"/>
  <c r="Z160" i="14"/>
  <c r="AG160" i="14" s="1"/>
  <c r="AJ160" i="14" s="1"/>
  <c r="AC73" i="14"/>
  <c r="AA148" i="14"/>
  <c r="AC368" i="14"/>
  <c r="AH368" i="14" s="1"/>
  <c r="AJ368" i="14" s="1"/>
  <c r="AF263" i="14"/>
  <c r="AC232" i="14"/>
  <c r="AC208" i="14"/>
  <c r="AF152" i="14"/>
  <c r="AC116" i="14"/>
  <c r="AH116" i="14" s="1"/>
  <c r="AJ116" i="14" s="1"/>
  <c r="AE54" i="14"/>
  <c r="AC20" i="14"/>
  <c r="AC58" i="14"/>
  <c r="AC48" i="14"/>
  <c r="AC260" i="14"/>
  <c r="AC51" i="14"/>
  <c r="AB235" i="14"/>
  <c r="AC216" i="14"/>
  <c r="AC63" i="14"/>
  <c r="AC343" i="14"/>
  <c r="AC61" i="14"/>
  <c r="AE79" i="14"/>
  <c r="AC46" i="14"/>
  <c r="AC342" i="14"/>
  <c r="AH342" i="14" s="1"/>
  <c r="AJ342" i="14" s="1"/>
  <c r="AF303" i="14"/>
  <c r="AE347" i="14"/>
  <c r="AC231" i="14"/>
  <c r="AC211" i="14"/>
  <c r="AH211" i="14" s="1"/>
  <c r="AJ211" i="14" s="1"/>
  <c r="AC106" i="14"/>
  <c r="AC100" i="14"/>
  <c r="AE122" i="14"/>
  <c r="AE95" i="14"/>
  <c r="AC31" i="14"/>
  <c r="AH31" i="14" s="1"/>
  <c r="AJ31" i="14" s="1"/>
  <c r="Z339" i="14"/>
  <c r="AG339" i="14" s="1"/>
  <c r="AJ339" i="14" s="1"/>
  <c r="AC251" i="14"/>
  <c r="AC93" i="14"/>
  <c r="AA220" i="14"/>
  <c r="AC104" i="14"/>
  <c r="AF95" i="14"/>
  <c r="AA95" i="14"/>
  <c r="AC169" i="14"/>
  <c r="AC89" i="14"/>
  <c r="AE165" i="14"/>
  <c r="Z313" i="14"/>
  <c r="Z312" i="14" s="1"/>
  <c r="AC40" i="14"/>
  <c r="AH40" i="14" s="1"/>
  <c r="AJ40" i="14" s="1"/>
  <c r="AB379" i="14"/>
  <c r="AC341" i="14"/>
  <c r="AC335" i="14"/>
  <c r="AE263" i="14"/>
  <c r="AC267" i="14"/>
  <c r="AH267" i="14" s="1"/>
  <c r="AJ267" i="14" s="1"/>
  <c r="AE175" i="14"/>
  <c r="AF131" i="14"/>
  <c r="AB124" i="14"/>
  <c r="AB26" i="14"/>
  <c r="AC252" i="14"/>
  <c r="AC29" i="14"/>
  <c r="AC88" i="14"/>
  <c r="AH88" i="14" s="1"/>
  <c r="AJ88" i="14" s="1"/>
  <c r="AC69" i="14"/>
  <c r="AB84" i="14"/>
  <c r="AC77" i="14"/>
  <c r="AH77" i="14" s="1"/>
  <c r="AJ77" i="14" s="1"/>
  <c r="AC186" i="14"/>
  <c r="AE42" i="14"/>
  <c r="AC371" i="14"/>
  <c r="AE331" i="14"/>
  <c r="AC123" i="14"/>
  <c r="AH123" i="14" s="1"/>
  <c r="AJ123" i="14" s="1"/>
  <c r="AC364" i="14"/>
  <c r="AE359" i="14"/>
  <c r="AF282" i="14"/>
  <c r="AC290" i="14"/>
  <c r="AH290" i="14" s="1"/>
  <c r="AJ290" i="14" s="1"/>
  <c r="AF235" i="14"/>
  <c r="AC64" i="14"/>
  <c r="AC357" i="14"/>
  <c r="AC21" i="14"/>
  <c r="AG381" i="14"/>
  <c r="AJ381" i="14" s="1"/>
  <c r="AE311" i="14"/>
  <c r="AE310" i="14" s="1"/>
  <c r="AD311" i="14"/>
  <c r="AD310" i="14" s="1"/>
  <c r="AF311" i="14"/>
  <c r="AF310" i="14" s="1"/>
  <c r="AE375" i="14"/>
  <c r="AF379" i="14"/>
  <c r="AC315" i="14"/>
  <c r="AH315" i="14" s="1"/>
  <c r="AJ315" i="14" s="1"/>
  <c r="AE390" i="14"/>
  <c r="Z355" i="14"/>
  <c r="AE336" i="14"/>
  <c r="AC327" i="14"/>
  <c r="AF212" i="14"/>
  <c r="AC230" i="14"/>
  <c r="AC215" i="14"/>
  <c r="AE225" i="14"/>
  <c r="AE212" i="14"/>
  <c r="AC117" i="14"/>
  <c r="AC167" i="14"/>
  <c r="AF158" i="14"/>
  <c r="Z151" i="14"/>
  <c r="AC68" i="14"/>
  <c r="AC41" i="14"/>
  <c r="AF26" i="14"/>
  <c r="AC56" i="14"/>
  <c r="AH56" i="14" s="1"/>
  <c r="AJ56" i="14" s="1"/>
  <c r="AC261" i="14"/>
  <c r="AC166" i="14"/>
  <c r="AC322" i="14"/>
  <c r="AE275" i="14"/>
  <c r="AC238" i="14"/>
  <c r="AC258" i="14"/>
  <c r="AF184" i="14"/>
  <c r="AC189" i="14"/>
  <c r="AC179" i="14"/>
  <c r="AH179" i="14" s="1"/>
  <c r="AJ179" i="14" s="1"/>
  <c r="Z236" i="14"/>
  <c r="Z193" i="14"/>
  <c r="Z192" i="14" s="1"/>
  <c r="AE131" i="14"/>
  <c r="AC111" i="14"/>
  <c r="AC78" i="14"/>
  <c r="AC75" i="14"/>
  <c r="AC70" i="14"/>
  <c r="AH70" i="14" s="1"/>
  <c r="AJ70" i="14" s="1"/>
  <c r="AC18" i="14"/>
  <c r="AF336" i="14"/>
  <c r="AC330" i="14"/>
  <c r="AH330" i="14" s="1"/>
  <c r="AJ330" i="14" s="1"/>
  <c r="AC345" i="14"/>
  <c r="AC321" i="14"/>
  <c r="AC298" i="14"/>
  <c r="AF287" i="14"/>
  <c r="AC264" i="14"/>
  <c r="AF225" i="14"/>
  <c r="AE101" i="14"/>
  <c r="AC57" i="14"/>
  <c r="AC91" i="14"/>
  <c r="AF15" i="14"/>
  <c r="AC170" i="14"/>
  <c r="AC90" i="14"/>
  <c r="AA42" i="14"/>
  <c r="AC385" i="14"/>
  <c r="AC367" i="14"/>
  <c r="AF268" i="14"/>
  <c r="Z255" i="14"/>
  <c r="Z254" i="14" s="1"/>
  <c r="AC52" i="14"/>
  <c r="AC201" i="14"/>
  <c r="AH334" i="14"/>
  <c r="AJ334" i="14" s="1"/>
  <c r="AF257" i="14"/>
  <c r="AF254" i="14" s="1"/>
  <c r="AE257" i="14"/>
  <c r="AE254" i="14" s="1"/>
  <c r="AD257" i="14"/>
  <c r="AH240" i="14"/>
  <c r="AJ240" i="14" s="1"/>
  <c r="AH259" i="14"/>
  <c r="AJ259" i="14" s="1"/>
  <c r="AD222" i="14"/>
  <c r="AF222" i="14"/>
  <c r="AF220" i="14" s="1"/>
  <c r="AE222" i="14"/>
  <c r="AE220" i="14" s="1"/>
  <c r="AD246" i="14"/>
  <c r="AD235" i="14" s="1"/>
  <c r="AE246" i="14"/>
  <c r="AE235" i="14" s="1"/>
  <c r="Y359" i="14"/>
  <c r="Z376" i="14"/>
  <c r="Z375" i="14" s="1"/>
  <c r="AA375" i="14"/>
  <c r="AH344" i="14"/>
  <c r="AJ344" i="14" s="1"/>
  <c r="AB390" i="14"/>
  <c r="AC394" i="14"/>
  <c r="Y375" i="14"/>
  <c r="Z360" i="14"/>
  <c r="Z359" i="14" s="1"/>
  <c r="AA359" i="14"/>
  <c r="AC362" i="14"/>
  <c r="AC346" i="14"/>
  <c r="AC296" i="14"/>
  <c r="AC277" i="14"/>
  <c r="AC326" i="14"/>
  <c r="AE312" i="14"/>
  <c r="AF275" i="14"/>
  <c r="AC245" i="14"/>
  <c r="AD212" i="14"/>
  <c r="AC213" i="14"/>
  <c r="AC248" i="14"/>
  <c r="AD247" i="14"/>
  <c r="AC241" i="14"/>
  <c r="AC214" i="14"/>
  <c r="Z198" i="14"/>
  <c r="Z197" i="14" s="1"/>
  <c r="AA197" i="14"/>
  <c r="AC194" i="14"/>
  <c r="AD192" i="14"/>
  <c r="AG154" i="14"/>
  <c r="AJ154" i="14" s="1"/>
  <c r="Z380" i="14"/>
  <c r="AC373" i="14"/>
  <c r="AF359" i="14"/>
  <c r="AC384" i="14"/>
  <c r="AE379" i="14"/>
  <c r="AG338" i="14"/>
  <c r="AJ338" i="14" s="1"/>
  <c r="AF365" i="14"/>
  <c r="AC363" i="14"/>
  <c r="AC332" i="14"/>
  <c r="AD331" i="14"/>
  <c r="Y312" i="14"/>
  <c r="Z351" i="14"/>
  <c r="AA350" i="14"/>
  <c r="AC348" i="14"/>
  <c r="AD347" i="14"/>
  <c r="AC358" i="14"/>
  <c r="Y336" i="14"/>
  <c r="AC299" i="14"/>
  <c r="AH295" i="14"/>
  <c r="AJ295" i="14" s="1"/>
  <c r="AE282" i="14"/>
  <c r="AC293" i="14"/>
  <c r="AD291" i="14"/>
  <c r="AC306" i="14"/>
  <c r="AC289" i="14"/>
  <c r="AD268" i="14"/>
  <c r="AC269" i="14"/>
  <c r="AC249" i="14"/>
  <c r="AD225" i="14"/>
  <c r="AC227" i="14"/>
  <c r="AH216" i="14"/>
  <c r="AJ216" i="14" s="1"/>
  <c r="AC279" i="14"/>
  <c r="AC242" i="14"/>
  <c r="AC228" i="14"/>
  <c r="AC219" i="14"/>
  <c r="AH203" i="14"/>
  <c r="AJ203" i="14" s="1"/>
  <c r="Y272" i="14"/>
  <c r="AC253" i="14"/>
  <c r="AE247" i="14"/>
  <c r="AF204" i="14"/>
  <c r="AC188" i="14"/>
  <c r="Z159" i="14"/>
  <c r="AA158" i="14"/>
  <c r="AD204" i="14"/>
  <c r="AC139" i="14"/>
  <c r="AC200" i="14"/>
  <c r="AC224" i="14"/>
  <c r="AF197" i="14"/>
  <c r="AC183" i="14"/>
  <c r="AF182" i="14"/>
  <c r="AF175" i="14"/>
  <c r="AD128" i="14"/>
  <c r="AC130" i="14"/>
  <c r="AC168" i="14"/>
  <c r="Z153" i="14"/>
  <c r="AA152" i="14"/>
  <c r="AC121" i="14"/>
  <c r="AD120" i="14"/>
  <c r="Z185" i="14"/>
  <c r="Z184" i="14" s="1"/>
  <c r="AA184" i="14"/>
  <c r="AE158" i="14"/>
  <c r="AB158" i="14"/>
  <c r="AE135" i="14"/>
  <c r="Y124" i="14"/>
  <c r="AC114" i="14"/>
  <c r="AC110" i="14"/>
  <c r="AD109" i="14"/>
  <c r="AF54" i="14"/>
  <c r="AG149" i="14"/>
  <c r="Y148" i="14"/>
  <c r="Z146" i="14"/>
  <c r="AG146" i="14" s="1"/>
  <c r="AJ146" i="14" s="1"/>
  <c r="AB144" i="14"/>
  <c r="Y135" i="14"/>
  <c r="AC133" i="14"/>
  <c r="Z126" i="14"/>
  <c r="AE81" i="14"/>
  <c r="Z43" i="14"/>
  <c r="AB42" i="14"/>
  <c r="AC17" i="14"/>
  <c r="AD15" i="14"/>
  <c r="AC92" i="14"/>
  <c r="AE49" i="14"/>
  <c r="AC32" i="14"/>
  <c r="Z96" i="14"/>
  <c r="AE65" i="14"/>
  <c r="AC38" i="14"/>
  <c r="Z28" i="14"/>
  <c r="AG28" i="14" s="1"/>
  <c r="AJ28" i="14" s="1"/>
  <c r="Y15" i="14"/>
  <c r="AC55" i="14"/>
  <c r="AH51" i="14"/>
  <c r="AJ51" i="14" s="1"/>
  <c r="AC23" i="14"/>
  <c r="AC19" i="14"/>
  <c r="AA11" i="14"/>
  <c r="Z12" i="14"/>
  <c r="Z11" i="14" s="1"/>
  <c r="AD365" i="14"/>
  <c r="AC366" i="14"/>
  <c r="AC354" i="14"/>
  <c r="AD350" i="14"/>
  <c r="AB350" i="14"/>
  <c r="AC340" i="14"/>
  <c r="AB336" i="14"/>
  <c r="AC333" i="14"/>
  <c r="AE303" i="14"/>
  <c r="AD317" i="14"/>
  <c r="AC318" i="14"/>
  <c r="AC284" i="14"/>
  <c r="AD282" i="14"/>
  <c r="AC324" i="14"/>
  <c r="AC323" i="14"/>
  <c r="AE319" i="14"/>
  <c r="AC286" i="14"/>
  <c r="AH256" i="14"/>
  <c r="AF312" i="14"/>
  <c r="Z292" i="14"/>
  <c r="Z291" i="14" s="1"/>
  <c r="AE287" i="14"/>
  <c r="Z283" i="14"/>
  <c r="Z282" i="14" s="1"/>
  <c r="AA282" i="14"/>
  <c r="AC266" i="14"/>
  <c r="AC234" i="14"/>
  <c r="AC217" i="14"/>
  <c r="AC281" i="14"/>
  <c r="AD272" i="14"/>
  <c r="AC274" i="14"/>
  <c r="AF247" i="14"/>
  <c r="AC210" i="14"/>
  <c r="AH210" i="14" s="1"/>
  <c r="AJ210" i="14" s="1"/>
  <c r="AC207" i="14"/>
  <c r="AD195" i="14"/>
  <c r="AC196" i="14"/>
  <c r="AC190" i="14"/>
  <c r="AC177" i="14"/>
  <c r="AD175" i="14"/>
  <c r="AD152" i="14"/>
  <c r="AC156" i="14"/>
  <c r="AC132" i="14"/>
  <c r="AD131" i="14"/>
  <c r="Y225" i="14"/>
  <c r="AC218" i="14"/>
  <c r="AC233" i="14"/>
  <c r="AD197" i="14"/>
  <c r="AC199" i="14"/>
  <c r="AC191" i="14"/>
  <c r="AC174" i="14"/>
  <c r="AD171" i="14"/>
  <c r="Y184" i="14"/>
  <c r="AC162" i="14"/>
  <c r="AC157" i="14"/>
  <c r="AC113" i="14"/>
  <c r="AC102" i="14"/>
  <c r="AF135" i="14"/>
  <c r="AA124" i="14"/>
  <c r="Z125" i="14"/>
  <c r="Z119" i="14"/>
  <c r="AA118" i="14"/>
  <c r="AF109" i="14"/>
  <c r="Z84" i="14"/>
  <c r="AC147" i="14"/>
  <c r="AD144" i="14"/>
  <c r="Y144" i="14"/>
  <c r="AD124" i="14"/>
  <c r="AC127" i="14"/>
  <c r="AC115" i="14"/>
  <c r="AC112" i="14"/>
  <c r="AD95" i="14"/>
  <c r="AG71" i="14"/>
  <c r="E36" i="13" s="1"/>
  <c r="AH67" i="14"/>
  <c r="AJ67" i="14" s="1"/>
  <c r="AH47" i="14"/>
  <c r="AJ47" i="14" s="1"/>
  <c r="AE36" i="14"/>
  <c r="AC98" i="14"/>
  <c r="AD84" i="14"/>
  <c r="AC87" i="14"/>
  <c r="AH61" i="14"/>
  <c r="AJ61" i="14" s="1"/>
  <c r="AF49" i="14"/>
  <c r="AC34" i="14"/>
  <c r="AG85" i="14"/>
  <c r="AF65" i="14"/>
  <c r="AG44" i="14"/>
  <c r="AJ44" i="14" s="1"/>
  <c r="AC30" i="14"/>
  <c r="AD26" i="14"/>
  <c r="AH58" i="14"/>
  <c r="AJ58" i="14" s="1"/>
  <c r="AC53" i="14"/>
  <c r="AC35" i="14"/>
  <c r="AC13" i="14"/>
  <c r="AD11" i="14"/>
  <c r="AH21" i="14"/>
  <c r="AJ21" i="14" s="1"/>
  <c r="AC22" i="14"/>
  <c r="AH388" i="14"/>
  <c r="AJ388" i="14" s="1"/>
  <c r="AH386" i="14"/>
  <c r="AJ386" i="14" s="1"/>
  <c r="AH389" i="14"/>
  <c r="AJ389" i="14" s="1"/>
  <c r="AF331" i="14"/>
  <c r="AC309" i="14"/>
  <c r="Y291" i="14"/>
  <c r="AC302" i="14"/>
  <c r="AD301" i="14"/>
  <c r="Y282" i="14"/>
  <c r="AF319" i="14"/>
  <c r="AC276" i="14"/>
  <c r="AD275" i="14"/>
  <c r="AE291" i="14"/>
  <c r="AD312" i="14"/>
  <c r="AC314" i="14"/>
  <c r="AH280" i="14"/>
  <c r="AJ280" i="14" s="1"/>
  <c r="AH244" i="14"/>
  <c r="AJ244" i="14" s="1"/>
  <c r="AH231" i="14"/>
  <c r="AJ231" i="14" s="1"/>
  <c r="AG221" i="14"/>
  <c r="Y220" i="14"/>
  <c r="AH243" i="14"/>
  <c r="AJ243" i="14" s="1"/>
  <c r="Z273" i="14"/>
  <c r="Z272" i="14" s="1"/>
  <c r="AA272" i="14"/>
  <c r="AD263" i="14"/>
  <c r="Y197" i="14"/>
  <c r="AC181" i="14"/>
  <c r="AA175" i="14"/>
  <c r="Z176" i="14"/>
  <c r="AD140" i="14"/>
  <c r="AC141" i="14"/>
  <c r="AC202" i="14"/>
  <c r="Z226" i="14"/>
  <c r="Z225" i="14" s="1"/>
  <c r="AA225" i="14"/>
  <c r="AB173" i="14"/>
  <c r="AB171" i="14" s="1"/>
  <c r="AA173" i="14"/>
  <c r="Y173" i="14"/>
  <c r="AE184" i="14"/>
  <c r="AB152" i="14"/>
  <c r="AC138" i="14"/>
  <c r="AC178" i="14"/>
  <c r="AC161" i="14"/>
  <c r="AD158" i="14"/>
  <c r="AC134" i="14"/>
  <c r="Y128" i="14"/>
  <c r="AG150" i="14"/>
  <c r="AJ150" i="14" s="1"/>
  <c r="AD71" i="14"/>
  <c r="AC72" i="14"/>
  <c r="AF36" i="14"/>
  <c r="AF84" i="14"/>
  <c r="AC76" i="14"/>
  <c r="AC25" i="14"/>
  <c r="AD24" i="14"/>
  <c r="AC393" i="14"/>
  <c r="AD390" i="14"/>
  <c r="AC377" i="14"/>
  <c r="Z390" i="14"/>
  <c r="AF347" i="14"/>
  <c r="AC372" i="14"/>
  <c r="AD359" i="14"/>
  <c r="AC361" i="14"/>
  <c r="AC383" i="14"/>
  <c r="AD379" i="14"/>
  <c r="AC370" i="14"/>
  <c r="AD336" i="14"/>
  <c r="AC329" i="14"/>
  <c r="AH329" i="14" s="1"/>
  <c r="AJ329" i="14" s="1"/>
  <c r="AD303" i="14"/>
  <c r="Y350" i="14"/>
  <c r="AC349" i="14"/>
  <c r="AG337" i="14"/>
  <c r="AC300" i="14"/>
  <c r="AC325" i="14"/>
  <c r="AC320" i="14"/>
  <c r="AD319" i="14"/>
  <c r="Y254" i="14"/>
  <c r="AC288" i="14"/>
  <c r="AD287" i="14"/>
  <c r="AH270" i="14"/>
  <c r="AJ270" i="14" s="1"/>
  <c r="AH239" i="14"/>
  <c r="AJ239" i="14" s="1"/>
  <c r="AC262" i="14"/>
  <c r="Y192" i="14"/>
  <c r="Y235" i="14"/>
  <c r="AE204" i="14"/>
  <c r="AC229" i="14"/>
  <c r="AD163" i="14"/>
  <c r="AC164" i="14"/>
  <c r="AE197" i="14"/>
  <c r="AC187" i="14"/>
  <c r="AD184" i="14"/>
  <c r="Y152" i="14"/>
  <c r="AG97" i="14"/>
  <c r="AJ97" i="14" s="1"/>
  <c r="AH167" i="14"/>
  <c r="AJ167" i="14" s="1"/>
  <c r="Y158" i="14"/>
  <c r="AD142" i="14"/>
  <c r="AC143" i="14"/>
  <c r="AC137" i="14"/>
  <c r="AD135" i="14"/>
  <c r="Z129" i="14"/>
  <c r="Z128" i="14" s="1"/>
  <c r="AA128" i="14"/>
  <c r="AE109" i="14"/>
  <c r="AB148" i="14"/>
  <c r="AA144" i="14"/>
  <c r="AH111" i="14"/>
  <c r="AJ111" i="14" s="1"/>
  <c r="AC83" i="14"/>
  <c r="AH14" i="14"/>
  <c r="AJ14" i="14" s="1"/>
  <c r="AD36" i="14"/>
  <c r="AC37" i="14"/>
  <c r="AC105" i="14"/>
  <c r="AE84" i="14"/>
  <c r="AH57" i="14"/>
  <c r="AJ57" i="14" s="1"/>
  <c r="AD49" i="14"/>
  <c r="AC50" i="14"/>
  <c r="AH20" i="14"/>
  <c r="AJ20" i="14" s="1"/>
  <c r="AC99" i="14"/>
  <c r="AH75" i="14"/>
  <c r="AJ75" i="14" s="1"/>
  <c r="AD65" i="14"/>
  <c r="AC66" i="14"/>
  <c r="AE26" i="14"/>
  <c r="Z27" i="14"/>
  <c r="AA26" i="14"/>
  <c r="AC82" i="14"/>
  <c r="AH62" i="14"/>
  <c r="AJ62" i="14" s="1"/>
  <c r="AD54" i="14"/>
  <c r="AC39" i="14"/>
  <c r="AE15" i="14"/>
  <c r="AG12" i="14"/>
  <c r="Y11" i="14"/>
  <c r="Z152" i="14" l="1"/>
  <c r="AE365" i="14"/>
  <c r="AC165" i="14"/>
  <c r="AC80" i="14"/>
  <c r="AH80" i="14" s="1"/>
  <c r="AJ80" i="14" s="1"/>
  <c r="AC108" i="14"/>
  <c r="Z350" i="14"/>
  <c r="AC122" i="14"/>
  <c r="AF101" i="14"/>
  <c r="AF10" i="14" s="1"/>
  <c r="Z158" i="14"/>
  <c r="AG136" i="14"/>
  <c r="AG135" i="14" s="1"/>
  <c r="E47" i="13" s="1"/>
  <c r="AH298" i="14"/>
  <c r="AJ298" i="14" s="1"/>
  <c r="AH343" i="14"/>
  <c r="AJ343" i="14" s="1"/>
  <c r="AH201" i="14"/>
  <c r="AJ201" i="14" s="1"/>
  <c r="AH78" i="14"/>
  <c r="AJ78" i="14" s="1"/>
  <c r="AH258" i="14"/>
  <c r="AJ258" i="14" s="1"/>
  <c r="AH117" i="14"/>
  <c r="AJ117" i="14" s="1"/>
  <c r="AG151" i="14"/>
  <c r="AJ151" i="14" s="1"/>
  <c r="AH52" i="14"/>
  <c r="AJ52" i="14" s="1"/>
  <c r="AH321" i="14"/>
  <c r="AJ321" i="14" s="1"/>
  <c r="AH238" i="14"/>
  <c r="AH68" i="14"/>
  <c r="AJ68" i="14" s="1"/>
  <c r="AH165" i="14"/>
  <c r="AJ165" i="14" s="1"/>
  <c r="AH251" i="14"/>
  <c r="AJ251" i="14" s="1"/>
  <c r="AH63" i="14"/>
  <c r="AJ63" i="14" s="1"/>
  <c r="AH73" i="14"/>
  <c r="AJ73" i="14" s="1"/>
  <c r="AH170" i="14"/>
  <c r="AJ170" i="14" s="1"/>
  <c r="AH41" i="14"/>
  <c r="AJ41" i="14" s="1"/>
  <c r="AH93" i="14"/>
  <c r="AJ93" i="14" s="1"/>
  <c r="AG16" i="14"/>
  <c r="AJ16" i="14" s="1"/>
  <c r="AH91" i="14"/>
  <c r="AJ91" i="14" s="1"/>
  <c r="AH345" i="14"/>
  <c r="AJ345" i="14" s="1"/>
  <c r="AH364" i="14"/>
  <c r="AJ364" i="14" s="1"/>
  <c r="AH69" i="14"/>
  <c r="AJ69" i="14" s="1"/>
  <c r="AH89" i="14"/>
  <c r="AJ89" i="14" s="1"/>
  <c r="AH169" i="14"/>
  <c r="AJ169" i="14" s="1"/>
  <c r="AH180" i="14"/>
  <c r="AJ180" i="14" s="1"/>
  <c r="AH103" i="14"/>
  <c r="AJ103" i="14" s="1"/>
  <c r="AC204" i="14"/>
  <c r="AH367" i="14"/>
  <c r="AJ367" i="14" s="1"/>
  <c r="Z235" i="14"/>
  <c r="AH166" i="14"/>
  <c r="AJ166" i="14" s="1"/>
  <c r="AH230" i="14"/>
  <c r="AJ230" i="14" s="1"/>
  <c r="AH357" i="14"/>
  <c r="AJ357" i="14" s="1"/>
  <c r="AH29" i="14"/>
  <c r="AH335" i="14"/>
  <c r="AJ335" i="14" s="1"/>
  <c r="AH208" i="14"/>
  <c r="AJ208" i="14" s="1"/>
  <c r="AH278" i="14"/>
  <c r="AJ278" i="14" s="1"/>
  <c r="AH316" i="14"/>
  <c r="AJ316" i="14" s="1"/>
  <c r="AH385" i="14"/>
  <c r="AJ385" i="14" s="1"/>
  <c r="AH18" i="14"/>
  <c r="AJ18" i="14" s="1"/>
  <c r="AH261" i="14"/>
  <c r="AJ261" i="14" s="1"/>
  <c r="AC107" i="14"/>
  <c r="AH64" i="14"/>
  <c r="AJ64" i="14" s="1"/>
  <c r="AH371" i="14"/>
  <c r="AJ371" i="14" s="1"/>
  <c r="AH252" i="14"/>
  <c r="AJ252" i="14" s="1"/>
  <c r="AH341" i="14"/>
  <c r="AJ341" i="14" s="1"/>
  <c r="AH122" i="14"/>
  <c r="AJ122" i="14" s="1"/>
  <c r="AC42" i="14"/>
  <c r="AH260" i="14"/>
  <c r="AJ260" i="14" s="1"/>
  <c r="AH232" i="14"/>
  <c r="AJ232" i="14" s="1"/>
  <c r="AF71" i="14"/>
  <c r="AH378" i="14"/>
  <c r="AJ378" i="14" s="1"/>
  <c r="AH322" i="14"/>
  <c r="AJ322" i="14" s="1"/>
  <c r="AH189" i="14"/>
  <c r="AJ189" i="14" s="1"/>
  <c r="AH327" i="14"/>
  <c r="AJ327" i="14" s="1"/>
  <c r="AH104" i="14"/>
  <c r="AJ104" i="14" s="1"/>
  <c r="AH100" i="14"/>
  <c r="AJ100" i="14" s="1"/>
  <c r="AH48" i="14"/>
  <c r="AJ48" i="14" s="1"/>
  <c r="AH223" i="14"/>
  <c r="AJ223" i="14" s="1"/>
  <c r="AG193" i="14"/>
  <c r="AG192" i="14" s="1"/>
  <c r="E59" i="13" s="1"/>
  <c r="AG45" i="14"/>
  <c r="AJ45" i="14" s="1"/>
  <c r="AH215" i="14"/>
  <c r="AJ215" i="14" s="1"/>
  <c r="AH186" i="14"/>
  <c r="AJ186" i="14" s="1"/>
  <c r="AH106" i="14"/>
  <c r="AJ106" i="14" s="1"/>
  <c r="AH307" i="14"/>
  <c r="AJ307" i="14" s="1"/>
  <c r="AG255" i="14"/>
  <c r="AG254" i="14" s="1"/>
  <c r="E68" i="13" s="1"/>
  <c r="AC79" i="14"/>
  <c r="AC71" i="14" s="1"/>
  <c r="Z144" i="14"/>
  <c r="AC263" i="14"/>
  <c r="AG351" i="14"/>
  <c r="AJ351" i="14" s="1"/>
  <c r="AH46" i="14"/>
  <c r="AJ46" i="14" s="1"/>
  <c r="AG159" i="14"/>
  <c r="AG158" i="14" s="1"/>
  <c r="E53" i="13" s="1"/>
  <c r="AH264" i="14"/>
  <c r="AJ264" i="14" s="1"/>
  <c r="Z336" i="14"/>
  <c r="AG313" i="14"/>
  <c r="AG312" i="14" s="1"/>
  <c r="E79" i="13" s="1"/>
  <c r="AG153" i="14"/>
  <c r="AG152" i="14" s="1"/>
  <c r="E52" i="13" s="1"/>
  <c r="AG198" i="14"/>
  <c r="AG197" i="14" s="1"/>
  <c r="E61" i="13" s="1"/>
  <c r="AE120" i="14"/>
  <c r="AE10" i="14" s="1"/>
  <c r="AG292" i="14"/>
  <c r="AJ292" i="14" s="1"/>
  <c r="AG390" i="14"/>
  <c r="E91" i="13" s="1"/>
  <c r="AE163" i="14"/>
  <c r="AC311" i="14"/>
  <c r="AG273" i="14"/>
  <c r="AG236" i="14"/>
  <c r="AG283" i="14"/>
  <c r="AG282" i="14" s="1"/>
  <c r="E73" i="13" s="1"/>
  <c r="Z124" i="14"/>
  <c r="AG185" i="14"/>
  <c r="AG184" i="14" s="1"/>
  <c r="E58" i="13" s="1"/>
  <c r="AC303" i="14"/>
  <c r="AB10" i="14"/>
  <c r="AH90" i="14"/>
  <c r="AJ90" i="14" s="1"/>
  <c r="AH83" i="14"/>
  <c r="AJ83" i="14" s="1"/>
  <c r="AJ193" i="14"/>
  <c r="AJ337" i="14"/>
  <c r="AG336" i="14"/>
  <c r="E83" i="13" s="1"/>
  <c r="AH82" i="14"/>
  <c r="AC81" i="14"/>
  <c r="AH320" i="14"/>
  <c r="AC319" i="14"/>
  <c r="AC379" i="14"/>
  <c r="AH383" i="14"/>
  <c r="Z173" i="14"/>
  <c r="Z171" i="14" s="1"/>
  <c r="AA171" i="14"/>
  <c r="AA10" i="14" s="1"/>
  <c r="AH30" i="14"/>
  <c r="AJ30" i="14" s="1"/>
  <c r="AH113" i="14"/>
  <c r="AJ113" i="14" s="1"/>
  <c r="AH284" i="14"/>
  <c r="AC282" i="14"/>
  <c r="AC65" i="14"/>
  <c r="AH66" i="14"/>
  <c r="AH99" i="14"/>
  <c r="AJ99" i="14" s="1"/>
  <c r="AH105" i="14"/>
  <c r="AJ105" i="14" s="1"/>
  <c r="AH377" i="14"/>
  <c r="AC375" i="14"/>
  <c r="AC24" i="14"/>
  <c r="AH25" i="14"/>
  <c r="AH39" i="14"/>
  <c r="AJ39" i="14" s="1"/>
  <c r="Z26" i="14"/>
  <c r="AG27" i="14"/>
  <c r="AH37" i="14"/>
  <c r="AC36" i="14"/>
  <c r="AC142" i="14"/>
  <c r="AH143" i="14"/>
  <c r="AH187" i="14"/>
  <c r="AC184" i="14"/>
  <c r="AH300" i="14"/>
  <c r="AJ300" i="14" s="1"/>
  <c r="AH370" i="14"/>
  <c r="AJ370" i="14" s="1"/>
  <c r="AC359" i="14"/>
  <c r="AH361" i="14"/>
  <c r="AH372" i="14"/>
  <c r="AJ372" i="14" s="1"/>
  <c r="AH76" i="14"/>
  <c r="AJ76" i="14" s="1"/>
  <c r="AH72" i="14"/>
  <c r="AH178" i="14"/>
  <c r="AJ178" i="14" s="1"/>
  <c r="AH202" i="14"/>
  <c r="AJ202" i="14" s="1"/>
  <c r="AH35" i="14"/>
  <c r="AJ35" i="14" s="1"/>
  <c r="AH112" i="14"/>
  <c r="AJ112" i="14" s="1"/>
  <c r="AC144" i="14"/>
  <c r="AH147" i="14"/>
  <c r="AH162" i="14"/>
  <c r="AJ162" i="14" s="1"/>
  <c r="AH191" i="14"/>
  <c r="AJ191" i="14" s="1"/>
  <c r="AH218" i="14"/>
  <c r="AJ218" i="14" s="1"/>
  <c r="AH217" i="14"/>
  <c r="AJ217" i="14" s="1"/>
  <c r="AJ256" i="14"/>
  <c r="AH324" i="14"/>
  <c r="AJ324" i="14" s="1"/>
  <c r="AH333" i="14"/>
  <c r="AJ333" i="14" s="1"/>
  <c r="AH366" i="14"/>
  <c r="AC365" i="14"/>
  <c r="AG15" i="14"/>
  <c r="E28" i="13" s="1"/>
  <c r="Z95" i="14"/>
  <c r="AG96" i="14"/>
  <c r="AH114" i="14"/>
  <c r="AJ114" i="14" s="1"/>
  <c r="AH224" i="14"/>
  <c r="AJ224" i="14" s="1"/>
  <c r="AH242" i="14"/>
  <c r="AJ242" i="14" s="1"/>
  <c r="AH227" i="14"/>
  <c r="AC225" i="14"/>
  <c r="AH293" i="14"/>
  <c r="AC291" i="14"/>
  <c r="AH358" i="14"/>
  <c r="AC355" i="14"/>
  <c r="AH384" i="14"/>
  <c r="AJ384" i="14" s="1"/>
  <c r="AH241" i="14"/>
  <c r="AJ241" i="14" s="1"/>
  <c r="AC212" i="14"/>
  <c r="AH213" i="14"/>
  <c r="AH245" i="14"/>
  <c r="AJ245" i="14" s="1"/>
  <c r="AH277" i="14"/>
  <c r="AJ277" i="14" s="1"/>
  <c r="AH362" i="14"/>
  <c r="AJ362" i="14" s="1"/>
  <c r="AG376" i="14"/>
  <c r="AH394" i="14"/>
  <c r="AJ394" i="14" s="1"/>
  <c r="AJ172" i="14"/>
  <c r="AH349" i="14"/>
  <c r="AJ349" i="14" s="1"/>
  <c r="AC390" i="14"/>
  <c r="AH393" i="14"/>
  <c r="AJ29" i="14"/>
  <c r="AG129" i="14"/>
  <c r="Y171" i="14"/>
  <c r="AH141" i="14"/>
  <c r="AC140" i="14"/>
  <c r="AH181" i="14"/>
  <c r="AJ181" i="14" s="1"/>
  <c r="AC312" i="14"/>
  <c r="AH314" i="14"/>
  <c r="AH276" i="14"/>
  <c r="AC275" i="14"/>
  <c r="AJ85" i="14"/>
  <c r="AG84" i="14"/>
  <c r="E38" i="13" s="1"/>
  <c r="AC95" i="14"/>
  <c r="AH98" i="14"/>
  <c r="AH115" i="14"/>
  <c r="AJ115" i="14" s="1"/>
  <c r="Z118" i="14"/>
  <c r="AG119" i="14"/>
  <c r="AH102" i="14"/>
  <c r="AH199" i="14"/>
  <c r="AC197" i="14"/>
  <c r="AC131" i="14"/>
  <c r="AH132" i="14"/>
  <c r="AH177" i="14"/>
  <c r="AC175" i="14"/>
  <c r="AH207" i="14"/>
  <c r="AJ207" i="14" s="1"/>
  <c r="AH274" i="14"/>
  <c r="AC272" i="14"/>
  <c r="AH234" i="14"/>
  <c r="AJ234" i="14" s="1"/>
  <c r="AH286" i="14"/>
  <c r="AJ286" i="14" s="1"/>
  <c r="AH354" i="14"/>
  <c r="AC350" i="14"/>
  <c r="AH19" i="14"/>
  <c r="AJ19" i="14" s="1"/>
  <c r="AH55" i="14"/>
  <c r="AC54" i="14"/>
  <c r="AH32" i="14"/>
  <c r="AJ32" i="14" s="1"/>
  <c r="AH92" i="14"/>
  <c r="AJ92" i="14" s="1"/>
  <c r="Z42" i="14"/>
  <c r="AG43" i="14"/>
  <c r="AG126" i="14"/>
  <c r="AJ126" i="14" s="1"/>
  <c r="AG125" i="14"/>
  <c r="AH168" i="14"/>
  <c r="AJ168" i="14" s="1"/>
  <c r="AH200" i="14"/>
  <c r="AJ200" i="14" s="1"/>
  <c r="AH219" i="14"/>
  <c r="AJ219" i="14" s="1"/>
  <c r="AH279" i="14"/>
  <c r="AJ279" i="14" s="1"/>
  <c r="AH289" i="14"/>
  <c r="AJ289" i="14" s="1"/>
  <c r="AC331" i="14"/>
  <c r="AH332" i="14"/>
  <c r="AH296" i="14"/>
  <c r="AJ296" i="14" s="1"/>
  <c r="AJ205" i="14"/>
  <c r="AH288" i="14"/>
  <c r="AC287" i="14"/>
  <c r="AG350" i="14"/>
  <c r="E85" i="13" s="1"/>
  <c r="AH156" i="14"/>
  <c r="AC152" i="14"/>
  <c r="AH190" i="14"/>
  <c r="AJ190" i="14" s="1"/>
  <c r="AH266" i="14"/>
  <c r="AJ266" i="14" s="1"/>
  <c r="AH328" i="14"/>
  <c r="AJ328" i="14" s="1"/>
  <c r="AC336" i="14"/>
  <c r="AH340" i="14"/>
  <c r="AH23" i="14"/>
  <c r="AJ23" i="14" s="1"/>
  <c r="AH38" i="14"/>
  <c r="AJ38" i="14" s="1"/>
  <c r="AC15" i="14"/>
  <c r="AH17" i="14"/>
  <c r="AH133" i="14"/>
  <c r="AJ133" i="14" s="1"/>
  <c r="AJ149" i="14"/>
  <c r="AG148" i="14"/>
  <c r="E51" i="13" s="1"/>
  <c r="D51" i="13" s="1"/>
  <c r="C51" i="13" s="1"/>
  <c r="AH121" i="14"/>
  <c r="AC120" i="14"/>
  <c r="AH130" i="14"/>
  <c r="AC128" i="14"/>
  <c r="AH183" i="14"/>
  <c r="AC182" i="14"/>
  <c r="AH139" i="14"/>
  <c r="AJ139" i="14" s="1"/>
  <c r="AH188" i="14"/>
  <c r="AJ188" i="14" s="1"/>
  <c r="AG272" i="14"/>
  <c r="E71" i="13" s="1"/>
  <c r="AJ273" i="14"/>
  <c r="AH228" i="14"/>
  <c r="AJ228" i="14" s="1"/>
  <c r="AH249" i="14"/>
  <c r="AJ249" i="14" s="1"/>
  <c r="AH306" i="14"/>
  <c r="AJ306" i="14" s="1"/>
  <c r="AH299" i="14"/>
  <c r="AJ299" i="14" s="1"/>
  <c r="AC347" i="14"/>
  <c r="AH348" i="14"/>
  <c r="AJ313" i="14"/>
  <c r="AG355" i="14"/>
  <c r="E86" i="13" s="1"/>
  <c r="AH373" i="14"/>
  <c r="AJ373" i="14" s="1"/>
  <c r="AH346" i="14"/>
  <c r="AJ346" i="14" s="1"/>
  <c r="AG360" i="14"/>
  <c r="AJ238" i="14"/>
  <c r="AC222" i="14"/>
  <c r="AD220" i="14"/>
  <c r="AC257" i="14"/>
  <c r="AD254" i="14"/>
  <c r="AJ304" i="14"/>
  <c r="AG11" i="14"/>
  <c r="E27" i="13" s="1"/>
  <c r="AJ12" i="14"/>
  <c r="AH42" i="14"/>
  <c r="F32" i="13" s="1"/>
  <c r="AC49" i="14"/>
  <c r="AH50" i="14"/>
  <c r="AH22" i="14"/>
  <c r="AJ22" i="14" s="1"/>
  <c r="AH34" i="14"/>
  <c r="AJ34" i="14" s="1"/>
  <c r="AC124" i="14"/>
  <c r="AH127" i="14"/>
  <c r="AH137" i="14"/>
  <c r="AC135" i="14"/>
  <c r="AC163" i="14"/>
  <c r="AH164" i="14"/>
  <c r="AH229" i="14"/>
  <c r="AJ229" i="14" s="1"/>
  <c r="AH262" i="14"/>
  <c r="AJ262" i="14" s="1"/>
  <c r="AH325" i="14"/>
  <c r="AJ325" i="14" s="1"/>
  <c r="AC26" i="14"/>
  <c r="AH134" i="14"/>
  <c r="AJ134" i="14" s="1"/>
  <c r="AC158" i="14"/>
  <c r="AH161" i="14"/>
  <c r="AH138" i="14"/>
  <c r="AJ138" i="14" s="1"/>
  <c r="AH108" i="14"/>
  <c r="AJ108" i="14" s="1"/>
  <c r="Z175" i="14"/>
  <c r="AG176" i="14"/>
  <c r="AJ221" i="14"/>
  <c r="AG220" i="14"/>
  <c r="E64" i="13" s="1"/>
  <c r="AH302" i="14"/>
  <c r="AC301" i="14"/>
  <c r="AH309" i="14"/>
  <c r="AJ309" i="14" s="1"/>
  <c r="AC11" i="14"/>
  <c r="AH13" i="14"/>
  <c r="AH53" i="14"/>
  <c r="AJ53" i="14" s="1"/>
  <c r="AC84" i="14"/>
  <c r="AH87" i="14"/>
  <c r="AH157" i="14"/>
  <c r="AJ157" i="14" s="1"/>
  <c r="AH174" i="14"/>
  <c r="AC171" i="14"/>
  <c r="AH233" i="14"/>
  <c r="AJ233" i="14" s="1"/>
  <c r="AG226" i="14"/>
  <c r="AC195" i="14"/>
  <c r="AH196" i="14"/>
  <c r="AH281" i="14"/>
  <c r="AJ281" i="14" s="1"/>
  <c r="AH323" i="14"/>
  <c r="AJ323" i="14" s="1"/>
  <c r="AH318" i="14"/>
  <c r="AC317" i="14"/>
  <c r="AH110" i="14"/>
  <c r="AC109" i="14"/>
  <c r="AH253" i="14"/>
  <c r="AJ253" i="14" s="1"/>
  <c r="AJ236" i="14"/>
  <c r="AG235" i="14"/>
  <c r="E66" i="13" s="1"/>
  <c r="AC268" i="14"/>
  <c r="AH269" i="14"/>
  <c r="AH363" i="14"/>
  <c r="AJ363" i="14" s="1"/>
  <c r="Z379" i="14"/>
  <c r="AG380" i="14"/>
  <c r="AH194" i="14"/>
  <c r="AC192" i="14"/>
  <c r="AH214" i="14"/>
  <c r="AJ214" i="14" s="1"/>
  <c r="AC247" i="14"/>
  <c r="AH248" i="14"/>
  <c r="AH326" i="14"/>
  <c r="AJ326" i="14" s="1"/>
  <c r="AC246" i="14"/>
  <c r="AG291" i="14" l="1"/>
  <c r="E75" i="13" s="1"/>
  <c r="AJ283" i="14"/>
  <c r="AH79" i="14"/>
  <c r="AJ79" i="14" s="1"/>
  <c r="AJ153" i="14"/>
  <c r="AC101" i="14"/>
  <c r="AJ136" i="14"/>
  <c r="AJ198" i="14"/>
  <c r="AJ255" i="14"/>
  <c r="AC235" i="14"/>
  <c r="AH311" i="14"/>
  <c r="AH310" i="14" s="1"/>
  <c r="F78" i="13" s="1"/>
  <c r="D78" i="13" s="1"/>
  <c r="AH107" i="14"/>
  <c r="AJ107" i="14" s="1"/>
  <c r="AJ185" i="14"/>
  <c r="AJ159" i="14"/>
  <c r="AC310" i="14"/>
  <c r="AG173" i="14"/>
  <c r="AJ173" i="14" s="1"/>
  <c r="AD10" i="14"/>
  <c r="AH204" i="14"/>
  <c r="F62" i="13" s="1"/>
  <c r="D62" i="13" s="1"/>
  <c r="C62" i="13" s="1"/>
  <c r="AJ303" i="14"/>
  <c r="AJ194" i="14"/>
  <c r="AH192" i="14"/>
  <c r="F59" i="13" s="1"/>
  <c r="D59" i="13" s="1"/>
  <c r="C59" i="13" s="1"/>
  <c r="AH268" i="14"/>
  <c r="F70" i="13" s="1"/>
  <c r="D70" i="13" s="1"/>
  <c r="C70" i="13" s="1"/>
  <c r="AJ269" i="14"/>
  <c r="Z10" i="14"/>
  <c r="AH195" i="14"/>
  <c r="F60" i="13" s="1"/>
  <c r="D60" i="13" s="1"/>
  <c r="C60" i="13" s="1"/>
  <c r="AJ196" i="14"/>
  <c r="AH163" i="14"/>
  <c r="F54" i="13" s="1"/>
  <c r="D54" i="13" s="1"/>
  <c r="AJ164" i="14"/>
  <c r="AJ137" i="14"/>
  <c r="AH135" i="14"/>
  <c r="F47" i="13" s="1"/>
  <c r="D47" i="13" s="1"/>
  <c r="C47" i="13" s="1"/>
  <c r="AH222" i="14"/>
  <c r="AC220" i="14"/>
  <c r="AH347" i="14"/>
  <c r="F84" i="13" s="1"/>
  <c r="D84" i="13" s="1"/>
  <c r="C84" i="13" s="1"/>
  <c r="AJ348" i="14"/>
  <c r="AJ148" i="14"/>
  <c r="AH336" i="14"/>
  <c r="F83" i="13" s="1"/>
  <c r="D83" i="13" s="1"/>
  <c r="C83" i="13" s="1"/>
  <c r="AJ340" i="14"/>
  <c r="AJ204" i="14"/>
  <c r="AJ125" i="14"/>
  <c r="AG124" i="14"/>
  <c r="E44" i="13" s="1"/>
  <c r="AJ119" i="14"/>
  <c r="AG118" i="14"/>
  <c r="E42" i="13" s="1"/>
  <c r="D42" i="13" s="1"/>
  <c r="C42" i="13" s="1"/>
  <c r="AJ276" i="14"/>
  <c r="AH275" i="14"/>
  <c r="F72" i="13" s="1"/>
  <c r="D72" i="13" s="1"/>
  <c r="AJ263" i="14"/>
  <c r="AH26" i="14"/>
  <c r="F30" i="13" s="1"/>
  <c r="AH212" i="14"/>
  <c r="F63" i="13" s="1"/>
  <c r="D63" i="13" s="1"/>
  <c r="C63" i="13" s="1"/>
  <c r="AJ213" i="14"/>
  <c r="AJ358" i="14"/>
  <c r="AH355" i="14"/>
  <c r="F86" i="13" s="1"/>
  <c r="D86" i="13" s="1"/>
  <c r="C86" i="13" s="1"/>
  <c r="AJ293" i="14"/>
  <c r="AH291" i="14"/>
  <c r="F75" i="13" s="1"/>
  <c r="D75" i="13" s="1"/>
  <c r="C75" i="13" s="1"/>
  <c r="AJ96" i="14"/>
  <c r="AG95" i="14"/>
  <c r="E39" i="13" s="1"/>
  <c r="AH365" i="14"/>
  <c r="F88" i="13" s="1"/>
  <c r="D88" i="13" s="1"/>
  <c r="C88" i="13" s="1"/>
  <c r="AJ366" i="14"/>
  <c r="AJ361" i="14"/>
  <c r="AH359" i="14"/>
  <c r="F87" i="13" s="1"/>
  <c r="AJ27" i="14"/>
  <c r="AG26" i="14"/>
  <c r="AH65" i="14"/>
  <c r="F35" i="13" s="1"/>
  <c r="D35" i="13" s="1"/>
  <c r="C35" i="13" s="1"/>
  <c r="AJ66" i="14"/>
  <c r="AG144" i="14"/>
  <c r="E50" i="13" s="1"/>
  <c r="AJ383" i="14"/>
  <c r="AH379" i="14"/>
  <c r="F90" i="13" s="1"/>
  <c r="AH247" i="14"/>
  <c r="F67" i="13" s="1"/>
  <c r="D67" i="13" s="1"/>
  <c r="C67" i="13" s="1"/>
  <c r="AJ248" i="14"/>
  <c r="AJ176" i="14"/>
  <c r="AG175" i="14"/>
  <c r="E56" i="13" s="1"/>
  <c r="AH109" i="14"/>
  <c r="F41" i="13" s="1"/>
  <c r="D41" i="13" s="1"/>
  <c r="C41" i="13" s="1"/>
  <c r="AJ110" i="14"/>
  <c r="AH84" i="14"/>
  <c r="F38" i="13" s="1"/>
  <c r="D38" i="13" s="1"/>
  <c r="C38" i="13" s="1"/>
  <c r="AJ87" i="14"/>
  <c r="AH301" i="14"/>
  <c r="F76" i="13" s="1"/>
  <c r="D76" i="13" s="1"/>
  <c r="C76" i="13" s="1"/>
  <c r="AJ302" i="14"/>
  <c r="AH158" i="14"/>
  <c r="F53" i="13" s="1"/>
  <c r="D53" i="13" s="1"/>
  <c r="C53" i="13" s="1"/>
  <c r="AJ161" i="14"/>
  <c r="AH257" i="14"/>
  <c r="AC254" i="14"/>
  <c r="AH120" i="14"/>
  <c r="F43" i="13" s="1"/>
  <c r="D43" i="13" s="1"/>
  <c r="C43" i="13" s="1"/>
  <c r="AJ121" i="14"/>
  <c r="AH331" i="14"/>
  <c r="F82" i="13" s="1"/>
  <c r="D82" i="13" s="1"/>
  <c r="C82" i="13" s="1"/>
  <c r="AJ332" i="14"/>
  <c r="AG42" i="14"/>
  <c r="E32" i="13" s="1"/>
  <c r="D32" i="13" s="1"/>
  <c r="C32" i="13" s="1"/>
  <c r="AJ43" i="14"/>
  <c r="AH272" i="14"/>
  <c r="F71" i="13" s="1"/>
  <c r="D71" i="13" s="1"/>
  <c r="C71" i="13" s="1"/>
  <c r="AJ274" i="14"/>
  <c r="AH131" i="14"/>
  <c r="F46" i="13" s="1"/>
  <c r="D46" i="13" s="1"/>
  <c r="C46" i="13" s="1"/>
  <c r="AJ132" i="14"/>
  <c r="AJ98" i="14"/>
  <c r="AH95" i="14"/>
  <c r="F39" i="13" s="1"/>
  <c r="AJ314" i="14"/>
  <c r="AH312" i="14"/>
  <c r="F79" i="13" s="1"/>
  <c r="D79" i="13" s="1"/>
  <c r="C79" i="13" s="1"/>
  <c r="AH263" i="14"/>
  <c r="F69" i="13" s="1"/>
  <c r="D69" i="13" s="1"/>
  <c r="C69" i="13" s="1"/>
  <c r="AJ376" i="14"/>
  <c r="AG375" i="14"/>
  <c r="E89" i="13" s="1"/>
  <c r="AH142" i="14"/>
  <c r="F49" i="13" s="1"/>
  <c r="D49" i="13" s="1"/>
  <c r="C49" i="13" s="1"/>
  <c r="AJ143" i="14"/>
  <c r="Y10" i="14"/>
  <c r="AJ284" i="14"/>
  <c r="AH282" i="14"/>
  <c r="F73" i="13" s="1"/>
  <c r="D73" i="13" s="1"/>
  <c r="C73" i="13" s="1"/>
  <c r="AH319" i="14"/>
  <c r="F81" i="13" s="1"/>
  <c r="D81" i="13" s="1"/>
  <c r="C81" i="13" s="1"/>
  <c r="AJ320" i="14"/>
  <c r="AJ380" i="14"/>
  <c r="AG379" i="14"/>
  <c r="E90" i="13" s="1"/>
  <c r="AH152" i="14"/>
  <c r="F52" i="13" s="1"/>
  <c r="D52" i="13" s="1"/>
  <c r="C52" i="13" s="1"/>
  <c r="AJ156" i="14"/>
  <c r="AH54" i="14"/>
  <c r="F34" i="13" s="1"/>
  <c r="D34" i="13" s="1"/>
  <c r="C34" i="13" s="1"/>
  <c r="AJ55" i="14"/>
  <c r="AJ199" i="14"/>
  <c r="AH197" i="14"/>
  <c r="F61" i="13" s="1"/>
  <c r="D61" i="13" s="1"/>
  <c r="C61" i="13" s="1"/>
  <c r="AJ102" i="14"/>
  <c r="AH101" i="14"/>
  <c r="F40" i="13" s="1"/>
  <c r="D40" i="13" s="1"/>
  <c r="C40" i="13" s="1"/>
  <c r="AJ393" i="14"/>
  <c r="AH390" i="14"/>
  <c r="F91" i="13" s="1"/>
  <c r="D91" i="13" s="1"/>
  <c r="C91" i="13" s="1"/>
  <c r="AH225" i="14"/>
  <c r="F65" i="13" s="1"/>
  <c r="AJ227" i="14"/>
  <c r="AH144" i="14"/>
  <c r="F50" i="13" s="1"/>
  <c r="AJ147" i="14"/>
  <c r="AJ187" i="14"/>
  <c r="AH184" i="14"/>
  <c r="F58" i="13" s="1"/>
  <c r="D58" i="13" s="1"/>
  <c r="C58" i="13" s="1"/>
  <c r="AH36" i="14"/>
  <c r="F31" i="13" s="1"/>
  <c r="D31" i="13" s="1"/>
  <c r="C31" i="13" s="1"/>
  <c r="AJ37" i="14"/>
  <c r="AH24" i="14"/>
  <c r="F29" i="13" s="1"/>
  <c r="D29" i="13" s="1"/>
  <c r="C29" i="13" s="1"/>
  <c r="AJ25" i="14"/>
  <c r="AH81" i="14"/>
  <c r="F37" i="13" s="1"/>
  <c r="D37" i="13" s="1"/>
  <c r="AJ82" i="14"/>
  <c r="AH246" i="14"/>
  <c r="AJ246" i="14" s="1"/>
  <c r="AJ235" i="14" s="1"/>
  <c r="AH11" i="14"/>
  <c r="F27" i="13" s="1"/>
  <c r="D27" i="13" s="1"/>
  <c r="AJ13" i="14"/>
  <c r="AJ127" i="14"/>
  <c r="AH124" i="14"/>
  <c r="F44" i="13" s="1"/>
  <c r="AH128" i="14"/>
  <c r="F45" i="13" s="1"/>
  <c r="AJ130" i="14"/>
  <c r="AH317" i="14"/>
  <c r="F80" i="13" s="1"/>
  <c r="D80" i="13" s="1"/>
  <c r="C80" i="13" s="1"/>
  <c r="AJ318" i="14"/>
  <c r="AJ226" i="14"/>
  <c r="AG225" i="14"/>
  <c r="E65" i="13" s="1"/>
  <c r="AH171" i="14"/>
  <c r="F55" i="13" s="1"/>
  <c r="AJ174" i="14"/>
  <c r="AH49" i="14"/>
  <c r="F33" i="13" s="1"/>
  <c r="D33" i="13" s="1"/>
  <c r="C33" i="13" s="1"/>
  <c r="AJ50" i="14"/>
  <c r="AH303" i="14"/>
  <c r="F77" i="13" s="1"/>
  <c r="D77" i="13" s="1"/>
  <c r="C77" i="13" s="1"/>
  <c r="AJ360" i="14"/>
  <c r="AG359" i="14"/>
  <c r="E87" i="13" s="1"/>
  <c r="AH182" i="14"/>
  <c r="F57" i="13" s="1"/>
  <c r="D57" i="13" s="1"/>
  <c r="C57" i="13" s="1"/>
  <c r="AJ183" i="14"/>
  <c r="AJ17" i="14"/>
  <c r="AH15" i="14"/>
  <c r="F28" i="13" s="1"/>
  <c r="D28" i="13" s="1"/>
  <c r="C28" i="13" s="1"/>
  <c r="AJ288" i="14"/>
  <c r="AH287" i="14"/>
  <c r="F74" i="13" s="1"/>
  <c r="D74" i="13" s="1"/>
  <c r="C74" i="13" s="1"/>
  <c r="AH350" i="14"/>
  <c r="F85" i="13" s="1"/>
  <c r="D85" i="13" s="1"/>
  <c r="C85" i="13" s="1"/>
  <c r="AJ354" i="14"/>
  <c r="AJ177" i="14"/>
  <c r="AH175" i="14"/>
  <c r="F56" i="13" s="1"/>
  <c r="AH140" i="14"/>
  <c r="F48" i="13" s="1"/>
  <c r="D48" i="13" s="1"/>
  <c r="C48" i="13" s="1"/>
  <c r="AJ141" i="14"/>
  <c r="AJ129" i="14"/>
  <c r="AG128" i="14"/>
  <c r="E45" i="13" s="1"/>
  <c r="AG171" i="14"/>
  <c r="E55" i="13" s="1"/>
  <c r="AH71" i="14"/>
  <c r="F36" i="13" s="1"/>
  <c r="D36" i="13" s="1"/>
  <c r="C36" i="13" s="1"/>
  <c r="AJ72" i="14"/>
  <c r="AJ377" i="14"/>
  <c r="AH375" i="14"/>
  <c r="F89" i="13" s="1"/>
  <c r="AJ311" i="14" l="1"/>
  <c r="AJ84" i="14"/>
  <c r="D87" i="13"/>
  <c r="C87" i="13" s="1"/>
  <c r="D45" i="13"/>
  <c r="C45" i="13" s="1"/>
  <c r="AJ15" i="14"/>
  <c r="AJ192" i="14"/>
  <c r="AJ291" i="14"/>
  <c r="AC10" i="14"/>
  <c r="D55" i="13"/>
  <c r="C55" i="13" s="1"/>
  <c r="D90" i="13"/>
  <c r="C90" i="13" s="1"/>
  <c r="AJ158" i="14"/>
  <c r="D50" i="13"/>
  <c r="C50" i="13" s="1"/>
  <c r="AJ336" i="14"/>
  <c r="D39" i="13"/>
  <c r="C39" i="13" s="1"/>
  <c r="C27" i="13"/>
  <c r="D65" i="13"/>
  <c r="C65" i="13" s="1"/>
  <c r="D89" i="13"/>
  <c r="C89" i="13" s="1"/>
  <c r="D56" i="13"/>
  <c r="C56" i="13" s="1"/>
  <c r="AG10" i="14"/>
  <c r="E30" i="13"/>
  <c r="AJ184" i="14"/>
  <c r="D44" i="13"/>
  <c r="C44" i="13" s="1"/>
  <c r="AJ135" i="14"/>
  <c r="AJ24" i="14"/>
  <c r="AJ257" i="14"/>
  <c r="AH254" i="14"/>
  <c r="F68" i="13" s="1"/>
  <c r="D68" i="13" s="1"/>
  <c r="C68" i="13" s="1"/>
  <c r="AJ71" i="14"/>
  <c r="AJ140" i="14"/>
  <c r="AJ317" i="14"/>
  <c r="AJ101" i="14"/>
  <c r="AJ54" i="14"/>
  <c r="AJ319" i="14"/>
  <c r="AJ42" i="14"/>
  <c r="AJ144" i="14"/>
  <c r="AJ171" i="14"/>
  <c r="AJ118" i="14"/>
  <c r="AJ124" i="14"/>
  <c r="AJ350" i="14"/>
  <c r="AJ222" i="14"/>
  <c r="AH220" i="14"/>
  <c r="AJ268" i="14"/>
  <c r="AJ312" i="14"/>
  <c r="AJ272" i="14"/>
  <c r="AJ49" i="14"/>
  <c r="AJ36" i="14"/>
  <c r="AJ310" i="14"/>
  <c r="AJ390" i="14"/>
  <c r="AJ379" i="14"/>
  <c r="AJ142" i="14"/>
  <c r="AJ375" i="14"/>
  <c r="AJ120" i="14"/>
  <c r="AH235" i="14"/>
  <c r="F66" i="13" s="1"/>
  <c r="D66" i="13" s="1"/>
  <c r="C66" i="13" s="1"/>
  <c r="AJ197" i="14"/>
  <c r="AJ26" i="14"/>
  <c r="AJ365" i="14"/>
  <c r="AJ212" i="14"/>
  <c r="AJ355" i="14"/>
  <c r="AJ128" i="14"/>
  <c r="AJ182" i="14"/>
  <c r="AJ152" i="14"/>
  <c r="AJ282" i="14"/>
  <c r="AJ331" i="14"/>
  <c r="AJ301" i="14"/>
  <c r="AJ109" i="14"/>
  <c r="AJ65" i="14"/>
  <c r="AJ275" i="14"/>
  <c r="AJ347" i="14"/>
  <c r="AJ11" i="14"/>
  <c r="AJ163" i="14"/>
  <c r="AJ195" i="14"/>
  <c r="AJ359" i="14"/>
  <c r="AJ225" i="14"/>
  <c r="AJ175" i="14"/>
  <c r="AJ287" i="14"/>
  <c r="AJ81" i="14"/>
  <c r="AJ131" i="14"/>
  <c r="AJ247" i="14"/>
  <c r="AJ95" i="14"/>
  <c r="AH10" i="14" l="1"/>
  <c r="F64" i="13"/>
  <c r="D30" i="13"/>
  <c r="E26" i="13"/>
  <c r="AJ220" i="14"/>
  <c r="AJ254" i="14"/>
  <c r="C30" i="13" l="1"/>
  <c r="D64" i="13"/>
  <c r="C64" i="13" s="1"/>
  <c r="F26" i="13"/>
  <c r="AJ10" i="14"/>
  <c r="D26" i="13" l="1"/>
  <c r="AH67" i="4" l="1"/>
  <c r="V67" i="4"/>
  <c r="U67" i="4"/>
  <c r="R67" i="4"/>
  <c r="I67" i="4"/>
  <c r="O67" i="4" s="1"/>
  <c r="AB67" i="4" l="1"/>
  <c r="Y67" i="4"/>
  <c r="AA67" i="4"/>
  <c r="Z67" i="4" l="1"/>
  <c r="AG67" i="4" s="1"/>
  <c r="AJ67" i="4" s="1"/>
  <c r="Z94" i="4" l="1"/>
  <c r="AA94" i="4"/>
  <c r="AB94" i="4"/>
  <c r="AF94" i="4"/>
  <c r="AI94" i="4"/>
  <c r="Y94" i="4"/>
  <c r="I50" i="4" l="1"/>
  <c r="O50" i="4" s="1"/>
  <c r="I64" i="4"/>
  <c r="O64" i="4" s="1"/>
  <c r="I65" i="4"/>
  <c r="O65" i="4" s="1"/>
  <c r="Y65" i="4" s="1"/>
  <c r="I57" i="4"/>
  <c r="O57" i="4" s="1"/>
  <c r="I51" i="4"/>
  <c r="O51" i="4" s="1"/>
  <c r="O53" i="4"/>
  <c r="AD53" i="4" s="1"/>
  <c r="I49" i="4"/>
  <c r="O49" i="4" s="1"/>
  <c r="I47" i="4"/>
  <c r="O47" i="4" s="1"/>
  <c r="AH44" i="4"/>
  <c r="AH45" i="4"/>
  <c r="AH46" i="4"/>
  <c r="AH47" i="4"/>
  <c r="AH48" i="4"/>
  <c r="AH49" i="4"/>
  <c r="AH50" i="4"/>
  <c r="AH51" i="4"/>
  <c r="AH52" i="4"/>
  <c r="AG53" i="4"/>
  <c r="AG54" i="4"/>
  <c r="AG55" i="4"/>
  <c r="AG56" i="4"/>
  <c r="AG58" i="4"/>
  <c r="AG59" i="4"/>
  <c r="AG60" i="4"/>
  <c r="AG63" i="4"/>
  <c r="AH64" i="4"/>
  <c r="AH65" i="4"/>
  <c r="AH66" i="4"/>
  <c r="O44" i="4"/>
  <c r="O45" i="4"/>
  <c r="O46" i="4"/>
  <c r="Y46" i="4" s="1"/>
  <c r="O48" i="4"/>
  <c r="O52" i="4"/>
  <c r="Y52" i="4" s="1"/>
  <c r="O54" i="4"/>
  <c r="O55" i="4"/>
  <c r="AD55" i="4" s="1"/>
  <c r="O56" i="4"/>
  <c r="O58" i="4"/>
  <c r="O59" i="4"/>
  <c r="O60" i="4"/>
  <c r="O61" i="4"/>
  <c r="O62" i="4"/>
  <c r="AD62" i="4" s="1"/>
  <c r="O63" i="4"/>
  <c r="O66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U44" i="4"/>
  <c r="V44" i="4"/>
  <c r="U45" i="4"/>
  <c r="V45" i="4"/>
  <c r="U46" i="4"/>
  <c r="V46" i="4"/>
  <c r="U47" i="4"/>
  <c r="V47" i="4"/>
  <c r="U48" i="4"/>
  <c r="V48" i="4"/>
  <c r="U49" i="4"/>
  <c r="V49" i="4"/>
  <c r="U50" i="4"/>
  <c r="V50" i="4"/>
  <c r="U51" i="4"/>
  <c r="V51" i="4"/>
  <c r="U52" i="4"/>
  <c r="V52" i="4"/>
  <c r="U53" i="4"/>
  <c r="V53" i="4"/>
  <c r="U54" i="4"/>
  <c r="V54" i="4"/>
  <c r="U55" i="4"/>
  <c r="V55" i="4"/>
  <c r="U56" i="4"/>
  <c r="V56" i="4"/>
  <c r="U57" i="4"/>
  <c r="V57" i="4"/>
  <c r="U58" i="4"/>
  <c r="V58" i="4"/>
  <c r="U59" i="4"/>
  <c r="V59" i="4"/>
  <c r="U60" i="4"/>
  <c r="V60" i="4"/>
  <c r="U61" i="4"/>
  <c r="V61" i="4"/>
  <c r="U62" i="4"/>
  <c r="V62" i="4"/>
  <c r="U63" i="4"/>
  <c r="V63" i="4"/>
  <c r="U64" i="4"/>
  <c r="V64" i="4"/>
  <c r="U65" i="4"/>
  <c r="V65" i="4"/>
  <c r="U66" i="4"/>
  <c r="V66" i="4"/>
  <c r="AW19" i="12"/>
  <c r="AA52" i="4" l="1"/>
  <c r="AA44" i="4"/>
  <c r="Y44" i="4"/>
  <c r="AB48" i="4"/>
  <c r="AE58" i="4"/>
  <c r="AE55" i="4"/>
  <c r="AC55" i="4" s="1"/>
  <c r="AH55" i="4" s="1"/>
  <c r="AJ55" i="4" s="1"/>
  <c r="Y45" i="4"/>
  <c r="AG45" i="4" s="1"/>
  <c r="AJ45" i="4" s="1"/>
  <c r="AE61" i="4"/>
  <c r="AB49" i="4"/>
  <c r="AE57" i="4"/>
  <c r="AA49" i="4"/>
  <c r="AD57" i="4"/>
  <c r="AA66" i="4"/>
  <c r="AE56" i="4"/>
  <c r="AB44" i="4"/>
  <c r="AB47" i="4"/>
  <c r="Y49" i="4"/>
  <c r="AB51" i="4"/>
  <c r="AB50" i="4"/>
  <c r="AE60" i="4"/>
  <c r="AB64" i="4"/>
  <c r="AA48" i="4"/>
  <c r="Z48" i="4" s="1"/>
  <c r="AD61" i="4"/>
  <c r="AE62" i="4"/>
  <c r="AC62" i="4" s="1"/>
  <c r="AH62" i="4" s="1"/>
  <c r="AE63" i="4"/>
  <c r="AE59" i="4"/>
  <c r="AE54" i="4"/>
  <c r="AB46" i="4"/>
  <c r="Y48" i="4"/>
  <c r="AD58" i="4"/>
  <c r="AC58" i="4" s="1"/>
  <c r="AH58" i="4" s="1"/>
  <c r="AJ58" i="4" s="1"/>
  <c r="AD54" i="4"/>
  <c r="Z52" i="4"/>
  <c r="AB52" i="4"/>
  <c r="Y50" i="4"/>
  <c r="AA50" i="4"/>
  <c r="Y64" i="4"/>
  <c r="AA64" i="4"/>
  <c r="AG62" i="4"/>
  <c r="AD59" i="4"/>
  <c r="AC59" i="4" s="1"/>
  <c r="AH59" i="4" s="1"/>
  <c r="AJ59" i="4" s="1"/>
  <c r="AA65" i="4"/>
  <c r="AB65" i="4"/>
  <c r="AA51" i="4"/>
  <c r="Y51" i="4"/>
  <c r="AE53" i="4"/>
  <c r="AC53" i="4" s="1"/>
  <c r="AH53" i="4" s="1"/>
  <c r="AJ53" i="4" s="1"/>
  <c r="AD60" i="4"/>
  <c r="AA46" i="4"/>
  <c r="Z61" i="4"/>
  <c r="Y47" i="4"/>
  <c r="AA47" i="4"/>
  <c r="AD63" i="4"/>
  <c r="AB66" i="4"/>
  <c r="Y66" i="4"/>
  <c r="AD56" i="4"/>
  <c r="AK16" i="12"/>
  <c r="AJ16" i="12"/>
  <c r="AC16" i="12"/>
  <c r="Y16" i="12"/>
  <c r="W16" i="12" s="1"/>
  <c r="AA16" i="12" s="1"/>
  <c r="AR16" i="12" s="1"/>
  <c r="F16" i="12"/>
  <c r="E16" i="12"/>
  <c r="D16" i="12"/>
  <c r="AK18" i="12"/>
  <c r="AJ18" i="12"/>
  <c r="AC18" i="12"/>
  <c r="Y18" i="12"/>
  <c r="W18" i="12" s="1"/>
  <c r="AA18" i="12" s="1"/>
  <c r="AV18" i="12" s="1"/>
  <c r="AV17" i="12" s="1"/>
  <c r="AV8" i="12" s="1"/>
  <c r="F18" i="12"/>
  <c r="E18" i="12"/>
  <c r="D18" i="12"/>
  <c r="AK15" i="12"/>
  <c r="AJ15" i="12"/>
  <c r="AC15" i="12"/>
  <c r="Y15" i="12"/>
  <c r="W15" i="12" s="1"/>
  <c r="AA15" i="12" s="1"/>
  <c r="F15" i="12"/>
  <c r="E15" i="12"/>
  <c r="D15" i="12"/>
  <c r="AK13" i="12"/>
  <c r="AJ13" i="12"/>
  <c r="AC13" i="12"/>
  <c r="Y13" i="12"/>
  <c r="W13" i="12" s="1"/>
  <c r="AA13" i="12" s="1"/>
  <c r="F13" i="12"/>
  <c r="E13" i="12"/>
  <c r="D13" i="12"/>
  <c r="AK11" i="12"/>
  <c r="AJ11" i="12"/>
  <c r="AC11" i="12"/>
  <c r="Y11" i="12"/>
  <c r="W11" i="12" s="1"/>
  <c r="AA11" i="12" s="1"/>
  <c r="F11" i="12"/>
  <c r="E11" i="12"/>
  <c r="D11" i="12"/>
  <c r="AK10" i="12"/>
  <c r="AJ10" i="12"/>
  <c r="AC10" i="12"/>
  <c r="Y10" i="12"/>
  <c r="W10" i="12" s="1"/>
  <c r="AA10" i="12" s="1"/>
  <c r="AR10" i="12" s="1"/>
  <c r="F10" i="12"/>
  <c r="E10" i="12"/>
  <c r="D10" i="12"/>
  <c r="Z46" i="4" l="1"/>
  <c r="AG46" i="4" s="1"/>
  <c r="AJ46" i="4" s="1"/>
  <c r="Z44" i="4"/>
  <c r="AG44" i="4" s="1"/>
  <c r="AJ44" i="4" s="1"/>
  <c r="Z51" i="4"/>
  <c r="AG51" i="4" s="1"/>
  <c r="AJ51" i="4" s="1"/>
  <c r="AC54" i="4"/>
  <c r="AH54" i="4" s="1"/>
  <c r="AJ54" i="4" s="1"/>
  <c r="G11" i="12"/>
  <c r="K11" i="12" s="1"/>
  <c r="L11" i="12" s="1"/>
  <c r="M11" i="12" s="1"/>
  <c r="AC56" i="4"/>
  <c r="AH56" i="4" s="1"/>
  <c r="AJ56" i="4" s="1"/>
  <c r="AC57" i="4"/>
  <c r="AH57" i="4" s="1"/>
  <c r="Z66" i="4"/>
  <c r="AG66" i="4" s="1"/>
  <c r="AJ66" i="4" s="1"/>
  <c r="AG52" i="4"/>
  <c r="AJ52" i="4" s="1"/>
  <c r="Z49" i="4"/>
  <c r="AG49" i="4" s="1"/>
  <c r="AJ49" i="4" s="1"/>
  <c r="Z50" i="4"/>
  <c r="AG50" i="4" s="1"/>
  <c r="AJ50" i="4" s="1"/>
  <c r="AC61" i="4"/>
  <c r="AH61" i="4" s="1"/>
  <c r="AC63" i="4"/>
  <c r="AH63" i="4" s="1"/>
  <c r="AJ63" i="4" s="1"/>
  <c r="AG48" i="4"/>
  <c r="AJ48" i="4" s="1"/>
  <c r="Z47" i="4"/>
  <c r="AG47" i="4" s="1"/>
  <c r="AJ47" i="4" s="1"/>
  <c r="AC60" i="4"/>
  <c r="AH60" i="4" s="1"/>
  <c r="AJ60" i="4" s="1"/>
  <c r="AJ62" i="4"/>
  <c r="Z64" i="4"/>
  <c r="AG64" i="4" s="1"/>
  <c r="AJ64" i="4" s="1"/>
  <c r="Z65" i="4"/>
  <c r="AG65" i="4" s="1"/>
  <c r="AJ65" i="4" s="1"/>
  <c r="AG57" i="4"/>
  <c r="AJ57" i="4" s="1"/>
  <c r="AG61" i="4"/>
  <c r="AU18" i="12"/>
  <c r="AU17" i="12" s="1"/>
  <c r="AU8" i="12" s="1"/>
  <c r="G18" i="12"/>
  <c r="K18" i="12" s="1"/>
  <c r="L18" i="12" s="1"/>
  <c r="M18" i="12" s="1"/>
  <c r="G15" i="12"/>
  <c r="K15" i="12" s="1"/>
  <c r="L15" i="12" s="1"/>
  <c r="M15" i="12" s="1"/>
  <c r="G16" i="12"/>
  <c r="K16" i="12" s="1"/>
  <c r="AS16" i="12"/>
  <c r="G13" i="12"/>
  <c r="K13" i="12" s="1"/>
  <c r="L13" i="12" s="1"/>
  <c r="M13" i="12" s="1"/>
  <c r="G10" i="12"/>
  <c r="H10" i="12" s="1"/>
  <c r="AR11" i="12"/>
  <c r="AR9" i="12" s="1"/>
  <c r="AS11" i="12"/>
  <c r="AR15" i="12"/>
  <c r="AR14" i="12" s="1"/>
  <c r="AS15" i="12"/>
  <c r="AS14" i="12" s="1"/>
  <c r="AS10" i="12"/>
  <c r="AR13" i="12"/>
  <c r="AR12" i="12" s="1"/>
  <c r="AS13" i="12"/>
  <c r="AS12" i="12" s="1"/>
  <c r="AS17" i="12"/>
  <c r="AR17" i="12"/>
  <c r="H13" i="12"/>
  <c r="H11" i="12"/>
  <c r="AJ61" i="4" l="1"/>
  <c r="K10" i="12"/>
  <c r="L10" i="12" s="1"/>
  <c r="M10" i="12" s="1"/>
  <c r="AT18" i="12"/>
  <c r="AT17" i="12" s="1"/>
  <c r="H18" i="12"/>
  <c r="N18" i="12" s="1"/>
  <c r="H15" i="12"/>
  <c r="I15" i="12" s="1"/>
  <c r="J15" i="12" s="1"/>
  <c r="H16" i="12"/>
  <c r="I16" i="12" s="1"/>
  <c r="J16" i="12" s="1"/>
  <c r="L16" i="12"/>
  <c r="M16" i="12" s="1"/>
  <c r="AR8" i="12"/>
  <c r="AS9" i="12"/>
  <c r="AS8" i="12" s="1"/>
  <c r="N13" i="12"/>
  <c r="I13" i="12"/>
  <c r="J13" i="12" s="1"/>
  <c r="N11" i="12"/>
  <c r="I11" i="12"/>
  <c r="J11" i="12" s="1"/>
  <c r="I10" i="12"/>
  <c r="J10" i="12" s="1"/>
  <c r="N10" i="12"/>
  <c r="AT8" i="12" l="1"/>
  <c r="I78" i="13"/>
  <c r="I18" i="12"/>
  <c r="J18" i="12" s="1"/>
  <c r="N16" i="12"/>
  <c r="O16" i="12" s="1"/>
  <c r="AH16" i="12" s="1"/>
  <c r="N15" i="12"/>
  <c r="O15" i="12" s="1"/>
  <c r="AH15" i="12" s="1"/>
  <c r="O13" i="12"/>
  <c r="AH13" i="12" s="1"/>
  <c r="O18" i="12"/>
  <c r="AH18" i="12" s="1"/>
  <c r="O11" i="12"/>
  <c r="AH11" i="12" s="1"/>
  <c r="O10" i="12"/>
  <c r="AH10" i="12" s="1"/>
  <c r="I26" i="13" l="1"/>
  <c r="I10" i="13" s="1"/>
  <c r="G78" i="13"/>
  <c r="C78" i="13" s="1"/>
  <c r="P16" i="12"/>
  <c r="AI16" i="12" s="1"/>
  <c r="AO16" i="12" s="1"/>
  <c r="P18" i="12"/>
  <c r="AI18" i="12" s="1"/>
  <c r="AN18" i="12" s="1"/>
  <c r="P15" i="12"/>
  <c r="AI15" i="12" s="1"/>
  <c r="P11" i="12"/>
  <c r="AI11" i="12" s="1"/>
  <c r="P10" i="12"/>
  <c r="AI10" i="12" s="1"/>
  <c r="P13" i="12"/>
  <c r="AI13" i="12" s="1"/>
  <c r="AN16" i="12" l="1"/>
  <c r="AM16" i="12" s="1"/>
  <c r="AQ16" i="12" s="1"/>
  <c r="AP16" i="12" s="1"/>
  <c r="AW16" i="12" s="1"/>
  <c r="AO18" i="12"/>
  <c r="AM18" i="12" s="1"/>
  <c r="AN13" i="12"/>
  <c r="AO13" i="12"/>
  <c r="AN10" i="12"/>
  <c r="AO10" i="12"/>
  <c r="AO11" i="12"/>
  <c r="AN11" i="12"/>
  <c r="AO15" i="12"/>
  <c r="AN15" i="12"/>
  <c r="AM13" i="12" l="1"/>
  <c r="AQ13" i="12" s="1"/>
  <c r="AQ12" i="12" s="1"/>
  <c r="AM15" i="12"/>
  <c r="AQ15" i="12" s="1"/>
  <c r="AQ14" i="12" s="1"/>
  <c r="AM11" i="12"/>
  <c r="AQ11" i="12" s="1"/>
  <c r="AP11" i="12" s="1"/>
  <c r="AW11" i="12" s="1"/>
  <c r="AP18" i="12"/>
  <c r="AQ17" i="12"/>
  <c r="AM10" i="12"/>
  <c r="AQ10" i="12" s="1"/>
  <c r="AP10" i="12" s="1"/>
  <c r="AP15" i="12" l="1"/>
  <c r="AP14" i="12" s="1"/>
  <c r="AP17" i="12"/>
  <c r="AW17" i="12" s="1"/>
  <c r="AW18" i="12"/>
  <c r="AP13" i="12"/>
  <c r="AQ9" i="12"/>
  <c r="AQ8" i="12" s="1"/>
  <c r="AW14" i="12" l="1"/>
  <c r="H37" i="13"/>
  <c r="AW15" i="12"/>
  <c r="AP9" i="12"/>
  <c r="AW10" i="12"/>
  <c r="AP12" i="12"/>
  <c r="AW13" i="12"/>
  <c r="AC13" i="11"/>
  <c r="AD13" i="11"/>
  <c r="AE13" i="11"/>
  <c r="AF13" i="11"/>
  <c r="AH13" i="11"/>
  <c r="AI13" i="11"/>
  <c r="AC11" i="11"/>
  <c r="AD11" i="11"/>
  <c r="AE11" i="11"/>
  <c r="AF11" i="11"/>
  <c r="AH11" i="11"/>
  <c r="AI11" i="11"/>
  <c r="V14" i="11"/>
  <c r="U14" i="11"/>
  <c r="R14" i="11"/>
  <c r="M14" i="11"/>
  <c r="O14" i="11" s="1"/>
  <c r="V12" i="11"/>
  <c r="U12" i="11"/>
  <c r="R12" i="11"/>
  <c r="M12" i="11"/>
  <c r="O12" i="11" s="1"/>
  <c r="Z5" i="11"/>
  <c r="AC75" i="4"/>
  <c r="AD75" i="4"/>
  <c r="AE75" i="4"/>
  <c r="AF75" i="4"/>
  <c r="AI75" i="4"/>
  <c r="K81" i="4"/>
  <c r="K80" i="4"/>
  <c r="K79" i="4"/>
  <c r="K78" i="4"/>
  <c r="M77" i="4"/>
  <c r="K77" i="4"/>
  <c r="M95" i="4"/>
  <c r="O95" i="4" s="1"/>
  <c r="AG95" i="4"/>
  <c r="AG94" i="4" s="1"/>
  <c r="E22" i="13" s="1"/>
  <c r="V95" i="4"/>
  <c r="U95" i="4"/>
  <c r="R95" i="4"/>
  <c r="M78" i="4"/>
  <c r="M79" i="4"/>
  <c r="M80" i="4"/>
  <c r="M81" i="4"/>
  <c r="U77" i="4"/>
  <c r="V77" i="4"/>
  <c r="U78" i="4"/>
  <c r="V78" i="4"/>
  <c r="U79" i="4"/>
  <c r="V79" i="4"/>
  <c r="U80" i="4"/>
  <c r="V80" i="4"/>
  <c r="U81" i="4"/>
  <c r="V81" i="4"/>
  <c r="R77" i="4"/>
  <c r="R78" i="4"/>
  <c r="R79" i="4"/>
  <c r="R80" i="4"/>
  <c r="R81" i="4"/>
  <c r="Z91" i="4"/>
  <c r="AA91" i="4"/>
  <c r="AB91" i="4"/>
  <c r="AI91" i="4"/>
  <c r="Y91" i="4"/>
  <c r="AI86" i="4"/>
  <c r="AF82" i="4"/>
  <c r="AI82" i="4"/>
  <c r="Z72" i="4"/>
  <c r="AA72" i="4"/>
  <c r="AB72" i="4"/>
  <c r="AI72" i="4"/>
  <c r="Y72" i="4"/>
  <c r="AC68" i="4"/>
  <c r="AD68" i="4"/>
  <c r="AE68" i="4"/>
  <c r="AF68" i="4"/>
  <c r="AI68" i="4"/>
  <c r="AI31" i="4"/>
  <c r="AI24" i="4"/>
  <c r="AI19" i="4"/>
  <c r="AI17" i="4"/>
  <c r="AB17" i="4"/>
  <c r="AA17" i="4"/>
  <c r="Z17" i="4"/>
  <c r="Y17" i="4"/>
  <c r="AC15" i="4"/>
  <c r="AD15" i="4"/>
  <c r="AE15" i="4"/>
  <c r="AF15" i="4"/>
  <c r="AH15" i="4"/>
  <c r="AI15" i="4"/>
  <c r="AI11" i="4"/>
  <c r="AC10" i="11" l="1"/>
  <c r="AD10" i="11"/>
  <c r="G37" i="13"/>
  <c r="AF10" i="11"/>
  <c r="AW12" i="12"/>
  <c r="H54" i="13"/>
  <c r="G54" i="13" s="1"/>
  <c r="C54" i="13" s="1"/>
  <c r="AW9" i="12"/>
  <c r="H72" i="13"/>
  <c r="G72" i="13" s="1"/>
  <c r="C72" i="13" s="1"/>
  <c r="AP8" i="12"/>
  <c r="AW8" i="12" s="1"/>
  <c r="Y12" i="11"/>
  <c r="Y11" i="11" s="1"/>
  <c r="AE10" i="11"/>
  <c r="AA12" i="11"/>
  <c r="AA11" i="11" s="1"/>
  <c r="O78" i="4"/>
  <c r="Y78" i="4" s="1"/>
  <c r="AI10" i="4"/>
  <c r="O77" i="4"/>
  <c r="AB77" i="4" s="1"/>
  <c r="O81" i="4"/>
  <c r="Y81" i="4" s="1"/>
  <c r="AB14" i="11"/>
  <c r="AB13" i="11" s="1"/>
  <c r="Y14" i="11"/>
  <c r="Y13" i="11" s="1"/>
  <c r="AA14" i="11"/>
  <c r="AA13" i="11" s="1"/>
  <c r="AI10" i="11"/>
  <c r="AH10" i="11"/>
  <c r="AB12" i="11"/>
  <c r="AB11" i="11" s="1"/>
  <c r="O80" i="4"/>
  <c r="Y80" i="4" s="1"/>
  <c r="O79" i="4"/>
  <c r="AB79" i="4" s="1"/>
  <c r="AE95" i="4"/>
  <c r="AE94" i="4" s="1"/>
  <c r="AD95" i="4"/>
  <c r="AD94" i="4" s="1"/>
  <c r="V90" i="4"/>
  <c r="R88" i="4"/>
  <c r="R89" i="4"/>
  <c r="R90" i="4"/>
  <c r="R87" i="4"/>
  <c r="Y10" i="11" l="1"/>
  <c r="H26" i="13"/>
  <c r="H10" i="13" s="1"/>
  <c r="G10" i="13" s="1"/>
  <c r="G26" i="13"/>
  <c r="C37" i="13"/>
  <c r="C26" i="13" s="1"/>
  <c r="AB10" i="11"/>
  <c r="AA10" i="11"/>
  <c r="AB81" i="4"/>
  <c r="AA81" i="4"/>
  <c r="AA77" i="4"/>
  <c r="Z77" i="4" s="1"/>
  <c r="AA78" i="4"/>
  <c r="AB78" i="4"/>
  <c r="Y77" i="4"/>
  <c r="Y79" i="4"/>
  <c r="Z14" i="11"/>
  <c r="Z13" i="11" s="1"/>
  <c r="Z12" i="11"/>
  <c r="Z11" i="11" s="1"/>
  <c r="AA80" i="4"/>
  <c r="AB80" i="4"/>
  <c r="AA79" i="4"/>
  <c r="Z79" i="4" s="1"/>
  <c r="AC95" i="4"/>
  <c r="AH95" i="4" l="1"/>
  <c r="AC94" i="4"/>
  <c r="Z10" i="11"/>
  <c r="AG14" i="11"/>
  <c r="AG13" i="11" s="1"/>
  <c r="AG77" i="4"/>
  <c r="AJ77" i="4" s="1"/>
  <c r="Z81" i="4"/>
  <c r="AG81" i="4" s="1"/>
  <c r="AJ81" i="4" s="1"/>
  <c r="Z78" i="4"/>
  <c r="AG78" i="4" s="1"/>
  <c r="AJ78" i="4" s="1"/>
  <c r="AG79" i="4"/>
  <c r="AJ79" i="4" s="1"/>
  <c r="Z80" i="4"/>
  <c r="AG80" i="4" s="1"/>
  <c r="AJ80" i="4" s="1"/>
  <c r="AG12" i="11"/>
  <c r="AG11" i="11" s="1"/>
  <c r="AG93" i="4"/>
  <c r="V93" i="4"/>
  <c r="U93" i="4"/>
  <c r="R93" i="4"/>
  <c r="M93" i="4"/>
  <c r="O93" i="4" s="1"/>
  <c r="AG92" i="4"/>
  <c r="V92" i="4"/>
  <c r="U92" i="4"/>
  <c r="R92" i="4"/>
  <c r="M92" i="4"/>
  <c r="O92" i="4" s="1"/>
  <c r="AG90" i="4"/>
  <c r="U90" i="4"/>
  <c r="M90" i="4"/>
  <c r="O90" i="4" s="1"/>
  <c r="V89" i="4"/>
  <c r="U89" i="4"/>
  <c r="M89" i="4"/>
  <c r="O89" i="4" s="1"/>
  <c r="Y89" i="4" s="1"/>
  <c r="V88" i="4"/>
  <c r="U88" i="4"/>
  <c r="I88" i="4"/>
  <c r="M88" i="4" s="1"/>
  <c r="O88" i="4" s="1"/>
  <c r="Y88" i="4" s="1"/>
  <c r="V87" i="4"/>
  <c r="U87" i="4"/>
  <c r="I87" i="4"/>
  <c r="M87" i="4" s="1"/>
  <c r="AG85" i="4"/>
  <c r="V85" i="4"/>
  <c r="U85" i="4"/>
  <c r="R85" i="4"/>
  <c r="O85" i="4"/>
  <c r="AG84" i="4"/>
  <c r="V84" i="4"/>
  <c r="U84" i="4"/>
  <c r="R84" i="4"/>
  <c r="I84" i="4"/>
  <c r="O84" i="4" s="1"/>
  <c r="AH83" i="4"/>
  <c r="V83" i="4"/>
  <c r="U83" i="4"/>
  <c r="R83" i="4"/>
  <c r="O83" i="4"/>
  <c r="O82" i="4"/>
  <c r="AH76" i="4"/>
  <c r="AH75" i="4" s="1"/>
  <c r="V76" i="4"/>
  <c r="U76" i="4"/>
  <c r="R76" i="4"/>
  <c r="M76" i="4"/>
  <c r="O76" i="4" s="1"/>
  <c r="V74" i="4"/>
  <c r="U74" i="4"/>
  <c r="R74" i="4"/>
  <c r="M74" i="4"/>
  <c r="O74" i="4" s="1"/>
  <c r="V73" i="4"/>
  <c r="U73" i="4"/>
  <c r="R73" i="4"/>
  <c r="M73" i="4"/>
  <c r="O73" i="4" s="1"/>
  <c r="AH71" i="4"/>
  <c r="V71" i="4"/>
  <c r="U71" i="4"/>
  <c r="R71" i="4"/>
  <c r="M71" i="4"/>
  <c r="O71" i="4" s="1"/>
  <c r="AH70" i="4"/>
  <c r="V70" i="4"/>
  <c r="U70" i="4"/>
  <c r="R70" i="4"/>
  <c r="M70" i="4"/>
  <c r="O70" i="4" s="1"/>
  <c r="V69" i="4"/>
  <c r="U69" i="4"/>
  <c r="R69" i="4"/>
  <c r="I69" i="4"/>
  <c r="M69" i="4" s="1"/>
  <c r="O69" i="4" s="1"/>
  <c r="AG43" i="4"/>
  <c r="V43" i="4"/>
  <c r="U43" i="4"/>
  <c r="R43" i="4"/>
  <c r="O43" i="4"/>
  <c r="AD43" i="4" s="1"/>
  <c r="AG42" i="4"/>
  <c r="V42" i="4"/>
  <c r="U42" i="4"/>
  <c r="R42" i="4"/>
  <c r="O42" i="4"/>
  <c r="V41" i="4"/>
  <c r="U41" i="4"/>
  <c r="R41" i="4"/>
  <c r="O41" i="4"/>
  <c r="V40" i="4"/>
  <c r="U40" i="4"/>
  <c r="R40" i="4"/>
  <c r="O40" i="4"/>
  <c r="Y40" i="4" s="1"/>
  <c r="V39" i="4"/>
  <c r="U39" i="4"/>
  <c r="R39" i="4"/>
  <c r="O39" i="4"/>
  <c r="Y39" i="4" s="1"/>
  <c r="V38" i="4"/>
  <c r="U38" i="4"/>
  <c r="R38" i="4"/>
  <c r="O38" i="4"/>
  <c r="Y38" i="4" s="1"/>
  <c r="V37" i="4"/>
  <c r="U37" i="4"/>
  <c r="R37" i="4"/>
  <c r="I37" i="4"/>
  <c r="O37" i="4" s="1"/>
  <c r="AG10" i="11" l="1"/>
  <c r="AJ14" i="11"/>
  <c r="AJ95" i="4"/>
  <c r="AH94" i="4"/>
  <c r="F22" i="13" s="1"/>
  <c r="D22" i="13" s="1"/>
  <c r="C22" i="13" s="1"/>
  <c r="AJ12" i="11"/>
  <c r="Y83" i="4"/>
  <c r="Y82" i="4" s="1"/>
  <c r="AG91" i="4"/>
  <c r="E24" i="13" s="1"/>
  <c r="AH68" i="4"/>
  <c r="AE73" i="4"/>
  <c r="AE85" i="4"/>
  <c r="AB71" i="4"/>
  <c r="AA89" i="4"/>
  <c r="AB76" i="4"/>
  <c r="AB75" i="4" s="1"/>
  <c r="AA41" i="4"/>
  <c r="AE42" i="4"/>
  <c r="AA83" i="4"/>
  <c r="AA82" i="4" s="1"/>
  <c r="AB88" i="4"/>
  <c r="AB83" i="4"/>
  <c r="AB82" i="4" s="1"/>
  <c r="AB89" i="4"/>
  <c r="AA71" i="4"/>
  <c r="AB41" i="4"/>
  <c r="AD42" i="4"/>
  <c r="AA88" i="4"/>
  <c r="AA38" i="4"/>
  <c r="Y76" i="4"/>
  <c r="Y75" i="4" s="1"/>
  <c r="O87" i="4"/>
  <c r="AB87" i="4" s="1"/>
  <c r="AA69" i="4"/>
  <c r="AA70" i="4"/>
  <c r="AE43" i="4"/>
  <c r="AC43" i="4" s="1"/>
  <c r="AF90" i="4"/>
  <c r="AF86" i="4" s="1"/>
  <c r="AE90" i="4"/>
  <c r="AE86" i="4" s="1"/>
  <c r="AD90" i="4"/>
  <c r="AD86" i="4" s="1"/>
  <c r="AG73" i="4"/>
  <c r="AF73" i="4"/>
  <c r="AF72" i="4" s="1"/>
  <c r="AD73" i="4"/>
  <c r="AF93" i="4"/>
  <c r="AE93" i="4"/>
  <c r="AD93" i="4"/>
  <c r="AE84" i="4"/>
  <c r="AD84" i="4"/>
  <c r="AD92" i="4"/>
  <c r="AE92" i="4"/>
  <c r="AF92" i="4"/>
  <c r="AB69" i="4"/>
  <c r="Y69" i="4"/>
  <c r="AB70" i="4"/>
  <c r="Y70" i="4"/>
  <c r="AG74" i="4"/>
  <c r="AE74" i="4"/>
  <c r="AD74" i="4"/>
  <c r="AA40" i="4"/>
  <c r="AB39" i="4"/>
  <c r="AB40" i="4"/>
  <c r="Y71" i="4"/>
  <c r="AA76" i="4"/>
  <c r="AA75" i="4" s="1"/>
  <c r="AD85" i="4"/>
  <c r="AB38" i="4"/>
  <c r="AA39" i="4"/>
  <c r="Y37" i="4"/>
  <c r="AB37" i="4"/>
  <c r="AA37" i="4"/>
  <c r="Y41" i="4"/>
  <c r="AJ11" i="11" l="1"/>
  <c r="K20" i="13"/>
  <c r="AJ13" i="11"/>
  <c r="K25" i="13"/>
  <c r="J25" i="13" s="1"/>
  <c r="C25" i="13" s="1"/>
  <c r="AS95" i="4"/>
  <c r="AJ94" i="4"/>
  <c r="AD91" i="4"/>
  <c r="Z70" i="4"/>
  <c r="AG70" i="4" s="1"/>
  <c r="AJ70" i="4" s="1"/>
  <c r="AS70" i="4" s="1"/>
  <c r="AE91" i="4"/>
  <c r="AA87" i="4"/>
  <c r="AA86" i="4" s="1"/>
  <c r="AF91" i="4"/>
  <c r="Y68" i="4"/>
  <c r="AB68" i="4"/>
  <c r="AD82" i="4"/>
  <c r="AD72" i="4"/>
  <c r="AE72" i="4"/>
  <c r="AH43" i="4"/>
  <c r="AJ43" i="4" s="1"/>
  <c r="AS43" i="4" s="1"/>
  <c r="AC85" i="4"/>
  <c r="AE82" i="4"/>
  <c r="AA68" i="4"/>
  <c r="Y87" i="4"/>
  <c r="AG72" i="4"/>
  <c r="AB86" i="4"/>
  <c r="Z89" i="4"/>
  <c r="AC42" i="4"/>
  <c r="Z71" i="4"/>
  <c r="Z41" i="4"/>
  <c r="Z39" i="4"/>
  <c r="Z76" i="4"/>
  <c r="Z75" i="4" s="1"/>
  <c r="Z83" i="4"/>
  <c r="Z88" i="4"/>
  <c r="AC84" i="4"/>
  <c r="AC73" i="4"/>
  <c r="Z38" i="4"/>
  <c r="Z69" i="4"/>
  <c r="AC90" i="4"/>
  <c r="AC93" i="4"/>
  <c r="Z40" i="4"/>
  <c r="AC74" i="4"/>
  <c r="AC92" i="4"/>
  <c r="Z37" i="4"/>
  <c r="AG37" i="4" s="1"/>
  <c r="AJ37" i="4" s="1"/>
  <c r="AJ10" i="11" l="1"/>
  <c r="J20" i="13"/>
  <c r="K11" i="13"/>
  <c r="K10" i="13" s="1"/>
  <c r="J10" i="13" s="1"/>
  <c r="Z87" i="4"/>
  <c r="Z86" i="4" s="1"/>
  <c r="AS94" i="4"/>
  <c r="AC91" i="4"/>
  <c r="AH92" i="4"/>
  <c r="AH74" i="4"/>
  <c r="AJ74" i="4" s="1"/>
  <c r="AS74" i="4" s="1"/>
  <c r="AH93" i="4"/>
  <c r="AJ93" i="4" s="1"/>
  <c r="AS93" i="4" s="1"/>
  <c r="AG88" i="4"/>
  <c r="AJ88" i="4" s="1"/>
  <c r="AS88" i="4" s="1"/>
  <c r="AG71" i="4"/>
  <c r="AJ71" i="4" s="1"/>
  <c r="AS71" i="4" s="1"/>
  <c r="AH42" i="4"/>
  <c r="AJ42" i="4" s="1"/>
  <c r="AS42" i="4" s="1"/>
  <c r="AC72" i="4"/>
  <c r="AH73" i="4"/>
  <c r="Y86" i="4"/>
  <c r="AG40" i="4"/>
  <c r="AJ40" i="4" s="1"/>
  <c r="AS40" i="4" s="1"/>
  <c r="AC86" i="4"/>
  <c r="AH90" i="4"/>
  <c r="AH86" i="4" s="1"/>
  <c r="F23" i="13" s="1"/>
  <c r="AG83" i="4"/>
  <c r="Z82" i="4"/>
  <c r="AS37" i="4"/>
  <c r="AG69" i="4"/>
  <c r="Z68" i="4"/>
  <c r="AG76" i="4"/>
  <c r="AG75" i="4" s="1"/>
  <c r="E20" i="13" s="1"/>
  <c r="D20" i="13" s="1"/>
  <c r="AG41" i="4"/>
  <c r="AJ41" i="4" s="1"/>
  <c r="AS41" i="4" s="1"/>
  <c r="AG38" i="4"/>
  <c r="AJ38" i="4" s="1"/>
  <c r="AS38" i="4" s="1"/>
  <c r="AG89" i="4"/>
  <c r="AJ89" i="4" s="1"/>
  <c r="AS89" i="4" s="1"/>
  <c r="AG39" i="4"/>
  <c r="AJ39" i="4" s="1"/>
  <c r="AS39" i="4" s="1"/>
  <c r="AH85" i="4"/>
  <c r="AJ85" i="4" s="1"/>
  <c r="AS85" i="4" s="1"/>
  <c r="AC82" i="4"/>
  <c r="AH84" i="4"/>
  <c r="V36" i="4"/>
  <c r="U36" i="4"/>
  <c r="R36" i="4"/>
  <c r="M36" i="4"/>
  <c r="O36" i="4" s="1"/>
  <c r="AF36" i="4" s="1"/>
  <c r="AF31" i="4" s="1"/>
  <c r="C20" i="13" l="1"/>
  <c r="J11" i="13"/>
  <c r="AH72" i="4"/>
  <c r="F19" i="13" s="1"/>
  <c r="D19" i="13" s="1"/>
  <c r="C19" i="13" s="1"/>
  <c r="AG87" i="4"/>
  <c r="AJ87" i="4" s="1"/>
  <c r="AH82" i="4"/>
  <c r="F21" i="13" s="1"/>
  <c r="AH91" i="4"/>
  <c r="F24" i="13" s="1"/>
  <c r="D24" i="13" s="1"/>
  <c r="C24" i="13" s="1"/>
  <c r="AJ83" i="4"/>
  <c r="AG82" i="4"/>
  <c r="E21" i="13" s="1"/>
  <c r="AJ76" i="4"/>
  <c r="AJ75" i="4" s="1"/>
  <c r="AJ84" i="4"/>
  <c r="AS84" i="4" s="1"/>
  <c r="AJ92" i="4"/>
  <c r="AJ69" i="4"/>
  <c r="AG68" i="4"/>
  <c r="E18" i="13" s="1"/>
  <c r="D18" i="13" s="1"/>
  <c r="C18" i="13" s="1"/>
  <c r="AJ90" i="4"/>
  <c r="AS90" i="4" s="1"/>
  <c r="AJ73" i="4"/>
  <c r="AE36" i="4"/>
  <c r="AE31" i="4" s="1"/>
  <c r="AD36" i="4"/>
  <c r="D21" i="13" l="1"/>
  <c r="C21" i="13" s="1"/>
  <c r="AG86" i="4"/>
  <c r="E23" i="13" s="1"/>
  <c r="D23" i="13" s="1"/>
  <c r="C23" i="13" s="1"/>
  <c r="AJ91" i="4"/>
  <c r="AS91" i="4" s="1"/>
  <c r="AS92" i="4"/>
  <c r="AJ68" i="4"/>
  <c r="AS68" i="4" s="1"/>
  <c r="AS69" i="4"/>
  <c r="AJ86" i="4"/>
  <c r="AS86" i="4" s="1"/>
  <c r="AS87" i="4"/>
  <c r="AJ72" i="4"/>
  <c r="AS72" i="4" s="1"/>
  <c r="AS73" i="4"/>
  <c r="AD31" i="4"/>
  <c r="AC36" i="4"/>
  <c r="AS75" i="4"/>
  <c r="AS76" i="4"/>
  <c r="AJ82" i="4"/>
  <c r="AS82" i="4" s="1"/>
  <c r="AS83" i="4"/>
  <c r="AG36" i="4"/>
  <c r="AC31" i="4" l="1"/>
  <c r="AH36" i="4"/>
  <c r="AH31" i="4" s="1"/>
  <c r="F17" i="13" s="1"/>
  <c r="I28" i="4"/>
  <c r="K29" i="4"/>
  <c r="J21" i="4"/>
  <c r="K21" i="4"/>
  <c r="AJ36" i="4" l="1"/>
  <c r="AS36" i="4" s="1"/>
  <c r="M21" i="4"/>
  <c r="K22" i="4"/>
  <c r="Z5" i="4" l="1"/>
  <c r="V35" i="4"/>
  <c r="U35" i="4"/>
  <c r="R35" i="4"/>
  <c r="O35" i="4"/>
  <c r="V34" i="4"/>
  <c r="U34" i="4"/>
  <c r="R34" i="4"/>
  <c r="O34" i="4"/>
  <c r="V33" i="4"/>
  <c r="U33" i="4"/>
  <c r="R33" i="4"/>
  <c r="O33" i="4"/>
  <c r="V32" i="4"/>
  <c r="U32" i="4"/>
  <c r="R32" i="4"/>
  <c r="O32" i="4"/>
  <c r="V30" i="4"/>
  <c r="U30" i="4"/>
  <c r="R30" i="4"/>
  <c r="O30" i="4"/>
  <c r="AG29" i="4"/>
  <c r="V29" i="4"/>
  <c r="U29" i="4"/>
  <c r="R29" i="4"/>
  <c r="O29" i="4"/>
  <c r="AF29" i="4" s="1"/>
  <c r="AF24" i="4" s="1"/>
  <c r="V28" i="4"/>
  <c r="AG28" i="4" s="1"/>
  <c r="U28" i="4"/>
  <c r="R28" i="4"/>
  <c r="O28" i="4"/>
  <c r="V27" i="4"/>
  <c r="U27" i="4"/>
  <c r="R27" i="4"/>
  <c r="O27" i="4"/>
  <c r="V26" i="4"/>
  <c r="U26" i="4"/>
  <c r="R26" i="4"/>
  <c r="M26" i="4"/>
  <c r="O26" i="4" s="1"/>
  <c r="V25" i="4"/>
  <c r="U25" i="4"/>
  <c r="R25" i="4"/>
  <c r="M25" i="4"/>
  <c r="O25" i="4" s="1"/>
  <c r="AG23" i="4"/>
  <c r="V23" i="4"/>
  <c r="U23" i="4"/>
  <c r="R23" i="4"/>
  <c r="M23" i="4"/>
  <c r="O23" i="4" s="1"/>
  <c r="AG22" i="4"/>
  <c r="V22" i="4"/>
  <c r="U22" i="4"/>
  <c r="R22" i="4"/>
  <c r="M22" i="4"/>
  <c r="O22" i="4" s="1"/>
  <c r="AF22" i="4" s="1"/>
  <c r="V21" i="4"/>
  <c r="U21" i="4"/>
  <c r="R21" i="4"/>
  <c r="O21" i="4"/>
  <c r="V20" i="4"/>
  <c r="U20" i="4"/>
  <c r="R20" i="4"/>
  <c r="M20" i="4"/>
  <c r="O20" i="4" s="1"/>
  <c r="AG18" i="4"/>
  <c r="AG17" i="4" s="1"/>
  <c r="V18" i="4"/>
  <c r="U18" i="4"/>
  <c r="R18" i="4"/>
  <c r="M18" i="4"/>
  <c r="O18" i="4" s="1"/>
  <c r="AF18" i="4" s="1"/>
  <c r="AF17" i="4" s="1"/>
  <c r="V16" i="4"/>
  <c r="U16" i="4"/>
  <c r="R16" i="4"/>
  <c r="M16" i="4"/>
  <c r="O16" i="4" s="1"/>
  <c r="AG14" i="4"/>
  <c r="V14" i="4"/>
  <c r="U14" i="4"/>
  <c r="R14" i="4"/>
  <c r="M14" i="4"/>
  <c r="O14" i="4" s="1"/>
  <c r="AF14" i="4" s="1"/>
  <c r="AF11" i="4" s="1"/>
  <c r="V13" i="4"/>
  <c r="U13" i="4"/>
  <c r="R13" i="4"/>
  <c r="M13" i="4"/>
  <c r="O13" i="4" s="1"/>
  <c r="V12" i="4"/>
  <c r="U12" i="4"/>
  <c r="R12" i="4"/>
  <c r="M12" i="4"/>
  <c r="O12" i="4" s="1"/>
  <c r="AD27" i="4" l="1"/>
  <c r="AE27" i="4"/>
  <c r="AE28" i="4"/>
  <c r="AD28" i="4"/>
  <c r="AB30" i="4"/>
  <c r="Y30" i="4"/>
  <c r="AA30" i="4"/>
  <c r="AA35" i="4"/>
  <c r="Y35" i="4"/>
  <c r="AB35" i="4"/>
  <c r="AA34" i="4"/>
  <c r="AB34" i="4"/>
  <c r="Y34" i="4"/>
  <c r="AA32" i="4"/>
  <c r="AA33" i="4"/>
  <c r="AB33" i="4"/>
  <c r="Y33" i="4"/>
  <c r="AB32" i="4"/>
  <c r="Y32" i="4"/>
  <c r="AD29" i="4"/>
  <c r="AE29" i="4"/>
  <c r="Y26" i="4"/>
  <c r="AB26" i="4"/>
  <c r="AA26" i="4"/>
  <c r="AB25" i="4"/>
  <c r="Y25" i="4"/>
  <c r="AA25" i="4"/>
  <c r="AF23" i="4"/>
  <c r="AF19" i="4" s="1"/>
  <c r="AF10" i="4" s="1"/>
  <c r="AE23" i="4"/>
  <c r="AD23" i="4"/>
  <c r="AD22" i="4"/>
  <c r="AE22" i="4"/>
  <c r="AB21" i="4"/>
  <c r="Y21" i="4"/>
  <c r="AA21" i="4"/>
  <c r="AA20" i="4"/>
  <c r="Y20" i="4"/>
  <c r="AB20" i="4"/>
  <c r="AD18" i="4"/>
  <c r="AD17" i="4" s="1"/>
  <c r="AE18" i="4"/>
  <c r="AE17" i="4" s="1"/>
  <c r="AB16" i="4"/>
  <c r="AB15" i="4" s="1"/>
  <c r="Y16" i="4"/>
  <c r="AA16" i="4"/>
  <c r="AA15" i="4" s="1"/>
  <c r="AD14" i="4"/>
  <c r="AD11" i="4" s="1"/>
  <c r="AE14" i="4"/>
  <c r="AE11" i="4" s="1"/>
  <c r="AA13" i="4"/>
  <c r="Y13" i="4"/>
  <c r="AB13" i="4"/>
  <c r="AB12" i="4"/>
  <c r="Y12" i="4"/>
  <c r="AA12" i="4"/>
  <c r="AB11" i="4" l="1"/>
  <c r="AB24" i="4"/>
  <c r="AA24" i="4"/>
  <c r="AB19" i="4"/>
  <c r="AA31" i="4"/>
  <c r="AA19" i="4"/>
  <c r="AC28" i="4"/>
  <c r="AH28" i="4" s="1"/>
  <c r="AJ28" i="4" s="1"/>
  <c r="AS28" i="4" s="1"/>
  <c r="Y19" i="4"/>
  <c r="AA11" i="4"/>
  <c r="Y31" i="4"/>
  <c r="Y15" i="4"/>
  <c r="AB31" i="4"/>
  <c r="AE24" i="4"/>
  <c r="AC27" i="4"/>
  <c r="AD24" i="4"/>
  <c r="AE19" i="4"/>
  <c r="Y11" i="4"/>
  <c r="Y24" i="4"/>
  <c r="AD19" i="4"/>
  <c r="Z35" i="4"/>
  <c r="AG35" i="4" s="1"/>
  <c r="AJ35" i="4" s="1"/>
  <c r="AS35" i="4" s="1"/>
  <c r="Z30" i="4"/>
  <c r="AG30" i="4" s="1"/>
  <c r="Z33" i="4"/>
  <c r="AG33" i="4" s="1"/>
  <c r="AJ33" i="4" s="1"/>
  <c r="Z34" i="4"/>
  <c r="AG34" i="4" s="1"/>
  <c r="AJ34" i="4" s="1"/>
  <c r="AS34" i="4" s="1"/>
  <c r="Z32" i="4"/>
  <c r="AC29" i="4"/>
  <c r="AC30" i="4"/>
  <c r="AH30" i="4" s="1"/>
  <c r="Z27" i="4"/>
  <c r="Z26" i="4"/>
  <c r="AG26" i="4" s="1"/>
  <c r="AJ26" i="4" s="1"/>
  <c r="AC23" i="4"/>
  <c r="Z25" i="4"/>
  <c r="AC22" i="4"/>
  <c r="Z21" i="4"/>
  <c r="AG21" i="4" s="1"/>
  <c r="AJ21" i="4" s="1"/>
  <c r="Z20" i="4"/>
  <c r="AC18" i="4"/>
  <c r="Z16" i="4"/>
  <c r="AC14" i="4"/>
  <c r="Z13" i="4"/>
  <c r="AG13" i="4" s="1"/>
  <c r="AJ13" i="4" s="1"/>
  <c r="Z12" i="4"/>
  <c r="AG12" i="4" s="1"/>
  <c r="AE10" i="4" l="1"/>
  <c r="AG11" i="4"/>
  <c r="E12" i="13" s="1"/>
  <c r="AD10" i="4"/>
  <c r="Y10" i="4"/>
  <c r="AA10" i="4"/>
  <c r="AB10" i="4"/>
  <c r="AG27" i="4"/>
  <c r="AS33" i="4"/>
  <c r="AG16" i="4"/>
  <c r="Z15" i="4"/>
  <c r="AG20" i="4"/>
  <c r="Z19" i="4"/>
  <c r="AH29" i="4"/>
  <c r="AJ29" i="4" s="1"/>
  <c r="AS29" i="4" s="1"/>
  <c r="AS13" i="4"/>
  <c r="AS21" i="4"/>
  <c r="AH14" i="4"/>
  <c r="AC11" i="4"/>
  <c r="AG32" i="4"/>
  <c r="Z31" i="4"/>
  <c r="AC17" i="4"/>
  <c r="AH18" i="4"/>
  <c r="AH17" i="4" s="1"/>
  <c r="F14" i="13" s="1"/>
  <c r="D14" i="13" s="1"/>
  <c r="C14" i="13" s="1"/>
  <c r="AH22" i="4"/>
  <c r="AC19" i="4"/>
  <c r="AJ12" i="4"/>
  <c r="AS12" i="4" s="1"/>
  <c r="Z11" i="4"/>
  <c r="AG25" i="4"/>
  <c r="Z24" i="4"/>
  <c r="AS26" i="4"/>
  <c r="AH23" i="4"/>
  <c r="AJ23" i="4" s="1"/>
  <c r="AS23" i="4" s="1"/>
  <c r="AC24" i="4"/>
  <c r="AH27" i="4"/>
  <c r="AJ30" i="4"/>
  <c r="AS30" i="4" s="1"/>
  <c r="AC10" i="4" l="1"/>
  <c r="Z10" i="4"/>
  <c r="AJ18" i="4"/>
  <c r="AJ17" i="4" s="1"/>
  <c r="AS17" i="4" s="1"/>
  <c r="AJ16" i="4"/>
  <c r="AG15" i="4"/>
  <c r="E13" i="13" s="1"/>
  <c r="D13" i="13" s="1"/>
  <c r="C13" i="13" s="1"/>
  <c r="AJ27" i="4"/>
  <c r="AS27" i="4" s="1"/>
  <c r="AJ22" i="4"/>
  <c r="AS22" i="4" s="1"/>
  <c r="AH19" i="4"/>
  <c r="F15" i="13" s="1"/>
  <c r="AH24" i="4"/>
  <c r="F16" i="13" s="1"/>
  <c r="AJ20" i="4"/>
  <c r="AG19" i="4"/>
  <c r="E15" i="13" s="1"/>
  <c r="AJ32" i="4"/>
  <c r="AG31" i="4"/>
  <c r="E17" i="13" s="1"/>
  <c r="D17" i="13" s="1"/>
  <c r="C17" i="13" s="1"/>
  <c r="AJ25" i="4"/>
  <c r="AG24" i="4"/>
  <c r="E16" i="13" s="1"/>
  <c r="AJ14" i="4"/>
  <c r="AS14" i="4" s="1"/>
  <c r="AH11" i="4"/>
  <c r="F12" i="13" s="1"/>
  <c r="F11" i="13" l="1"/>
  <c r="E11" i="13"/>
  <c r="F10" i="13"/>
  <c r="D16" i="13"/>
  <c r="C16" i="13" s="1"/>
  <c r="D15" i="13"/>
  <c r="C15" i="13" s="1"/>
  <c r="E10" i="13"/>
  <c r="D12" i="13"/>
  <c r="AH10" i="4"/>
  <c r="AG10" i="4"/>
  <c r="AS18" i="4"/>
  <c r="AJ31" i="4"/>
  <c r="AS31" i="4" s="1"/>
  <c r="AS32" i="4"/>
  <c r="AJ19" i="4"/>
  <c r="AS19" i="4" s="1"/>
  <c r="AS20" i="4"/>
  <c r="AJ15" i="4"/>
  <c r="AS15" i="4" s="1"/>
  <c r="AS16" i="4"/>
  <c r="AJ11" i="4"/>
  <c r="AJ24" i="4"/>
  <c r="AS24" i="4" s="1"/>
  <c r="AS25" i="4"/>
  <c r="C12" i="13" l="1"/>
  <c r="C11" i="13" s="1"/>
  <c r="C10" i="13" s="1"/>
  <c r="D11" i="13"/>
  <c r="D10" i="13" s="1"/>
  <c r="AJ10" i="4"/>
  <c r="AS10" i="4" s="1"/>
  <c r="AS1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 PCLS</author>
  </authors>
  <commentList>
    <comment ref="M122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ADMIN PCLS:</t>
        </r>
        <r>
          <rPr>
            <sz val="9"/>
            <color indexed="81"/>
            <rFont val="Tahoma"/>
            <family val="2"/>
          </rPr>
          <t xml:space="preserve">
bảng lương cá nhân k tính phụ cấp xông vụ, xem lại
</t>
        </r>
      </text>
    </comment>
    <comment ref="N253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ADMIN PCLS:</t>
        </r>
        <r>
          <rPr>
            <sz val="9"/>
            <color indexed="81"/>
            <rFont val="Tahoma"/>
            <family val="2"/>
          </rPr>
          <t xml:space="preserve">
đơn vị kê phụ cấp đảng đoàn thể 0,3 nhưng k có tài liệu minh chứng</t>
        </r>
      </text>
    </comment>
  </commentList>
</comments>
</file>

<file path=xl/sharedStrings.xml><?xml version="1.0" encoding="utf-8"?>
<sst xmlns="http://schemas.openxmlformats.org/spreadsheetml/2006/main" count="2021" uniqueCount="1207">
  <si>
    <t>TT</t>
  </si>
  <si>
    <t>Họ và tên</t>
  </si>
  <si>
    <t>Ngày tháng năm sinh</t>
  </si>
  <si>
    <t>Trình độ đào tạo</t>
  </si>
  <si>
    <t>Số tháng nghỉ sớm so với quy định</t>
  </si>
  <si>
    <t>Trợ cấp nghỉ trước tuổi</t>
  </si>
  <si>
    <t>Trợ cấp cho thời gian công tác đóng BHXH</t>
  </si>
  <si>
    <t>Trợ cấp thôi việc</t>
  </si>
  <si>
    <t>Trợ cấp tìm việc làm</t>
  </si>
  <si>
    <t>Hệ số lương theo ngạch, bậc, chức danh, chức vụ hiện hưởng</t>
  </si>
  <si>
    <t>Tổng số năm đóng BHXH</t>
  </si>
  <si>
    <t>Trong đó</t>
  </si>
  <si>
    <t>Năm</t>
  </si>
  <si>
    <t>Tháng</t>
  </si>
  <si>
    <t>Thời điểm nghỉ hưu đúng tuổi</t>
  </si>
  <si>
    <t>Thời điểm nghỉ hưu trước tuổi</t>
  </si>
  <si>
    <t>6</t>
  </si>
  <si>
    <t>7</t>
  </si>
  <si>
    <t>Phụ cấp công vụ (25%)</t>
  </si>
  <si>
    <t>Các khoản phụ cấp</t>
  </si>
  <si>
    <t>4</t>
  </si>
  <si>
    <t>Trợ cấp hưu trí một lần cho thời gian nghỉ sớm</t>
  </si>
  <si>
    <t>9</t>
  </si>
  <si>
    <t>13</t>
  </si>
  <si>
    <t>Số Năm</t>
  </si>
  <si>
    <t>Số Tháng</t>
  </si>
  <si>
    <t>Kinh phí giải quyết chính sách, chế độ do NSNN đảm bảo</t>
  </si>
  <si>
    <t>Tiền lương tháng hiện hưởng</t>
  </si>
  <si>
    <t>Chức danh/Chức vụ</t>
  </si>
  <si>
    <t>Chính sách NHTT</t>
  </si>
  <si>
    <t>Chính sách thôi việc ngay</t>
  </si>
  <si>
    <t>Kinh phí giải quyết chính sách, chế độ NHTT từ nguồn thu  hoạt động sự nghiệp của đơn vị</t>
  </si>
  <si>
    <t>Số năm NHTT (làm tròn)</t>
  </si>
  <si>
    <t>10</t>
  </si>
  <si>
    <t>12</t>
  </si>
  <si>
    <t>15</t>
  </si>
  <si>
    <t>16</t>
  </si>
  <si>
    <t>17</t>
  </si>
  <si>
    <t>18</t>
  </si>
  <si>
    <t>22=23+..25</t>
  </si>
  <si>
    <t>19=20+21</t>
  </si>
  <si>
    <t>Trợ cấp tiền lương hiện hưởng cho mỗi năm đóng BHXH</t>
  </si>
  <si>
    <t xml:space="preserve">Phụ cấp chức vụ </t>
  </si>
  <si>
    <t xml:space="preserve">Phụ cấp thâm niên vượt khung </t>
  </si>
  <si>
    <t xml:space="preserve">Phụ cấp thâm niên nghề </t>
  </si>
  <si>
    <t xml:space="preserve">Phụ cấp ưu đãi ngành, nghề </t>
  </si>
  <si>
    <t xml:space="preserve">Phụ cấp trách nhiệm theo nghề  </t>
  </si>
  <si>
    <t>Phụ cấp công tác Đảng, đoàn thể chính trị xã hội
(30%)</t>
  </si>
  <si>
    <t>Hệ số chênh lệch bảo lưu lương</t>
  </si>
  <si>
    <t>Đại học</t>
  </si>
  <si>
    <t>ĐVT: nghìn đồng</t>
  </si>
  <si>
    <t xml:space="preserve">Tổng cộng
</t>
  </si>
  <si>
    <t>Nghỉ hưu trước tuổi(làm tròn số)</t>
  </si>
  <si>
    <t>Thôi việc ngay (làm tròn số)</t>
  </si>
  <si>
    <t>TỔNG CỘNG</t>
  </si>
  <si>
    <t>8=5+6+7</t>
  </si>
  <si>
    <t>1/9/2025</t>
  </si>
  <si>
    <t>I</t>
  </si>
  <si>
    <t>Phương Thị Hương Lan</t>
  </si>
  <si>
    <t>Thạc sĩ</t>
  </si>
  <si>
    <t>Phó Giám đốc Sở</t>
  </si>
  <si>
    <t>Bế Thị Thu Hiền</t>
  </si>
  <si>
    <t>Vi Lương Vân</t>
  </si>
  <si>
    <t xml:space="preserve">Kế toán  </t>
  </si>
  <si>
    <t>II</t>
  </si>
  <si>
    <t>Tô Thị Hợi</t>
  </si>
  <si>
    <t>Phó Trưởng phòng Nghiệp vụ II (nguyên là Trưởng phòng Hành chính tư pháp và Bổ trợ tư pháp)</t>
  </si>
  <si>
    <t>III</t>
  </si>
  <si>
    <t>Dương Thị Dược</t>
  </si>
  <si>
    <t>13/11/1980</t>
  </si>
  <si>
    <t>Đại học y</t>
  </si>
  <si>
    <t>Chuyên viên phòng Nghiệp vụ Y - Dược, Sở Y tế (nguyên là công chức Chi cục An toàn vệ sinh thực phẩm)</t>
  </si>
  <si>
    <t>01/12/2040</t>
  </si>
  <si>
    <t>IV</t>
  </si>
  <si>
    <t>Bùi Hồng Diệp</t>
  </si>
  <si>
    <t>22/01/1973</t>
  </si>
  <si>
    <t>Công chức kế toán Văn phòng</t>
  </si>
  <si>
    <t>01/10/2031</t>
  </si>
  <si>
    <t>Nguyễn Thị Lan Phương</t>
  </si>
  <si>
    <t>10/7/1975</t>
  </si>
  <si>
    <t>Phó trưởng Phòng nghiệp vụ VI</t>
  </si>
  <si>
    <t>01/8/2035</t>
  </si>
  <si>
    <t>Trương Minh Thảo</t>
  </si>
  <si>
    <t>27/02/1974</t>
  </si>
  <si>
    <t>Thanh tra viên phòng Giám sát, thẩm định và xử lý sau thanh tra</t>
  </si>
  <si>
    <t>01/3/2036</t>
  </si>
  <si>
    <t>Phạm Minh Tuấn</t>
  </si>
  <si>
    <t>01/5/1986</t>
  </si>
  <si>
    <t>Chuyên viên phòng nghiệp vụ II</t>
  </si>
  <si>
    <t>01/6/2048</t>
  </si>
  <si>
    <t>V</t>
  </si>
  <si>
    <t>Chu Văn Thạch</t>
  </si>
  <si>
    <t>Phó Giám đốc Sở Nông nghiệp và Môi trường tỉnh Lạng Sơn</t>
  </si>
  <si>
    <t>Nguyễn Anh Đào</t>
  </si>
  <si>
    <t>Chuyên viên phòng Phát triển nông thôn</t>
  </si>
  <si>
    <t>Lê Văn Đa</t>
  </si>
  <si>
    <t>Viên chức Phòng Tuyên truyền Đào tạo, Trung tâm Khuyến nông (người làm việc tại Hội Làm vườn tỉnh Lạng Sơn đã giải thể)</t>
  </si>
  <si>
    <t>Đỗ Mạnh Thành</t>
  </si>
  <si>
    <t>Viên chức Chi nhánh Dịch vụ nông nghiệp khu vực Đô thị</t>
  </si>
  <si>
    <t>Đàm Thị Phương Mai</t>
  </si>
  <si>
    <t>Phó Trưởng phòng Hành chính - Tổng hợp, Trung Tâm Khuyến nông (biệt phái phòng Chăn nuôi, thuỷ sản và thú y, Sở NN và MT)</t>
  </si>
  <si>
    <t>Lương Thị Thuỷ</t>
  </si>
  <si>
    <t>Phó Giám đốc Trung tâm Tài nguyên và Môi trường</t>
  </si>
  <si>
    <t>VI</t>
  </si>
  <si>
    <t>Trung cấp</t>
  </si>
  <si>
    <t>14/8/1972</t>
  </si>
  <si>
    <t>Hoàng Thị Thu Hường</t>
  </si>
  <si>
    <t>08/9/1972</t>
  </si>
  <si>
    <t>Phó đội trưởng, tuyên truyền viên văn hóa, Đội VHTT&amp;TT khu vực Văn Lãng</t>
  </si>
  <si>
    <t>01/6/2031</t>
  </si>
  <si>
    <t>Hoàng Minh Đông</t>
  </si>
  <si>
    <t>01/10/1972</t>
  </si>
  <si>
    <t>Đại học sư phạm</t>
  </si>
  <si>
    <t xml:space="preserve"> Đội trưởng đội VHTT&amp;TT khu vực Bình Gia</t>
  </si>
  <si>
    <t>Tô Văn Tình</t>
  </si>
  <si>
    <t>08/4/1972</t>
  </si>
  <si>
    <t>Đại học quản lý văn hóa</t>
  </si>
  <si>
    <t>Phó đội trưởng, Hướng dẫn viên văn hóa hạng III, Đội VHTT&amp;TT khu vực Đình Lập</t>
  </si>
  <si>
    <t>01/5/2034</t>
  </si>
  <si>
    <t>Lê Thị Hồng Xiêm</t>
  </si>
  <si>
    <t>24/4/1974</t>
  </si>
  <si>
    <t>Viên chức, Kế toán  Đội VHTT&amp;TT khu vực Hữu Lũng</t>
  </si>
  <si>
    <t>1/9/2033</t>
  </si>
  <si>
    <t>xem lại phụ cấp ưu đãi 10%</t>
  </si>
  <si>
    <t>xem lại thời gian đóng BHXH băt buộc</t>
  </si>
  <si>
    <t>xem lại thời gian làm CV nặng nhọc</t>
  </si>
  <si>
    <t>Chuyên viên phòng Quản lý Thông tin, Báo chí và gia đình</t>
  </si>
  <si>
    <t>Ngô Thị Bình Yên</t>
  </si>
  <si>
    <t>Đội trưởng, Đội VHTT&amp;TT khu vực Chi Lăng</t>
  </si>
  <si>
    <t>01/9/2025</t>
  </si>
  <si>
    <t>DƯỚI 5 NĂM</t>
  </si>
  <si>
    <t>Dương Văn Chinh</t>
  </si>
  <si>
    <t>22/02/1971</t>
  </si>
  <si>
    <t>Phó đội trưởng, Đội VHTT&amp;TT khu vực Cao Lộc</t>
  </si>
  <si>
    <t>01/3/2033</t>
  </si>
  <si>
    <t>Bùi Thế Hảo</t>
  </si>
  <si>
    <t>16/9/1971</t>
  </si>
  <si>
    <t>Viên chức, Đội VHTT&amp;TT khu vực Cao Lộc</t>
  </si>
  <si>
    <t>01/10/2033</t>
  </si>
  <si>
    <t>Lương Thị Hiền</t>
  </si>
  <si>
    <t>15/5/1974</t>
  </si>
  <si>
    <t>Phó đội trưởng, Đội VHTT&amp;TT khu vực Văn Quan</t>
  </si>
  <si>
    <t>Lý Thị Quy</t>
  </si>
  <si>
    <t>Viên chức, Tuyên truyền viên văn hóa, Đội VHTT&amp;TT khu vực Bình Gia</t>
  </si>
  <si>
    <t>Trần Thị Tuyết Minh</t>
  </si>
  <si>
    <t>14/9/1982</t>
  </si>
  <si>
    <t>01/10/2037</t>
  </si>
  <si>
    <t>Nông Văn Lừng</t>
  </si>
  <si>
    <t>05/7/1975</t>
  </si>
  <si>
    <t>Bằng nghề lái xe</t>
  </si>
  <si>
    <t>HĐ lái xe NĐ 111, Đội VHTT&amp;TT khu vực Đình Lập</t>
  </si>
  <si>
    <t>01/8/2037</t>
  </si>
  <si>
    <t>Nguyễn Đức Toàn</t>
  </si>
  <si>
    <t>11/11/1972</t>
  </si>
  <si>
    <t xml:space="preserve">Đại học </t>
  </si>
  <si>
    <t>Phó Chánh Văn phòng Sở</t>
  </si>
  <si>
    <t>01/12/2034</t>
  </si>
  <si>
    <t>Lệch với biểu cá nhân do cá nhân tính hệ số pụ cấp thâm niên chưa đúng</t>
  </si>
  <si>
    <t>Phùng Thị Linh</t>
  </si>
  <si>
    <t>17/01/1972</t>
  </si>
  <si>
    <t>Chuyên viên, Phòng Quản lý Giá và công sản</t>
  </si>
  <si>
    <t>01/6/2030</t>
  </si>
  <si>
    <t>Hoàng Mỹ Yên</t>
  </si>
  <si>
    <t>08/8/1975</t>
  </si>
  <si>
    <t>01/9/2035</t>
  </si>
  <si>
    <t>SỞ NỘI VỤ (02 NGƯỜI)</t>
  </si>
  <si>
    <t>Hoàng Văn Kiển</t>
  </si>
  <si>
    <t>Chuyên viên Phòng Công chức, viên chức</t>
  </si>
  <si>
    <t>Long Thuỳ Hương</t>
  </si>
  <si>
    <t>Nhân viên phục vụ, Văn phòng Sở</t>
  </si>
  <si>
    <t>lệch do STC đặt công thức tính phụ cấp công vụ</t>
  </si>
  <si>
    <t>Đoàn Thị Thanh Hoa</t>
  </si>
  <si>
    <t xml:space="preserve">Kế toán văn phòng Sở </t>
  </si>
  <si>
    <t>TRUNG TÂM PHÁT TRIỂN QUỸ ĐẤT (03 NGƯỜI)</t>
  </si>
  <si>
    <t>Dương Thị Thửu</t>
  </si>
  <si>
    <t>Viên chức kế toán thuộc phòng Tổ chức - Hành chính</t>
  </si>
  <si>
    <t>Nông Khánh Thưởng</t>
  </si>
  <si>
    <t>Viên chức Chi nhánh PTQĐ khu vực văn Quan</t>
  </si>
  <si>
    <t>Xem lại có thuộc danh mục nghề độc hại nguy hiểm</t>
  </si>
  <si>
    <t>Hoàng Thị Hoàn</t>
  </si>
  <si>
    <t>01/12/2035</t>
  </si>
  <si>
    <t>HỘI CHỮ THẬP ĐỎ TỈNH (04 NGƯỜI)</t>
  </si>
  <si>
    <t>Nông Bích Thuận</t>
  </si>
  <si>
    <t>Chủ tịch Hội Chữ thập đỏ</t>
  </si>
  <si>
    <t>Phạm Thị Dung</t>
  </si>
  <si>
    <t>16/8/1974</t>
  </si>
  <si>
    <t>Trưởng Ban chăm sóc sức khỏe</t>
  </si>
  <si>
    <t>Lê Thị Hương</t>
  </si>
  <si>
    <t>Trưởng Ban Tổ chức - Hành chính</t>
  </si>
  <si>
    <t>Hoàng Việt Hưng</t>
  </si>
  <si>
    <t>17/12/1979</t>
  </si>
  <si>
    <t>Cán bộ</t>
  </si>
  <si>
    <t>thôi việc</t>
  </si>
  <si>
    <t>HỘI VĂN HỌC NGHỆ THUẬT VÀ NHÀ BÁO (02 NGƯỜI)</t>
  </si>
  <si>
    <t>Lê Thuý Hạnh</t>
  </si>
  <si>
    <t>Chuyên viên Văn phòng</t>
  </si>
  <si>
    <t>chênh lệch với biểu cá nhân do hệ số PC cấp vụ cá nhân k để theo công thức</t>
  </si>
  <si>
    <t>Nguyễn Thị Lan Huyền</t>
  </si>
  <si>
    <t>Biên tập viên Ban Biên tập Tạp chí VNXL và bản tin Người làm báo Lạng Sơn</t>
  </si>
  <si>
    <t>VII</t>
  </si>
  <si>
    <t>VIII</t>
  </si>
  <si>
    <t>IX</t>
  </si>
  <si>
    <t>X</t>
  </si>
  <si>
    <t>XI</t>
  </si>
  <si>
    <t>lệch do STC khong tín 0,1 phụ cấp kế toán</t>
  </si>
  <si>
    <t>xem lại thời gian nghỉ hưu đúng tuổi</t>
  </si>
  <si>
    <t>cá nhân tính năm nghỉ hưu tt cao hơn</t>
  </si>
  <si>
    <t>lệch do xác định lại số năm đóng BHXH theo xác nhận của BHXH tỉnh chỉ có 25 năm, phiếu cá nhân là 25 năm 01 tháng</t>
  </si>
  <si>
    <t>đơn vị tính số năm NHTT là 4n7t (SNV tính là 4N)</t>
  </si>
  <si>
    <t>XII</t>
  </si>
  <si>
    <t>SỞ TÀI CHÍNH (03 NGƯỜI)</t>
  </si>
  <si>
    <t>Vũ Văn Bằng</t>
  </si>
  <si>
    <t>Kiểm soát viên thị trường, Chi cục Quản lý thị trường</t>
  </si>
  <si>
    <t>Hoàng Đức Dũng</t>
  </si>
  <si>
    <t>Lý Quang Cường</t>
  </si>
  <si>
    <t>Nguyễn Văn Hùng</t>
  </si>
  <si>
    <t>Hứa Ngọc Hòa</t>
  </si>
  <si>
    <t>XIII</t>
  </si>
  <si>
    <t>Nguyễn Thị Nguyệt Quế</t>
  </si>
  <si>
    <t>Nhân viên phục vụ Văn phòng Sở</t>
  </si>
  <si>
    <t>SỞ CÔNG THƯƠNG</t>
  </si>
  <si>
    <t>VĂN PHÒNG ĐOÀN ĐBQH VÀ HĐND TỈNH</t>
  </si>
  <si>
    <t>Hoàng Thị Kim Vân</t>
  </si>
  <si>
    <t>Trưởng Ban Văn hóa - Xã hội HĐND tỉnh</t>
  </si>
  <si>
    <t>Nguyễn Đình Đại</t>
  </si>
  <si>
    <t xml:space="preserve"> Giám đốc Sở</t>
  </si>
  <si>
    <t>Phụ lục 02</t>
  </si>
  <si>
    <t>Tách ngày tháng năm</t>
  </si>
  <si>
    <t>Tháng năm</t>
  </si>
  <si>
    <t>Tuổi nghỉ hưu (vùng thấp)</t>
  </si>
  <si>
    <t>Tuổi nghỉ hưu</t>
  </si>
  <si>
    <t>Tuổi nghỉ hưu (vùng cao)</t>
  </si>
  <si>
    <t>Tuổi nghỉ hưu (chuẩn)</t>
  </si>
  <si>
    <t>Giới tính</t>
  </si>
  <si>
    <t>Chức danh/ đơn vị công tác</t>
  </si>
  <si>
    <t>Tiền lương theo ngạch, bậc, chức vụ, chức danh, chức danh hoặc mức lương theo thỏa thuận ghi trong HĐLĐ</t>
  </si>
  <si>
    <t>Phụ cấp chức vụ lãnh đạo (nếu có)</t>
  </si>
  <si>
    <t>Phụ cấp thâm niên nghề (nếu có)</t>
  </si>
  <si>
    <t>Phụ cấp thâm niên vượt khung (nếu có)</t>
  </si>
  <si>
    <t>Hệ số chênh lệch bảo lưu (nếu có)</t>
  </si>
  <si>
    <t xml:space="preserve">Tiền lương tháng hiện hưởng </t>
  </si>
  <si>
    <t>Ngày tháng năm tham gia công tác</t>
  </si>
  <si>
    <t>Số năm đóng BHXH theo sổ BHXH chẵn</t>
  </si>
  <si>
    <t>Tuổi khi giải quyết tinh giản biên chế</t>
  </si>
  <si>
    <t>Thời điểm tinh giản biên chế</t>
  </si>
  <si>
    <t>Làm tròn</t>
  </si>
  <si>
    <t>Số năm được hưởng  nghỉ hưu trước tuổi</t>
  </si>
  <si>
    <t>Số tháng được hưởng  nghỉ hưu trước tuổi</t>
  </si>
  <si>
    <t xml:space="preserve">Kinh phí thực hiện tinh giản biên chế </t>
  </si>
  <si>
    <t>Ghi chú</t>
  </si>
  <si>
    <t>Ngày</t>
  </si>
  <si>
    <t>Tuổi</t>
  </si>
  <si>
    <t>Mức phụ cấp</t>
  </si>
  <si>
    <t>Hệ số</t>
  </si>
  <si>
    <t>Tổng số</t>
  </si>
  <si>
    <t>Số năm đóng bảo hiểm</t>
  </si>
  <si>
    <t>Số tháng đóng  bảo hiểm</t>
  </si>
  <si>
    <t xml:space="preserve">Khu vực 0,7 </t>
  </si>
  <si>
    <t>Số năm làm công việc có phụ cấp khu vực 0,7 trở lên</t>
  </si>
  <si>
    <t>Trợ cấp tính cho thời gian nghỉ hưu trước tuổi</t>
  </si>
  <si>
    <t xml:space="preserve"> Trợ cấp do có đủ 20 năm đóng BHXH</t>
  </si>
  <si>
    <t>Trợ cấp do có trên 20 năm đóng BHXH</t>
  </si>
  <si>
    <t>5=6+7+8</t>
  </si>
  <si>
    <t>nu</t>
  </si>
  <si>
    <t>0</t>
  </si>
  <si>
    <t>UBND XÃ YÊN BÌNH (01 người)</t>
  </si>
  <si>
    <t>nam</t>
  </si>
  <si>
    <t>UBND XÃ NHÂN LÝ (02 người)</t>
  </si>
  <si>
    <t>Vi Thị Nghiêm</t>
  </si>
  <si>
    <t>Lý Quỳnh Xét</t>
  </si>
  <si>
    <t>26/3/1972</t>
  </si>
  <si>
    <t>08/8/1968</t>
  </si>
  <si>
    <t>Giáo viên hạng III, Trường TH&amp;THCS Bắc Thủy</t>
  </si>
  <si>
    <t>Giáo viên hạng II, Trường TH&amp;THCS Bắc Thủy</t>
  </si>
  <si>
    <t>UBND XÃ HOÀNG VĂN THỤ (01 người)</t>
  </si>
  <si>
    <t>Mông Thị Hạnh</t>
  </si>
  <si>
    <t>Phó Hiệu trưởng, Trường THCS Tân Mỹ</t>
  </si>
  <si>
    <t>0,25</t>
  </si>
  <si>
    <t>UBND XÃ HỘI HOAN (02 người)</t>
  </si>
  <si>
    <t>Hoàng Văn Phú</t>
  </si>
  <si>
    <t>Ma Văn Bộ</t>
  </si>
  <si>
    <t>Giáo viên Trường PTDTBT THCS Hội Hoan</t>
  </si>
  <si>
    <t>Giáo viên Trường PTDTBT THCS Nam La</t>
  </si>
  <si>
    <t>Hoàng Văn Cải</t>
  </si>
  <si>
    <t>Giáo viên THCS hạng III Trường TH&amp;THCS Hòa Bình</t>
  </si>
  <si>
    <t>Trợ cấp cho mỗi năm đóng BHXH</t>
  </si>
  <si>
    <t>Trợ cấp tìm việc</t>
  </si>
  <si>
    <t>5=6+7</t>
  </si>
  <si>
    <t>Nghỉ hưu trước tuổi</t>
  </si>
  <si>
    <t>Thôi việc ngay</t>
  </si>
  <si>
    <t>Danh sách bao gồm 06 người./.</t>
  </si>
  <si>
    <t>Đặng Thị Tân Thanh</t>
  </si>
  <si>
    <t>02/12/1971</t>
  </si>
  <si>
    <t>Hoàng Thị Ngà</t>
  </si>
  <si>
    <t>Hoàng Thị Hoa</t>
  </si>
  <si>
    <t>Nguyễn Duy Quang</t>
  </si>
  <si>
    <t>Chu Văn Dũng</t>
  </si>
  <si>
    <t>01/4/1973</t>
  </si>
  <si>
    <t>Kiều Việt Hùy</t>
  </si>
  <si>
    <t>03/5/1967</t>
  </si>
  <si>
    <t>Nông Quốc Thăng</t>
  </si>
  <si>
    <t>15/5/1969</t>
  </si>
  <si>
    <t>Nguyễn Hồng Vân</t>
  </si>
  <si>
    <t>Nguyễn Văn Dũng</t>
  </si>
  <si>
    <t xml:space="preserve">Hoàng Tuấn Huân </t>
  </si>
  <si>
    <t>Hoàng Tuấn Hậu</t>
  </si>
  <si>
    <t>10/7/1979</t>
  </si>
  <si>
    <t>Nông Thiện Thư</t>
  </si>
  <si>
    <t>05/2/1987</t>
  </si>
  <si>
    <t>Ma Văn Luyện</t>
  </si>
  <si>
    <t>27/5/1983</t>
  </si>
  <si>
    <t>Mai Thế Hòa</t>
  </si>
  <si>
    <t>05/3/1976</t>
  </si>
  <si>
    <t>Nguyễn Quang Định</t>
  </si>
  <si>
    <t>25/8/1980</t>
  </si>
  <si>
    <t>Triệu Thị Thanh Hoa</t>
  </si>
  <si>
    <t>Lương Văn Thuận</t>
  </si>
  <si>
    <t>05/6/1982</t>
  </si>
  <si>
    <t>Dương Thị Bích Thủy</t>
  </si>
  <si>
    <t>26/4/1978</t>
  </si>
  <si>
    <t>Mai Thế Mây</t>
  </si>
  <si>
    <t>10/6/1975</t>
  </si>
  <si>
    <t>Vi Thanh Cương</t>
  </si>
  <si>
    <t>07/7/1980</t>
  </si>
  <si>
    <t>Nguyễn Văn Thắng</t>
  </si>
  <si>
    <t>23/11/1968</t>
  </si>
  <si>
    <t>Nguyễn Văn Lập</t>
  </si>
  <si>
    <t>18/12/1968</t>
  </si>
  <si>
    <t>Triệu Thị Luyến</t>
  </si>
  <si>
    <t>Viên chức,  kỹ thuật viên hạng IV, Đội VHTT&amp;TT khu vực Lộc Bình</t>
  </si>
  <si>
    <t>Viên chức,  Đội VHTT&amp;TT khu vực Bắc Sơn</t>
  </si>
  <si>
    <t xml:space="preserve">Viên chức kế toán </t>
  </si>
  <si>
    <t>Viên chức lái xe</t>
  </si>
  <si>
    <t>Phó Đội trưởng, kỹ thuật viên hạng IV, Đội VHTT&amp;TT khu vực Đình Lập</t>
  </si>
  <si>
    <t>Viên chức, Kỹ thuật viên hạng IV, Đội VHTT&amp;TT khu vực Tràng Định</t>
  </si>
  <si>
    <t>Viên chức, Kỹ thuật viên hạng IV, Đội VHTT&amp;TT khu vực Chi Lăng</t>
  </si>
  <si>
    <t>Viên chức, Đội VHTT&amp;TT khu vực Hữu Lũng</t>
  </si>
  <si>
    <t>Viên chức, kỹ thuật viên Đội VHTT&amp;TT khu vực Văn Quan</t>
  </si>
  <si>
    <t>Viên chức, Đội VHTT&amp;TT khu vực Văn Quan</t>
  </si>
  <si>
    <t>Viên chức, kỹ thuật viên, Đội VHTT&amp;TT khu vực Bình Gia</t>
  </si>
  <si>
    <t>Viên chức, Kỹ thuật viên hạng III, Đội VHTT&amp;TT khu vực Cao Lộc</t>
  </si>
  <si>
    <t>Viên chức, nhân viên kỹ thuật, Đội VHTT&amp;TT khu vực Đình Lập</t>
  </si>
  <si>
    <t>Phó Đội trưởng, kỹ sư hạng III, Đội VHTT&amp;TT khu vực Bình Gia</t>
  </si>
  <si>
    <t>Viên chức, Thư viện viên  Đội VHTT&amp;TT khu vực Văn Quan</t>
  </si>
  <si>
    <t>01/01/2030</t>
  </si>
  <si>
    <t>01/5/2035</t>
  </si>
  <si>
    <t>01/6/2029</t>
  </si>
  <si>
    <t>01/8/2041</t>
  </si>
  <si>
    <t>01/3/2047</t>
  </si>
  <si>
    <t>01/6/2040</t>
  </si>
  <si>
    <t>01/4/2033</t>
  </si>
  <si>
    <t>01/09/2042</t>
  </si>
  <si>
    <t>01/7/2044</t>
  </si>
  <si>
    <t>01/01/2032</t>
  </si>
  <si>
    <t>01/7/2032</t>
  </si>
  <si>
    <t>01/8/2042</t>
  </si>
  <si>
    <t>01/12/2030</t>
  </si>
  <si>
    <t>01/01/2031</t>
  </si>
  <si>
    <t>không tính PC trách nhiệm kế toán</t>
  </si>
  <si>
    <t>SỞ CÔNG THƯƠNG (06 NGƯỜI)</t>
  </si>
  <si>
    <t>Mông Minh Tuấn</t>
  </si>
  <si>
    <t>Viên chức,Đội trưởng Đội tuyên truyền lưu động, Trung tâm Văn hóa tỉnh thuộc Sở VH, TT và Du lịch tỉnh</t>
  </si>
  <si>
    <t>SỞ KHOA HỌC VÀ CÔNG NGHỆ (03 người)</t>
  </si>
  <si>
    <t>SỞ TƯ PHÁP (01 người)</t>
  </si>
  <si>
    <t>SỞ Y TẾ (01 người)</t>
  </si>
  <si>
    <t>THANH TRA TỈNH (04 người)</t>
  </si>
  <si>
    <t>SỞ NÔNG NGHIỆP VÀ MÔI TRƯỜNG (06 người)</t>
  </si>
  <si>
    <t>SỞ VĂN HOÁ, THỂ THAO VÀ DU LỊCH (36 người)</t>
  </si>
  <si>
    <t>SỞ XÂY DỰNG (01 NGƯỜI)</t>
  </si>
  <si>
    <t>BIỂU TỔNG HỢP DỰ TOÁN KINH PHÍ THỰC HIỆN CHẾ ĐỘ, CHÍNH SÁCH  THEO NGHỊ ĐỊNH SỐ 154/2025/NĐ-CP
(Thời điểm nghỉ từ ngày 01/9/2025)</t>
  </si>
  <si>
    <t>Lý Hồng Hải</t>
  </si>
  <si>
    <t>Phụ lục 01</t>
  </si>
  <si>
    <t xml:space="preserve">Tổng dự toán kinh phí </t>
  </si>
  <si>
    <t xml:space="preserve">Tổng </t>
  </si>
  <si>
    <t>Nghỉ hưu 
trước tuổi</t>
  </si>
  <si>
    <t>A</t>
  </si>
  <si>
    <t>B</t>
  </si>
  <si>
    <t>TỔNG CỘNG (I+II)</t>
  </si>
  <si>
    <t>KHỐI TỈNH</t>
  </si>
  <si>
    <t>Sở Công Thương</t>
  </si>
  <si>
    <t>Sở Nội vụ</t>
  </si>
  <si>
    <t>Sở Văn hoá, Thể thao và Du lịch</t>
  </si>
  <si>
    <t>Sở Nông nghiệp và Môi trường</t>
  </si>
  <si>
    <t>Sở Xây dựng</t>
  </si>
  <si>
    <t>XÃ THẤT KHÊ (03 người)</t>
  </si>
  <si>
    <t>Triệu Minh Quân</t>
  </si>
  <si>
    <t>Đại học Trồng trọt</t>
  </si>
  <si>
    <t>Chuyên viên phòng Kinh tế</t>
  </si>
  <si>
    <t>Đàm Văn Thịnh</t>
  </si>
  <si>
    <t>Đại học Thủy lợi</t>
  </si>
  <si>
    <t>Triệu Văn Cương</t>
  </si>
  <si>
    <t>Đại học Luật</t>
  </si>
  <si>
    <t>Chuyên viên Ban Văn hóa - Xã hội HĐND</t>
  </si>
  <si>
    <t>XÃ ĐOÀN KẾT (08 NGƯỜI)</t>
  </si>
  <si>
    <t>Mạc Văn Tuấn</t>
  </si>
  <si>
    <t>Nguyễn Thị Tá</t>
  </si>
  <si>
    <t>Chuyên viên Văn phòng HĐND&amp;UBND</t>
  </si>
  <si>
    <t>Lương Bích Hậu</t>
  </si>
  <si>
    <t>Trưởng Phòng Văn hóa - Xã hội</t>
  </si>
  <si>
    <t>Hoàng Văn Thụ</t>
  </si>
  <si>
    <t>Triệu Tiến Quang</t>
  </si>
  <si>
    <t>Phó Trưởng phòng Kinh tế</t>
  </si>
  <si>
    <t>Nông Văn Đạt</t>
  </si>
  <si>
    <t>Chuyên viên phòng Văn hoá- Xã hội</t>
  </si>
  <si>
    <t>Nông Văn Ngải</t>
  </si>
  <si>
    <t xml:space="preserve"> Trưởng phòng Kinh tế</t>
  </si>
  <si>
    <t>Lý Văn Thịnh</t>
  </si>
  <si>
    <t>Phó Chánh Văn phòng HĐND&amp;UBND</t>
  </si>
  <si>
    <t>XÃ TÂN TIẾN (01 NGƯỜI)</t>
  </si>
  <si>
    <t>Hoàng Văn Huân</t>
  </si>
  <si>
    <t>Đại học chuyên ngành Lâm sinh</t>
  </si>
  <si>
    <t>XÃ TRÀNG ĐỊNH (09 người)</t>
  </si>
  <si>
    <t>Nông Mạnh Duy</t>
  </si>
  <si>
    <t>Đại học Nông lâm</t>
  </si>
  <si>
    <t>Phó Trưởng Ban Văn hóa - Xã hội HĐND</t>
  </si>
  <si>
    <t>Lô Thị Hiền</t>
  </si>
  <si>
    <t>Đại học Tài chính ngân hàng</t>
  </si>
  <si>
    <t>Lương Thị Huyền</t>
  </si>
  <si>
    <t>Công chức phòng Văn hóa - Xã hội</t>
  </si>
  <si>
    <t>Hoàng Trọng Quý</t>
  </si>
  <si>
    <t>Đại học luật</t>
  </si>
  <si>
    <t xml:space="preserve">Chuyên viên Văn phòng HĐND&amp;UBND </t>
  </si>
  <si>
    <t>Nguyễn Khắc Hiên</t>
  </si>
  <si>
    <t>Đinh Thế Bôn</t>
  </si>
  <si>
    <t>Chuyên viên phòng Văn hóa - Xã hội</t>
  </si>
  <si>
    <t>Hoàng Tiến Lực</t>
  </si>
  <si>
    <t>Lục Thị Thu Thùy</t>
  </si>
  <si>
    <t>Chuyên viên Trung tâm phục vụ HCC</t>
  </si>
  <si>
    <t>Hoàng Thị Danh</t>
  </si>
  <si>
    <t>XÃ QUỐC KHÁNH (05 NGƯỜI)</t>
  </si>
  <si>
    <t>Lư Thị Biền</t>
  </si>
  <si>
    <t>23/8/1983</t>
  </si>
  <si>
    <t>Đại học Luật Kinh tế</t>
  </si>
  <si>
    <t>Mã Thị Hương</t>
  </si>
  <si>
    <t>Đại học Hành chính học</t>
  </si>
  <si>
    <t>Phó Trưởng phòng Văn hóa - Xã hội</t>
  </si>
  <si>
    <t>Vi Thị Thơm</t>
  </si>
  <si>
    <t xml:space="preserve">Chuyên viên Ban Văn hóa - Xã hội HĐND </t>
  </si>
  <si>
    <t>Bế Văn Đạo</t>
  </si>
  <si>
    <t>Chuyên viên Ban Kinh tế - Ngân sách HĐND</t>
  </si>
  <si>
    <t>Hứa Hữu Tường</t>
  </si>
  <si>
    <t>XÃ KHÁNG CHIẾN (06 NGƯỜI)</t>
  </si>
  <si>
    <t>Đinh Văn Toàn</t>
  </si>
  <si>
    <t>05/03/1971</t>
  </si>
  <si>
    <t>Chuyên viên Ban Văn hóa - Xã hội  HĐND</t>
  </si>
  <si>
    <t>01/04/2033</t>
  </si>
  <si>
    <t>Trần Thị Quyên</t>
  </si>
  <si>
    <t>29/09/1974</t>
  </si>
  <si>
    <t>Đại học Quản lý nhà nước</t>
  </si>
  <si>
    <t xml:space="preserve">Chuyên viên Ban Kinh tế- Ngân sách HĐND </t>
  </si>
  <si>
    <t>01/06/2034</t>
  </si>
  <si>
    <t>Nguyễn Công Lực</t>
  </si>
  <si>
    <t>Đại học Văn hóa</t>
  </si>
  <si>
    <t>Trưởng Phòng Văn hóa - Xã hội xã Kháng Chiến</t>
  </si>
  <si>
    <t>Trần Thị Xuyến</t>
  </si>
  <si>
    <t>20/06/1986</t>
  </si>
  <si>
    <t>Đại học Công tác xã hội</t>
  </si>
  <si>
    <t>Chuyên viên  phòng Văn hóa - Xã hội</t>
  </si>
  <si>
    <t>01/07/2041</t>
  </si>
  <si>
    <t>Ma Văn Áy</t>
  </si>
  <si>
    <t>01/12/1973</t>
  </si>
  <si>
    <t>01/01/2036</t>
  </si>
  <si>
    <t>Hoàng Văn Vịnh</t>
  </si>
  <si>
    <t>08/04/1978</t>
  </si>
  <si>
    <t>01/05/2040</t>
  </si>
  <si>
    <t>XÃ QUỐC VIỆT (04 NGƯỜI)</t>
  </si>
  <si>
    <t>Nông Văn Xanh</t>
  </si>
  <si>
    <t>15/12/1978</t>
  </si>
  <si>
    <t>Đại học chuyên ngành Kế toán</t>
  </si>
  <si>
    <t>01/01/2041</t>
  </si>
  <si>
    <t>Trương Văn Long</t>
  </si>
  <si>
    <t>01/03/1985</t>
  </si>
  <si>
    <t>Đại học chuyên ngành Luật Kinh tế</t>
  </si>
  <si>
    <t>01/04/2047</t>
  </si>
  <si>
    <t>Từ Thu Huyền</t>
  </si>
  <si>
    <t>01/02/1978</t>
  </si>
  <si>
    <t>01/03/2038</t>
  </si>
  <si>
    <t>Hoàng Thị Phương</t>
  </si>
  <si>
    <t>04/9/1989</t>
  </si>
  <si>
    <t>Đại học chuyên ngành Quản trị nhân lực</t>
  </si>
  <si>
    <t xml:space="preserve">Chuyên viên phòng Văn hóa - Xã hội </t>
  </si>
  <si>
    <t>'01/10/2049</t>
  </si>
  <si>
    <t>XÃ NA SẦM (10 người)</t>
  </si>
  <si>
    <t>Nguyễn Công Tâm</t>
  </si>
  <si>
    <t>18/4/1981</t>
  </si>
  <si>
    <t>Phùng Thị Xuân</t>
  </si>
  <si>
    <t>23/3/1978</t>
  </si>
  <si>
    <t>Vương Thị Phơi</t>
  </si>
  <si>
    <t>Lương Minh Hào</t>
  </si>
  <si>
    <t>Hoàng Thị Hằng</t>
  </si>
  <si>
    <t>Hoàng Thị Thanh Nga</t>
  </si>
  <si>
    <t>Hoàng Thị Nhi</t>
  </si>
  <si>
    <t>Mạc Chí Thiện</t>
  </si>
  <si>
    <t>04/8/1989</t>
  </si>
  <si>
    <t>Thạc sỹ</t>
  </si>
  <si>
    <t>Lô Văn Sơn</t>
  </si>
  <si>
    <t>05/8/1988</t>
  </si>
  <si>
    <t>Chu Văn Ninh</t>
  </si>
  <si>
    <t>04/02/1985</t>
  </si>
  <si>
    <t>XÃ THUỴ HÙNG (05 NGƯỜI)</t>
  </si>
  <si>
    <t>Vũ Khánh Ly</t>
  </si>
  <si>
    <t xml:space="preserve">Kế toán Văn phòng HĐND&amp;UBND </t>
  </si>
  <si>
    <t>Hoàng Văn Hưởng</t>
  </si>
  <si>
    <t>Hoàng Văn Hiển</t>
  </si>
  <si>
    <t>Nông Thị Báy</t>
  </si>
  <si>
    <t>Triệu Viết Thăng</t>
  </si>
  <si>
    <t>Phó Ban Kinh tế- Ngân sách HĐND</t>
  </si>
  <si>
    <t>XÃ VĂN LÃNG (09 người)</t>
  </si>
  <si>
    <t>Triệu Thị Hoa</t>
  </si>
  <si>
    <t>Đại học Quản lý văn hóa</t>
  </si>
  <si>
    <t>Bế Thị Huệ</t>
  </si>
  <si>
    <t>Cao Anh Hải</t>
  </si>
  <si>
    <t>Đại học Quản lý đất đai</t>
  </si>
  <si>
    <t>Hà Thị Phượng</t>
  </si>
  <si>
    <t>Đại học Địa chính Môi trường</t>
  </si>
  <si>
    <t>Hà Văn Cương</t>
  </si>
  <si>
    <t>Chu Văn Vui</t>
  </si>
  <si>
    <t>Chuyên viên Văn phòng HĐND &amp;UBND</t>
  </si>
  <si>
    <t>Hứa Văn Lợi</t>
  </si>
  <si>
    <t>Chu Văn Quỳnh</t>
  </si>
  <si>
    <t xml:space="preserve">Trợ lý Ban chỉ huy Quân sự </t>
  </si>
  <si>
    <t>Vy Văn Quyết</t>
  </si>
  <si>
    <t>XÃ HỘI HOAN (02 NGƯỜI)</t>
  </si>
  <si>
    <t>Lương Ngọc Tuấn</t>
  </si>
  <si>
    <t>Chuyên viên Ban Văn hóa - Xã Hội</t>
  </si>
  <si>
    <t>Hứa Văn Hoan</t>
  </si>
  <si>
    <t>XÃ ĐỒNG ĐĂNG (10 NGƯỜI)</t>
  </si>
  <si>
    <t>Sái Vĩnh Chung</t>
  </si>
  <si>
    <t>23/07/1972</t>
  </si>
  <si>
    <t>01/08/2034</t>
  </si>
  <si>
    <t>Nông Thúy Việt</t>
  </si>
  <si>
    <t>12/10/1971</t>
  </si>
  <si>
    <t>Chuyên viên Ban Kinh tế- Ngân sách HĐND</t>
  </si>
  <si>
    <t>01/11/2029</t>
  </si>
  <si>
    <t>Dương Công Vĩnh</t>
  </si>
  <si>
    <t>10/10/1976</t>
  </si>
  <si>
    <t>01/11/2038</t>
  </si>
  <si>
    <t>Phan Thanh Duẩn</t>
  </si>
  <si>
    <t>11/09/1987</t>
  </si>
  <si>
    <t>Cao đẳng</t>
  </si>
  <si>
    <t>01/10/2049</t>
  </si>
  <si>
    <t>Hà Trung Kết</t>
  </si>
  <si>
    <t>19/05/1974</t>
  </si>
  <si>
    <t>01/06/2036</t>
  </si>
  <si>
    <t>Nguyễn Thị Minh Xuyến</t>
  </si>
  <si>
    <t>20/09/1979</t>
  </si>
  <si>
    <t>01/10/2039</t>
  </si>
  <si>
    <t>Liễu Thị Xuân</t>
  </si>
  <si>
    <t>Đồng Minh Hữu</t>
  </si>
  <si>
    <t>Liễu Văn Thế</t>
  </si>
  <si>
    <t>28/10/1977</t>
  </si>
  <si>
    <t>01/11/2039</t>
  </si>
  <si>
    <t>Hoàng Văn Tý</t>
  </si>
  <si>
    <t>27/04/1982</t>
  </si>
  <si>
    <t>01/05/2039</t>
  </si>
  <si>
    <t>XÃ CAO LỘC (05 NGƯỜI)</t>
  </si>
  <si>
    <t>Lê Thị Tân</t>
  </si>
  <si>
    <t>20/4/1974</t>
  </si>
  <si>
    <t>Công chức Phòng Văn hóa - Xã hội</t>
  </si>
  <si>
    <t>Lương Văn Liễu</t>
  </si>
  <si>
    <t>20/8/1973</t>
  </si>
  <si>
    <t xml:space="preserve">Công chức Văn phòng HĐND&amp;UBND </t>
  </si>
  <si>
    <t>Hứa Văn Thành</t>
  </si>
  <si>
    <t>05/10/1977</t>
  </si>
  <si>
    <t>Phó Trưởng Ban Kinh tế - Ngân sách HĐND</t>
  </si>
  <si>
    <t>Lã Văn Hun</t>
  </si>
  <si>
    <t>09/9/1980</t>
  </si>
  <si>
    <t>01/10/2042</t>
  </si>
  <si>
    <t>Nguyễn Thị Hồng Thu</t>
  </si>
  <si>
    <t>21/5/1979</t>
  </si>
  <si>
    <t>Công chức phòng Kinh tế</t>
  </si>
  <si>
    <t>XÃ CÔNG SƠN (07 NGƯỜI)</t>
  </si>
  <si>
    <t>Vy Văn Hưng</t>
  </si>
  <si>
    <t>26/6/1975</t>
  </si>
  <si>
    <t>Triệu Thị Đào</t>
  </si>
  <si>
    <t>Lý Thị Lạng</t>
  </si>
  <si>
    <t xml:space="preserve">Công chức phòng Kinh tế </t>
  </si>
  <si>
    <t>Dương Hồng Nghiệp Thi</t>
  </si>
  <si>
    <t>Triệu Chằn Sửu</t>
  </si>
  <si>
    <t>Triệu Trần Sinh</t>
  </si>
  <si>
    <t>Trợ lý Ban Chỉ huy Quân sự</t>
  </si>
  <si>
    <t>Dương Thị Tâm</t>
  </si>
  <si>
    <t>Trưởng phòng Văn hóa - Xã hội</t>
  </si>
  <si>
    <t>XÃ BA SƠN (08 NGƯỜI)</t>
  </si>
  <si>
    <t>Nông Thanh Ngân</t>
  </si>
  <si>
    <t>Đại học Quản lý Đất đai</t>
  </si>
  <si>
    <t xml:space="preserve">Công chức Phòng Kinh tế </t>
  </si>
  <si>
    <t>Đinh Quang Thành</t>
  </si>
  <si>
    <t>Đại học GTVT</t>
  </si>
  <si>
    <t>Công chức Phòng Kinh tế</t>
  </si>
  <si>
    <t>Nông Thị Diễm Hằng</t>
  </si>
  <si>
    <t>Đại học Lao Động xã hội</t>
  </si>
  <si>
    <t xml:space="preserve">Công chức Phòng Văn hóa - Xã hội </t>
  </si>
  <si>
    <t>Triệu Tiến Thành</t>
  </si>
  <si>
    <t>Hoàng Văn Đông</t>
  </si>
  <si>
    <t>Đại học Hành chính</t>
  </si>
  <si>
    <t>Vi Văn Thái</t>
  </si>
  <si>
    <t>Dương Trùng Nhàn</t>
  </si>
  <si>
    <t>Công chức Văn phòng HĐND&amp;UBND</t>
  </si>
  <si>
    <t>Vinh Thị Bé Hồng</t>
  </si>
  <si>
    <t>Trung cấp VT-LT</t>
  </si>
  <si>
    <t>XÃ BẮC SƠN (01 NGƯỜI)</t>
  </si>
  <si>
    <t>Hoàng Đình Chiến</t>
  </si>
  <si>
    <t>Đại học Kế toán</t>
  </si>
  <si>
    <t xml:space="preserve">Chuyên viên phòng Kinh tế </t>
  </si>
  <si>
    <t>XÃ HƯNG VŨ (03 NGƯỜI)</t>
  </si>
  <si>
    <t>Hoàng Công Nguyên</t>
  </si>
  <si>
    <t xml:space="preserve">Phó Trưởng Phòng Kinh tế </t>
  </si>
  <si>
    <t>Dương Công Thụ</t>
  </si>
  <si>
    <t>Phó Chỉ huy Trưởng Ban Chỉ huy quân sự</t>
  </si>
  <si>
    <t>Dương Thị Hà</t>
  </si>
  <si>
    <t>XÃ NHẤT HOÀ (03 NGƯỜI)</t>
  </si>
  <si>
    <t>Dương Hữu Ngọc</t>
  </si>
  <si>
    <t>18/10/1970</t>
  </si>
  <si>
    <t xml:space="preserve">Chuyên viên Ban Kinh tế - Ngân sách HĐND </t>
  </si>
  <si>
    <t>Hoàng Đình Khải</t>
  </si>
  <si>
    <t>06/07/1973</t>
  </si>
  <si>
    <t>Chuyên viên TTPVHCC</t>
  </si>
  <si>
    <t>01/08/2035</t>
  </si>
  <si>
    <t>Dương Văn Hoàng</t>
  </si>
  <si>
    <t>19/01/1985</t>
  </si>
  <si>
    <t>Chánh Văn phòng HĐND&amp;UBND</t>
  </si>
  <si>
    <t>XÃ TÂN TRI (02 NGƯỜI)</t>
  </si>
  <si>
    <t>Nguyễn Thanh Phúc</t>
  </si>
  <si>
    <t>Dương Công Hùng</t>
  </si>
  <si>
    <t>XÃ BÌNH GIA (03 người)</t>
  </si>
  <si>
    <t>Đặng Văn Tuấn</t>
  </si>
  <si>
    <t xml:space="preserve">Phó Trưởng Ban kinh tế - Ngân sách HĐND </t>
  </si>
  <si>
    <t>Nông Hoàng Công Khiêm</t>
  </si>
  <si>
    <t xml:space="preserve">Phó Trưởng phòng Văn hóa - Xã hội </t>
  </si>
  <si>
    <t>Nông Thị Hoàng</t>
  </si>
  <si>
    <t>Chuyên viên Văn phòng HĐND và UBND</t>
  </si>
  <si>
    <t>XÃ TÂN VĂN (04 người)</t>
  </si>
  <si>
    <t>Hoàng Thanh Hóa</t>
  </si>
  <si>
    <t>Chuyên viên</t>
  </si>
  <si>
    <t>Lý Xuân Thưởng</t>
  </si>
  <si>
    <t>Trung cấp Thống kê</t>
  </si>
  <si>
    <t>Hoàng Văn Quyết</t>
  </si>
  <si>
    <t>Hoàng Thị Khuyên</t>
  </si>
  <si>
    <t>Trung cấp Luật</t>
  </si>
  <si>
    <t>XÃ HỒNG PHONG(01 người)</t>
  </si>
  <si>
    <t>Đỗ Kim Thuyên</t>
  </si>
  <si>
    <t>Chánh Văn phòng HĐND &amp;UBND (nguyên Phó Chủ tịch Liên đoàn Lao động huyện Bình Gia)</t>
  </si>
  <si>
    <t>XÃ HOA THÁM (01 người)</t>
  </si>
  <si>
    <t>Hoàng Anh Trịnh</t>
  </si>
  <si>
    <t>XÃ THIỆN THUẬT (03 người)</t>
  </si>
  <si>
    <t>Hoàng Văn Chức</t>
  </si>
  <si>
    <t xml:space="preserve">Phó Chủ tịch HĐND </t>
  </si>
  <si>
    <t>Hoàng Minh Hải</t>
  </si>
  <si>
    <t>Chuyên viên phòng Kinh  tế</t>
  </si>
  <si>
    <t>Hoàng Thị Dư</t>
  </si>
  <si>
    <t>Chuyên viên Ban Kinh tế-Ngân sách HĐND</t>
  </si>
  <si>
    <t>XÃ QUÝ HOÀ (03 người)</t>
  </si>
  <si>
    <t>Chuyên viên Ban Văn hoá- Xã hội</t>
  </si>
  <si>
    <t>Lưu Trung Thành</t>
  </si>
  <si>
    <t>Chuyên viên Phòng Kinh tế</t>
  </si>
  <si>
    <t>Phan Xuân Nhượng</t>
  </si>
  <si>
    <t>Chuyên viên Phòng Văn hoá- Xã hội</t>
  </si>
  <si>
    <t>XÃ VŨ LỄ (05 người)</t>
  </si>
  <si>
    <t>Hoàng Văn Hậu</t>
  </si>
  <si>
    <t>Sơ cấp</t>
  </si>
  <si>
    <t xml:space="preserve">Nhân viên lái xe, HĐND và UBND </t>
  </si>
  <si>
    <t>Đồng Văn Hưng</t>
  </si>
  <si>
    <t xml:space="preserve">Chuyên viên, Phòng Văn hóa - Xã hội </t>
  </si>
  <si>
    <t>Lương Đình Trưởng</t>
  </si>
  <si>
    <t xml:space="preserve">Chuyên viên, Phòng Kinh tế </t>
  </si>
  <si>
    <t>Nguyễn Văn Biên</t>
  </si>
  <si>
    <t xml:space="preserve">Chuyên viên, Phòng Văn phòng HĐND&amp;UBND </t>
  </si>
  <si>
    <t>01//09/2036</t>
  </si>
  <si>
    <t>Hoàng Thị Bích Liễu</t>
  </si>
  <si>
    <t>XÃ VŨ LĂNG (04 người)</t>
  </si>
  <si>
    <t>Lương Văn Thị</t>
  </si>
  <si>
    <t>Dương Công Vỹ</t>
  </si>
  <si>
    <t>Nguyễn Văn Tâm</t>
  </si>
  <si>
    <t>Chánh văn phòng HĐND&amp;UBND</t>
  </si>
  <si>
    <t>Dương Văn Kiên</t>
  </si>
  <si>
    <t>XÃ HOÀNG VĂN THỤ (07 người)</t>
  </si>
  <si>
    <t>Hoàng Thanh Phương</t>
  </si>
  <si>
    <t>Chuyên viên HĐND và UBND xã</t>
  </si>
  <si>
    <t>Hoàng Văn Trúc</t>
  </si>
  <si>
    <t>Đại học Quân sự cơ sở</t>
  </si>
  <si>
    <t>Trợ lý Ban chỉ huy Quân sự xã</t>
  </si>
  <si>
    <t>Trần Danh Sĩ</t>
  </si>
  <si>
    <t>Đại học Quản lý Kinh tế</t>
  </si>
  <si>
    <t>Nông Thanh Tháp</t>
  </si>
  <si>
    <t>Phó Trưởng ban Văn hóa - Xã hội</t>
  </si>
  <si>
    <t>Hoàng Văn Thái</t>
  </si>
  <si>
    <t>Bế Văn Xuyên</t>
  </si>
  <si>
    <t>Đại học Chăn nuôi thú y</t>
  </si>
  <si>
    <t>Lý Thị Thương</t>
  </si>
  <si>
    <t xml:space="preserve">Phó Trưởng phòng kinh tế </t>
  </si>
  <si>
    <t>XÃ THIỆN LONG (03 người)</t>
  </si>
  <si>
    <t>Hoàng Văn Trường</t>
  </si>
  <si>
    <t>Hoàng Văn Trình</t>
  </si>
  <si>
    <t>Hoàng Văn Duy</t>
  </si>
  <si>
    <t>XÃ VĂN QUAN (06 người)</t>
  </si>
  <si>
    <t>Tăng Văn Thoại</t>
  </si>
  <si>
    <t>Long Văn Thơ</t>
  </si>
  <si>
    <t xml:space="preserve">Phó trưởng phòng, Phòng Kinh tế </t>
  </si>
  <si>
    <t>La Anh Thái</t>
  </si>
  <si>
    <t xml:space="preserve">Phó trưởng phòng Văn hóa - Xã hội </t>
  </si>
  <si>
    <t>Hoàng Kim Tiền</t>
  </si>
  <si>
    <t>Trung cấp QSCS (Chính quy)</t>
  </si>
  <si>
    <t>Phó Chỉ huy trưởng, Ban chỉ huy Quân sự</t>
  </si>
  <si>
    <t>Luân Văn Đài</t>
  </si>
  <si>
    <t>Đại học Luật kinh tế</t>
  </si>
  <si>
    <t xml:space="preserve">Chuyên viên, Văn phòng HĐND&amp;UBND </t>
  </si>
  <si>
    <t>Vi Thị Thủy</t>
  </si>
  <si>
    <t>Cao đẳng, quản lý kinh tế Nông nghiệp</t>
  </si>
  <si>
    <t>Chuyên viên, Trung tâm phục vụ hành chính công xã</t>
  </si>
  <si>
    <t>XÃ THIỆN HOÀ (01 người)</t>
  </si>
  <si>
    <t>Lâm Văn Thạch</t>
  </si>
  <si>
    <t>Chuyên viên Ban Văn hoá- Xã hội HĐND</t>
  </si>
  <si>
    <t>XÃ NA DƯƠNG (07 NGƯỜI)</t>
  </si>
  <si>
    <t>Lâm Thị Độ</t>
  </si>
  <si>
    <t>07/4/1974</t>
  </si>
  <si>
    <t>01/9/2033</t>
  </si>
  <si>
    <t>Hoàng Văn Toản</t>
  </si>
  <si>
    <t>26/10/1985</t>
  </si>
  <si>
    <t>Phó trưởng phòng Kinh tế</t>
  </si>
  <si>
    <t>Vi Thị Hải</t>
  </si>
  <si>
    <t>17/7/1978</t>
  </si>
  <si>
    <t>01/8/2038</t>
  </si>
  <si>
    <t>Vi Thị Yên</t>
  </si>
  <si>
    <t>04/01/1981</t>
  </si>
  <si>
    <t>Chuyên viên Phòng Văn hoá - Xã hội</t>
  </si>
  <si>
    <t>Hà Thị Du</t>
  </si>
  <si>
    <t>Chuyên viên phòng Văn hoá - Xã hội</t>
  </si>
  <si>
    <t>Nguyễn Quang Mẫn</t>
  </si>
  <si>
    <t>27/10/1978</t>
  </si>
  <si>
    <t>01/11/2040</t>
  </si>
  <si>
    <t>Lại Văn Sung</t>
  </si>
  <si>
    <t>29/5/1993</t>
  </si>
  <si>
    <t>01/6/2055</t>
  </si>
  <si>
    <t>XÃ KHUẤT XÁ (02 NGƯỜI)</t>
  </si>
  <si>
    <t>Vy Văn Thiết</t>
  </si>
  <si>
    <t>29/08/1973</t>
  </si>
  <si>
    <t>Đại học, Luật</t>
  </si>
  <si>
    <t xml:space="preserve">Chuyên viên Văn phòng 
HĐND&amp;UBND </t>
  </si>
  <si>
    <t>Nông Văn Tuấn</t>
  </si>
  <si>
    <t>20/11/1978</t>
  </si>
  <si>
    <t>Đại học, 
Nông nghiệp</t>
  </si>
  <si>
    <t xml:space="preserve">Chuyên viên Ban Kinh tế Ngân sách HĐND </t>
  </si>
  <si>
    <t>XÃ KIÊN MỘC (01 NGƯỜI)</t>
  </si>
  <si>
    <t>Vi Văn Chức</t>
  </si>
  <si>
    <t>05/01/1980</t>
  </si>
  <si>
    <t>Cao đẳng quân sự cơ sở</t>
  </si>
  <si>
    <t>Chuyên viên Ban Văn hoá - Xã hội HĐND</t>
  </si>
  <si>
    <t>XÃ ĐÌNH LẬP (06 NGƯỜI)</t>
  </si>
  <si>
    <t>Hoàng Ngọc Xuyến</t>
  </si>
  <si>
    <t>21/7/1975</t>
  </si>
  <si>
    <t>Chưa qua đào tạo</t>
  </si>
  <si>
    <t>Nhân viên hợp đồng tạp vụ</t>
  </si>
  <si>
    <t>Vương Văn Hội</t>
  </si>
  <si>
    <t>26/4/1974</t>
  </si>
  <si>
    <t>Phó Giám đốc Trung tâm phục vụ HCC</t>
  </si>
  <si>
    <t>Mai Tuyết Thịnh</t>
  </si>
  <si>
    <t>03/02/1985</t>
  </si>
  <si>
    <t>Chuyên viên phòng Văn hoá-Xã hội</t>
  </si>
  <si>
    <t>01/3/2045</t>
  </si>
  <si>
    <t>Đào Thị Thu Hương</t>
  </si>
  <si>
    <t>Hoàng Trọng Thảo</t>
  </si>
  <si>
    <t>Lái xe Văn phòng HĐND&amp; UBND</t>
  </si>
  <si>
    <t>Vi Thị Tự</t>
  </si>
  <si>
    <t>25/01/1977</t>
  </si>
  <si>
    <t>01/02/2037</t>
  </si>
  <si>
    <t>XÃ THÁI BÌNH (07 NGƯỜI)</t>
  </si>
  <si>
    <t>Hoàng Văn Linh</t>
  </si>
  <si>
    <t>01/12/1988</t>
  </si>
  <si>
    <t>Đại học, Khoa học cây trồng</t>
  </si>
  <si>
    <t>01/01/2051</t>
  </si>
  <si>
    <t>Nguyễn Thị Thu</t>
  </si>
  <si>
    <t>13/11/1979</t>
  </si>
  <si>
    <t>Đại học, Sư phạm tiểu học</t>
  </si>
  <si>
    <t>Tô Văn Vinh</t>
  </si>
  <si>
    <t>Trung cấp, Hành chính</t>
  </si>
  <si>
    <t>Nông Văn Du</t>
  </si>
  <si>
    <t>Đại học, Luật kinh tế</t>
  </si>
  <si>
    <t>Lương Văn Báo</t>
  </si>
  <si>
    <t>Đại học Nông lâm kết hợp</t>
  </si>
  <si>
    <t>Hoàng Văn Lới</t>
  </si>
  <si>
    <t>Phó trưởng Ban Kinh tế - Ngân sách</t>
  </si>
  <si>
    <t>Trần Văn Thuỷ</t>
  </si>
  <si>
    <t>XÃ CHÂU SƠN (07 NGƯỜI)</t>
  </si>
  <si>
    <t>Hoàng Văn Hạnh</t>
  </si>
  <si>
    <t>28/01/1986</t>
  </si>
  <si>
    <t xml:space="preserve">Phó Chánh Văn phòng phụ trách HĐND&amp; UBND </t>
  </si>
  <si>
    <t>01/02/2048</t>
  </si>
  <si>
    <t>Nông Thị Viện</t>
  </si>
  <si>
    <t xml:space="preserve">Chuyên viên Văn phòng  HĐND&amp;UBND </t>
  </si>
  <si>
    <t>Mai Thị Chiên</t>
  </si>
  <si>
    <t>Vi Minh Đức</t>
  </si>
  <si>
    <t>01/01/2037</t>
  </si>
  <si>
    <t>Sái Thu Trang</t>
  </si>
  <si>
    <t>01/10/2051</t>
  </si>
  <si>
    <t>Hoàng Ngọc Vũ</t>
  </si>
  <si>
    <t>27/7/1993</t>
  </si>
  <si>
    <t>Thạc sĩ Quản lý đất đai</t>
  </si>
  <si>
    <t>01/8/2055</t>
  </si>
  <si>
    <t>Vi Thị Tú Phượng</t>
  </si>
  <si>
    <t>01/6/2039</t>
  </si>
  <si>
    <t>XÃ CHI LĂNG (04 NGƯỜI)</t>
  </si>
  <si>
    <t>Nguyễn Thu Hà</t>
  </si>
  <si>
    <t>Đại học Tài chính</t>
  </si>
  <si>
    <t>Cáp Thị Quế</t>
  </si>
  <si>
    <t>Đại học kế toán</t>
  </si>
  <si>
    <t>Ngô Văn Tuấn</t>
  </si>
  <si>
    <t>Phùng Văn Thòn</t>
  </si>
  <si>
    <t>XÃ ĐIỀM HE (09 NGƯỜI )</t>
  </si>
  <si>
    <t>Hoàng Văn Binh</t>
  </si>
  <si>
    <t>03/4/1970</t>
  </si>
  <si>
    <t xml:space="preserve">Đại học  </t>
  </si>
  <si>
    <t>Bế Văn Hiệu</t>
  </si>
  <si>
    <t>05/6/1979</t>
  </si>
  <si>
    <t>Liễu Văn Khánh</t>
  </si>
  <si>
    <t>29/11/1979</t>
  </si>
  <si>
    <t>Lô Xuân Viễn</t>
  </si>
  <si>
    <t>09/11/1979</t>
  </si>
  <si>
    <t>Phó Ban Văn hóa - Xã hội</t>
  </si>
  <si>
    <t>Nông Văn Báo</t>
  </si>
  <si>
    <t>07/5/1979</t>
  </si>
  <si>
    <t>Triệu Thị Thanh</t>
  </si>
  <si>
    <t>18/5/1977</t>
  </si>
  <si>
    <t>20/12/1973</t>
  </si>
  <si>
    <t>Nông Thị Lý</t>
  </si>
  <si>
    <t>08/5/1982</t>
  </si>
  <si>
    <t>Triệu Mạnh Cường</t>
  </si>
  <si>
    <t>20/5/1981</t>
  </si>
  <si>
    <t>XÃ YÊN PHÚC (11 NGƯỜI)</t>
  </si>
  <si>
    <t>Hoàng Văn Tuân</t>
  </si>
  <si>
    <t>Nhân viên phục vụ (lái xe)</t>
  </si>
  <si>
    <t>01/112032</t>
  </si>
  <si>
    <t>Hoàng Văn Cương</t>
  </si>
  <si>
    <t>Đàm Thị Danh</t>
  </si>
  <si>
    <t>Mạc Thị Bền</t>
  </si>
  <si>
    <t>Triệu Thị Thu</t>
  </si>
  <si>
    <t>Triệu Thị Kim</t>
  </si>
  <si>
    <t>Triệu Văn Định</t>
  </si>
  <si>
    <t>Hoàng Thị Thìn</t>
  </si>
  <si>
    <t>Phương Văn Thu</t>
  </si>
  <si>
    <t>Hoàng Vĩnh Giang</t>
  </si>
  <si>
    <t>Nhân viên phục vụ (bảo vệ)</t>
  </si>
  <si>
    <t>XÃ TÂN ĐOÀN ( 06 NGƯỜI)</t>
  </si>
  <si>
    <t>Hà Thị Phấn</t>
  </si>
  <si>
    <t>22/9/1975</t>
  </si>
  <si>
    <t>Đại học
Quản lý nhà nước</t>
  </si>
  <si>
    <t>01/10/2035</t>
  </si>
  <si>
    <t>Đàm Văn Hạnh</t>
  </si>
  <si>
    <t>31/12/1973</t>
  </si>
  <si>
    <t>Đại học cử nhân luật</t>
  </si>
  <si>
    <t>Nông Văn Quang</t>
  </si>
  <si>
    <t>27/8/1990</t>
  </si>
  <si>
    <t>Đại học Quản lý văn hoá</t>
  </si>
  <si>
    <t>01/9/2052</t>
  </si>
  <si>
    <t>Lành Thị Khương</t>
  </si>
  <si>
    <t>03/6/1977</t>
  </si>
  <si>
    <t>Hứa Trung Hưng</t>
  </si>
  <si>
    <t>27/12/1979</t>
  </si>
  <si>
    <t>Đại học Quản lý đất đại</t>
  </si>
  <si>
    <t>01/01/2042</t>
  </si>
  <si>
    <t>Lương Văn Cai</t>
  </si>
  <si>
    <t>05/10/1978</t>
  </si>
  <si>
    <t>XÃ KHÁNH KHÊ (08 NGƯỜI)</t>
  </si>
  <si>
    <t>Nguyễn Thị Trà</t>
  </si>
  <si>
    <t>25/08/1975</t>
  </si>
  <si>
    <t>01/09/2025</t>
  </si>
  <si>
    <t>Nguyễn Thị Xuyên</t>
  </si>
  <si>
    <t>18/12/1978</t>
  </si>
  <si>
    <t>Cao Đẳng kế toán</t>
  </si>
  <si>
    <t>Vương Thị Hằng</t>
  </si>
  <si>
    <t>28/04/1979</t>
  </si>
  <si>
    <t>Trung cấp Văn phòng -TK</t>
  </si>
  <si>
    <t>Hoàng Thị Thiêm</t>
  </si>
  <si>
    <t>Đại học QL văn hóa</t>
  </si>
  <si>
    <t>17/10/1981</t>
  </si>
  <si>
    <t>Hoàng Văn Lượng</t>
  </si>
  <si>
    <t>Đại học Quản tri văn phòng</t>
  </si>
  <si>
    <t>Trương Văn Kiểm</t>
  </si>
  <si>
    <t>15/12/1977</t>
  </si>
  <si>
    <t>Hoàng Văn Trung</t>
  </si>
  <si>
    <t>Trung cấp Quân sự</t>
  </si>
  <si>
    <t>Phó Chỉ huy trưởng Quân sự</t>
  </si>
  <si>
    <t>XÃ LỘC BÌNH (04 NGƯỜI)</t>
  </si>
  <si>
    <t>Vi Thị Minh</t>
  </si>
  <si>
    <t>Tô Thị Minh Huệ</t>
  </si>
  <si>
    <t>Vi Văn Lực</t>
  </si>
  <si>
    <t>Hoàng Thị Phong</t>
  </si>
  <si>
    <t>XÃ XUÂN DƯƠNG (03 NGƯỜI)</t>
  </si>
  <si>
    <t>Hoàng Hữu Dùng</t>
  </si>
  <si>
    <t>22/7/1982</t>
  </si>
  <si>
    <t>Đại học Văn thư lưu trữ -QTVP</t>
  </si>
  <si>
    <t>Đặng Hữu Tiến</t>
  </si>
  <si>
    <t>Đại học công tác xã hội</t>
  </si>
  <si>
    <t>Đặng Văn Quang</t>
  </si>
  <si>
    <t>Phó Chủ tịch HĐND</t>
  </si>
  <si>
    <t>XÃ LỢI BÁC (02 NGƯỜI)</t>
  </si>
  <si>
    <t>Lý Thị Hiền</t>
  </si>
  <si>
    <t>Chuyên viên Trung tâm Phục vụ HCC</t>
  </si>
  <si>
    <t>Vi Thị Bình</t>
  </si>
  <si>
    <t xml:space="preserve">Chuyên viên Văn phòng HĐND &amp;UBND </t>
  </si>
  <si>
    <t>XÃ NHÂN LÝ (06 NGƯỜI)</t>
  </si>
  <si>
    <t>Hoàng Thị Thiện</t>
  </si>
  <si>
    <t>20/10/1981</t>
  </si>
  <si>
    <t>Triệu Thị Mến</t>
  </si>
  <si>
    <t>Nông Văn Thắng</t>
  </si>
  <si>
    <t>02/08/1980</t>
  </si>
  <si>
    <t>Nguyễn Văn Chầm</t>
  </si>
  <si>
    <t>16/02/1987</t>
  </si>
  <si>
    <t>Hoàng Việt Quang</t>
  </si>
  <si>
    <t>19/10/1980</t>
  </si>
  <si>
    <t>Vi Thị Hồng Thơm</t>
  </si>
  <si>
    <t>24/02/1989</t>
  </si>
  <si>
    <t>Phó chánh Văn phòng HĐND&amp;UBND</t>
  </si>
  <si>
    <t>XÃ CHIẾN THẮNG (04 NGƯỜI)</t>
  </si>
  <si>
    <t>Trịnh Tuấn Anh</t>
  </si>
  <si>
    <t>23/03/1973</t>
  </si>
  <si>
    <t>Đại học, Quản lý đất đai</t>
  </si>
  <si>
    <t>Vi Văn Nhớ</t>
  </si>
  <si>
    <t>20/01/1983</t>
  </si>
  <si>
    <t>Đại học 
Luật Kinh tế</t>
  </si>
  <si>
    <t>Chánh Văn phòng
 HĐND&amp;UBND xã</t>
  </si>
  <si>
    <t>Trịnh Minh Thụ</t>
  </si>
  <si>
    <t>08/01/1975</t>
  </si>
  <si>
    <t>Chuyên viên Văn phòng 
HĐND&amp;UBND</t>
  </si>
  <si>
    <t>Lương Thị Chầm</t>
  </si>
  <si>
    <t>Đại học chuyên ngành Quản lý kinh tế</t>
  </si>
  <si>
    <t>XÃ QUAN SƠN (03 NGƯỜI)</t>
  </si>
  <si>
    <t>Vy Văn Dọng</t>
  </si>
  <si>
    <t xml:space="preserve">Chuyên viên Ban Văn hóa - xã hội HĐND </t>
  </si>
  <si>
    <t>Vi Thị Oanh</t>
  </si>
  <si>
    <t>Nông Văn Toản</t>
  </si>
  <si>
    <t>XÃ BẰNG MẠC (09 NGƯỜI)</t>
  </si>
  <si>
    <t>Lăng Thúy Thơm</t>
  </si>
  <si>
    <t>29/3/1974</t>
  </si>
  <si>
    <t>Chu Văn Hành</t>
  </si>
  <si>
    <t>15/10/1973</t>
  </si>
  <si>
    <t>Lăng Văn Duy</t>
  </si>
  <si>
    <t>25/9/1982</t>
  </si>
  <si>
    <t>Chuyên viên Phòng Văn hóa - Xã hội</t>
  </si>
  <si>
    <t>Hoàng Thị Ánh</t>
  </si>
  <si>
    <t>12/10/1977</t>
  </si>
  <si>
    <t>Đoàn Thị Tuyết</t>
  </si>
  <si>
    <t>29/10/1977</t>
  </si>
  <si>
    <t>Hoàng Thị Thu Hằng</t>
  </si>
  <si>
    <t>07/7/1985</t>
  </si>
  <si>
    <t>Hoàng Văn Đạt</t>
  </si>
  <si>
    <t>07/3/1975</t>
  </si>
  <si>
    <t>Hoàng Văn Hợp</t>
  </si>
  <si>
    <t>02/9/1975</t>
  </si>
  <si>
    <t>Linh Văn Cương</t>
  </si>
  <si>
    <t>21/3/1984</t>
  </si>
  <si>
    <t>XÃ HỮU LŨNG (01 NGƯỜI)</t>
  </si>
  <si>
    <t>09/10/1981</t>
  </si>
  <si>
    <t xml:space="preserve">Chánh Văn phòng HĐND&amp;UBND </t>
  </si>
  <si>
    <t>XÃ TUẤN SƠN (06 NGƯỜI)</t>
  </si>
  <si>
    <t>Chu Thị Nhung</t>
  </si>
  <si>
    <t>Phó Ban Kinh tế - Ngân sách HĐND</t>
  </si>
  <si>
    <t>Trần Thị Loan</t>
  </si>
  <si>
    <t>Nhân viên Văn phòng</t>
  </si>
  <si>
    <t>Lý Văn Hậu</t>
  </si>
  <si>
    <t>Đỗ Văn Thịnh</t>
  </si>
  <si>
    <t>01/07/2036</t>
  </si>
  <si>
    <t>Vi Khánh Toàn</t>
  </si>
  <si>
    <t>Phạm Thu Hiến</t>
  </si>
  <si>
    <t>XÃ YÊN BÌNH (01 NGƯỜI)</t>
  </si>
  <si>
    <t>Nguyễn Văn Thành</t>
  </si>
  <si>
    <t>Công chức Trung tâm phục vụ hành chính công</t>
  </si>
  <si>
    <t>XÃ VÂN NHAM (04 NGƯỜI)</t>
  </si>
  <si>
    <t>Nguyễn Văn Thuỷ</t>
  </si>
  <si>
    <t>Chuyên viên Văn phòng HĐND &amp; UBND</t>
  </si>
  <si>
    <t>Triệu Thành Thế</t>
  </si>
  <si>
    <t>Trưởng Phòng Văn hoá - Xã hội</t>
  </si>
  <si>
    <t>Lương Thị Chiến</t>
  </si>
  <si>
    <t>Trưởng Phòng Kinh tế</t>
  </si>
  <si>
    <t>Nguyễn Đức Quân</t>
  </si>
  <si>
    <t xml:space="preserve">Chuyên viên Ban Văn hoá - Xã hội HĐND </t>
  </si>
  <si>
    <t>XÃ HỮU LIÊN (01 NGƯỜI)</t>
  </si>
  <si>
    <t>Phùng Văn Tùy</t>
  </si>
  <si>
    <t>Chánh văn phòng HĐND&amp;UBND xã Hữu Liên</t>
  </si>
  <si>
    <t>XÃ VẠN LINH (11 NGƯỜI)</t>
  </si>
  <si>
    <t>Long Văn Hiên</t>
  </si>
  <si>
    <t>10/10/1986</t>
  </si>
  <si>
    <t>Vi Thị Thịnh</t>
  </si>
  <si>
    <t>Nguyễn Thị Viện</t>
  </si>
  <si>
    <t>16/7/1980</t>
  </si>
  <si>
    <t>Hoàng Thị Như</t>
  </si>
  <si>
    <t>Vi Văn Huy</t>
  </si>
  <si>
    <t>29/12/1981</t>
  </si>
  <si>
    <t>Triệu Thị Thu Hà</t>
  </si>
  <si>
    <t>Triệu Hùng Cường</t>
  </si>
  <si>
    <t>Lương Kiều Nhân</t>
  </si>
  <si>
    <t>Nông Thị Huế</t>
  </si>
  <si>
    <t>Đàm Quang Thân</t>
  </si>
  <si>
    <t>Mai Việt Lào</t>
  </si>
  <si>
    <t>XÃ TÂN THÀNH (04 NGƯỜI)</t>
  </si>
  <si>
    <t>Trương Đức Dũng</t>
  </si>
  <si>
    <t>Trịnh Văn Thái</t>
  </si>
  <si>
    <t xml:space="preserve">Phùng Văn Tiến </t>
  </si>
  <si>
    <t>Trưởng phòng Kinh tế</t>
  </si>
  <si>
    <t>Hoàng Văn Nho</t>
  </si>
  <si>
    <t>PHƯỜNG KỲ LỪA (10 NGƯỜI)</t>
  </si>
  <si>
    <t>Đinh Huy Tường</t>
  </si>
  <si>
    <t>Viên chức Trung tâm dịch vụ công ích</t>
  </si>
  <si>
    <t xml:space="preserve">Nông Thị Hải Lý    </t>
  </si>
  <si>
    <t>Phạm Văn Hồng</t>
  </si>
  <si>
    <t>Lái xe</t>
  </si>
  <si>
    <t>HĐLĐ Lái xe, Trung tâm dịch vụ công ích</t>
  </si>
  <si>
    <t>Hoàng Văn Nháu</t>
  </si>
  <si>
    <t>Triệu Thị Hoà</t>
  </si>
  <si>
    <t>Hoàng Thuý Hằng</t>
  </si>
  <si>
    <t>Chuyên viên Phòng Kinh tế, Hạ tầng và Đô thị</t>
  </si>
  <si>
    <t>Trần Đức Long</t>
  </si>
  <si>
    <t>Nguyễn Đình Xuyên</t>
  </si>
  <si>
    <t>Đinh Văn Nhất</t>
  </si>
  <si>
    <t>Nguyễn Thị Lệ</t>
  </si>
  <si>
    <t>01/12/2036</t>
  </si>
  <si>
    <t>XÃ MẪU SƠN (02NGƯỜI)</t>
  </si>
  <si>
    <t>Hoàng Thị Thảo</t>
  </si>
  <si>
    <t>Đại học quản lý đất đai</t>
  </si>
  <si>
    <t>Lý Văn Hoạch</t>
  </si>
  <si>
    <t>Trung cấp quân sự cơ sở</t>
  </si>
  <si>
    <t>Phó chỉ huy trưởng Ban chỉ huy quân sự xã</t>
  </si>
  <si>
    <t>XÃ CAI KINH (04 NGƯỜI)</t>
  </si>
  <si>
    <t>Nông Quốc Bảo</t>
  </si>
  <si>
    <t>Chánh Văn phòng HĐND và UBND</t>
  </si>
  <si>
    <t xml:space="preserve">Vi Văn Đa </t>
  </si>
  <si>
    <t>Phùng Duy Hưng</t>
  </si>
  <si>
    <t>Hoàng Thị Quỳnh Anh</t>
  </si>
  <si>
    <t>Chuyên Viên Phòng Kinh tế</t>
  </si>
  <si>
    <t>XÃ THIỆN TÂN (03 NGƯỜI)</t>
  </si>
  <si>
    <t>Nguyễn Văn Lợi</t>
  </si>
  <si>
    <t>Đại học Lâm nghiệp</t>
  </si>
  <si>
    <t>Lương Khánh Toản</t>
  </si>
  <si>
    <t>Đại học Giáo dục thể chất</t>
  </si>
  <si>
    <t>Trưởng phòng Văn hoá-Xã hội</t>
  </si>
  <si>
    <t>Hoàng Trung Kiên</t>
  </si>
  <si>
    <t>XÃ THỐNG NHẤT (05 NGƯỜI)</t>
  </si>
  <si>
    <t>La Văn Dương</t>
  </si>
  <si>
    <t>Phó trưởng Ban Văn hóa - Xã hội HĐND</t>
  </si>
  <si>
    <t>Lý Văn Thắng</t>
  </si>
  <si>
    <t>Lý Thị Cả</t>
  </si>
  <si>
    <t>Lý Văn Nam</t>
  </si>
  <si>
    <t>Hoàng Văn Tình</t>
  </si>
  <si>
    <t>XÃ TRI LỄ (09 NGƯỜI)</t>
  </si>
  <si>
    <t>Lê Thị Bản</t>
  </si>
  <si>
    <t>Chuyên viên  Văn phòng HĐND&amp;UBND</t>
  </si>
  <si>
    <t>Bế Mạnh Hùng</t>
  </si>
  <si>
    <t>01/04/2038</t>
  </si>
  <si>
    <t>Hoàng Văn Đừng</t>
  </si>
  <si>
    <t>Phó Chỉ huy trưởng Ban Chỉ huy Quân sự</t>
  </si>
  <si>
    <t>Liễu Minh Tuấn</t>
  </si>
  <si>
    <t>Hà Quang Thành</t>
  </si>
  <si>
    <t>Hoàng Thị Thắm</t>
  </si>
  <si>
    <t>Hoàng Minh Tuấn</t>
  </si>
  <si>
    <t>Phương Văn Nam</t>
  </si>
  <si>
    <t>Kim Văn Khỏe</t>
  </si>
  <si>
    <t>Phó Trưởng Ban Văn hoá-Xã hội</t>
  </si>
  <si>
    <t>PHƯỜNG TAM THANH (03 NGƯỜI)</t>
  </si>
  <si>
    <t>Cù Chí Thanh</t>
  </si>
  <si>
    <t>10/10/1972</t>
  </si>
  <si>
    <t>01/11/2034</t>
  </si>
  <si>
    <t>Nguyễn Hồng Khanh</t>
  </si>
  <si>
    <t>18/10/1973</t>
  </si>
  <si>
    <t>Đại học chuyên ngành Bảo tồn Bảo tàng</t>
  </si>
  <si>
    <t>01/11/2035</t>
  </si>
  <si>
    <t>Vũ Thị Lan</t>
  </si>
  <si>
    <t>05/06/1978</t>
  </si>
  <si>
    <t>01/07/2038</t>
  </si>
  <si>
    <t>PHƯỜNG ĐÔNG KINH (10 NGƯỜI)</t>
  </si>
  <si>
    <t>Nguyễn Bá Bảng</t>
  </si>
  <si>
    <t xml:space="preserve"> 16/12/1972</t>
  </si>
  <si>
    <t>Đại học - Quản lý đất đai</t>
  </si>
  <si>
    <t>Phó Giám đốc Trung tâm PVHCC</t>
  </si>
  <si>
    <t>Hoàng Công Thu</t>
  </si>
  <si>
    <t>ĐH Thương mại</t>
  </si>
  <si>
    <t>Chuyên viên HĐND</t>
  </si>
  <si>
    <t>Nguyễn Khắc Đạo</t>
  </si>
  <si>
    <t>HĐLĐ tại Trung tâm dịch vụ công ích</t>
  </si>
  <si>
    <t>Hoàng Hữu Lực</t>
  </si>
  <si>
    <t>Đại học - Quản lý văn hóa</t>
  </si>
  <si>
    <t>Chuyên viên phòng VHXH</t>
  </si>
  <si>
    <t>Đại học - Công tác xã hội</t>
  </si>
  <si>
    <t>Đổng Hùng Dũng</t>
  </si>
  <si>
    <t>Chuyên viên phòng KTHT và ĐT</t>
  </si>
  <si>
    <t>Nguyễn Thị Nga</t>
  </si>
  <si>
    <t>Trung cấp - Kế toán</t>
  </si>
  <si>
    <t>Vương Bằng</t>
  </si>
  <si>
    <t>Đại học - kế toán</t>
  </si>
  <si>
    <t>Đỗ Đức Đông</t>
  </si>
  <si>
    <t xml:space="preserve">HĐLĐ tại Trung tâm dịch vụ công ích </t>
  </si>
  <si>
    <t xml:space="preserve">Hoàng Thị Về </t>
  </si>
  <si>
    <t>Đại học - Luật Kinh tế</t>
  </si>
  <si>
    <t>PHƯỜNG LƯƠNG VĂN TRI (04 NGƯỜI)</t>
  </si>
  <si>
    <t>Nguyễn Bá Khoa</t>
  </si>
  <si>
    <t>Kỹ sư Quản lý đất đai; Cử nhân Kinh tế chính trị</t>
  </si>
  <si>
    <t>Nguyễn Thị Phượng</t>
  </si>
  <si>
    <t>Đại học ngành Quản lý đất đai</t>
  </si>
  <si>
    <t>Chuyên viên phòng Kinh tế Hạ tầng và Đô thị</t>
  </si>
  <si>
    <t>Chu Đức Phương</t>
  </si>
  <si>
    <t>Đại học ngành Luật kinh tế</t>
  </si>
  <si>
    <t>Nguyễn Thúy Bắc</t>
  </si>
  <si>
    <t>Đại học Sư phạm ngoại ngữ Hà Nội</t>
  </si>
  <si>
    <t>Chuyên viên phòng Văn hóa- Xã hội</t>
  </si>
  <si>
    <t>Phụ lục 03</t>
  </si>
  <si>
    <t>Phụ lục 04</t>
  </si>
  <si>
    <t>Tổng</t>
  </si>
  <si>
    <t>KHỐI XÃ</t>
  </si>
  <si>
    <t>Sở Khoa học và Công nghệ</t>
  </si>
  <si>
    <t>Sở Tư pháp</t>
  </si>
  <si>
    <t>Sở Y tế</t>
  </si>
  <si>
    <t>Thanh tra tỉnh</t>
  </si>
  <si>
    <t>Sở Tài chính</t>
  </si>
  <si>
    <t>Trung tâm Phát triển quỹ đất</t>
  </si>
  <si>
    <t>Hội Chữ thập đỏ tỉnh</t>
  </si>
  <si>
    <t>Hội Văn học, Nghệ thuật và Nhà báo</t>
  </si>
  <si>
    <t>Xã Thất Khê</t>
  </si>
  <si>
    <t>Xã Đoàn Kết</t>
  </si>
  <si>
    <t>Xã Tân Tiến</t>
  </si>
  <si>
    <t>Xã Tràng Định</t>
  </si>
  <si>
    <t>Xã Quốc Khánh</t>
  </si>
  <si>
    <t>Xã Kháng Chiến</t>
  </si>
  <si>
    <t>Xã Quốc Việt</t>
  </si>
  <si>
    <t>Xã Na Sầm</t>
  </si>
  <si>
    <t>Xã Thuỵ Hùng</t>
  </si>
  <si>
    <t>Xã Văn Lãng</t>
  </si>
  <si>
    <t>Xã Hội Hoan</t>
  </si>
  <si>
    <t>Xã Đồng Đăng</t>
  </si>
  <si>
    <t>Xã Cao Lộc</t>
  </si>
  <si>
    <t>Xã Công Sơn</t>
  </si>
  <si>
    <t>Xã Ba Sơn</t>
  </si>
  <si>
    <t>Xã Bắc Sơn</t>
  </si>
  <si>
    <t>Xã Hưng Vũ</t>
  </si>
  <si>
    <t>Xã Nhất Hoà</t>
  </si>
  <si>
    <t>Xã Tân Tri</t>
  </si>
  <si>
    <t>Xã Bình Gia</t>
  </si>
  <si>
    <t>Xã Tân Văn</t>
  </si>
  <si>
    <t>Xã Hồng Phong</t>
  </si>
  <si>
    <t>Xã Hoa Thám</t>
  </si>
  <si>
    <t>Xã Thiện Thuật</t>
  </si>
  <si>
    <t>Xã Quý Hoà</t>
  </si>
  <si>
    <t>Xã Vũ Lễ</t>
  </si>
  <si>
    <t>Xã Vũ Lăng</t>
  </si>
  <si>
    <t>Xã Hoàng Văn Thụ</t>
  </si>
  <si>
    <t>Xã Thiện Long</t>
  </si>
  <si>
    <t>Xã Văn Quan</t>
  </si>
  <si>
    <t>Xã Thiện Hoà</t>
  </si>
  <si>
    <t>Xã Na Dương</t>
  </si>
  <si>
    <t>Xã Khuất Xá</t>
  </si>
  <si>
    <t>Xã Kiên Mộc</t>
  </si>
  <si>
    <t>Xã Đình Lập</t>
  </si>
  <si>
    <t>Xã Thái Bình</t>
  </si>
  <si>
    <t>Xã Châu Sơn</t>
  </si>
  <si>
    <t>Xã Chi Lăng</t>
  </si>
  <si>
    <t>Xã Điềm He</t>
  </si>
  <si>
    <t>Xã Yên Phúc</t>
  </si>
  <si>
    <t>Xã Tân Đoàn</t>
  </si>
  <si>
    <t>Xã Khánh Khê</t>
  </si>
  <si>
    <t>Xã Lộc Bình</t>
  </si>
  <si>
    <t>Xã Xuân Dương</t>
  </si>
  <si>
    <t>Xã Lợi Bác</t>
  </si>
  <si>
    <t>Xã Nhân Lý</t>
  </si>
  <si>
    <t>Xã Chiến Thắng</t>
  </si>
  <si>
    <t>Xã Quan Sơn</t>
  </si>
  <si>
    <t>Xã Bằng Mạc</t>
  </si>
  <si>
    <t>Xã Hữu Lũng</t>
  </si>
  <si>
    <t>Xã Tuấn Sơn</t>
  </si>
  <si>
    <t>Xã Yên Bình</t>
  </si>
  <si>
    <t>Xã Vân Nham</t>
  </si>
  <si>
    <t>Xã Hữu Liên</t>
  </si>
  <si>
    <t>Xã Vạn Linh</t>
  </si>
  <si>
    <t>Xã Tân Thành</t>
  </si>
  <si>
    <t>Phường Kỳ Lừa</t>
  </si>
  <si>
    <t>Xã Mẫu Sơn</t>
  </si>
  <si>
    <t>Xã Cai Kinh</t>
  </si>
  <si>
    <t>Xã Thiện Tân</t>
  </si>
  <si>
    <t>Xã Thống Nhất</t>
  </si>
  <si>
    <t>Xã Tri Lễ</t>
  </si>
  <si>
    <t>Phường Tam Thanh</t>
  </si>
  <si>
    <t>Phường Đông Kinh</t>
  </si>
  <si>
    <t>Phường Lương Văn Tri</t>
  </si>
  <si>
    <t>Phụ lục 05</t>
  </si>
  <si>
    <t>Văn phòng Đoàn ĐBQH và HĐND tỉnh</t>
  </si>
  <si>
    <t>Dự toán kinh phí được hưởng theo Nghị định số 177/2024/NĐ-CP</t>
  </si>
  <si>
    <t>Nghỉ công tác chờ đủ tuổi nghỉ hưu (làm tròn số)</t>
  </si>
  <si>
    <t>Tên cơ quan, đơn vị/xã,phường</t>
  </si>
  <si>
    <t>Danh sách gồm có 02 người./.</t>
  </si>
  <si>
    <t>2=3+4</t>
  </si>
  <si>
    <t>8=9</t>
  </si>
  <si>
    <t>1=2+5+8</t>
  </si>
  <si>
    <t>Dự toán kinh phí được hưởng theo Nghị định số 178/2024/NĐ-CP (sửa đổi, bổ sung tại Nghị định số 67/2025/NĐ-CP)</t>
  </si>
  <si>
    <t>BIỂU DỰ TOÁN KINH PHÍ THỰC HIỆN CHÍNH SÁCH, CHẾ ĐỘ  
THEO NGHỊ ĐỊNH SỐ 178/2024/NĐ-CP (SỬA ĐỔI, BỔ SUNG TẠI NGHỊ ĐỊNH SỐ 67/2025/NĐ-CP)
(Thời điểm nghỉ từ ngày 01/9/2025) - KHỐI TỈNH</t>
  </si>
  <si>
    <t xml:space="preserve">BIỂU DỰ TOÁN KINH PHÍ THỰC HIỆN CHÍNH SÁCH, CHẾ ĐỘ  
THEO NGHỊ ĐỊNH SỐ 178/2024/NĐ-CP (SỬA ĐỔI, BỔ SUNG TẠI NGHỊ ĐỊNH SỐ 67/2025/NĐ-CP)
(Thời điểm nghỉ từ ngày 01/9/2025) - KHỐI XÃ
</t>
  </si>
  <si>
    <t>Dự toán kinh phí được hưởng theo Nghị định số 178/2024/NĐ-CP, (sửa đổi, bổ sung tại Nghị định số 67/2025/NĐ-CP)</t>
  </si>
  <si>
    <t>BIỂU DỰ TOÁN KINH PHÍ THỰC HIỆN CHÍNH SÁCH, CHẾ ĐỘ  THEO NGHỊ ĐỊNH SỐ 177/2024/NĐ-CP
(Thời điểm nghỉ từ ngày 01/9/2025)</t>
  </si>
  <si>
    <t>Đơn vị tính: nghìn đồng</t>
  </si>
  <si>
    <t>9=10+11</t>
  </si>
  <si>
    <t>12=5+9</t>
  </si>
  <si>
    <t>7=5+6</t>
  </si>
  <si>
    <t>Kinh phí thực hiện Nghị định số 154/2025/NĐ-CP</t>
  </si>
  <si>
    <t>Kinh phí thực hiện Nghị định số 177/2024/NĐ-CP</t>
  </si>
  <si>
    <t>Kinh phí thực hiện Nghị định số 178/2024/NĐ-CP (sửa đổi, bổ sung tại Nghị định số 67/2025/NĐ-CP)</t>
  </si>
  <si>
    <t>BIỂU TỔNG HỢP DỰ TOÁN KINH PHÍ THỰC HIỆN CHẾ ĐỘ, CHÍNH SÁCH THEO NGHỊ ĐỊNH SỐ 177/2024/NĐ-CP, NGHỊ ĐỊNH SỐ 178/2024/NĐ-CP (ĐƯỢC SỬA ĐỔI, BỔ SUNG TẠI NGHỊ ĐỊNH SỐ 67/2025/NĐ-CP) VÀ NGHỊ ĐỊNH SỐ 154/2025/NĐ-CP CỦA CHÍNH PHỦ
(Thời điểm nghỉ từ ngày 01/9/2025)</t>
  </si>
  <si>
    <t>( Kèm theo  Quyết định  số  1920/QĐ-UBND ngày 29 tháng 8 năm 2025 của Chủ tịch UBND tỉnh)</t>
  </si>
  <si>
    <t>( Kèm theo  Quyết định  số 1920/QĐ-UBND ngày 29 tháng 8 năm 2025 của Chủ tịch UBND tỉnh)</t>
  </si>
  <si>
    <t>Danh sách bao gồm 319 người./.</t>
  </si>
  <si>
    <t>Danh sách bao gồm 72 người./.</t>
  </si>
  <si>
    <r>
      <t xml:space="preserve">( Kèm theo  Quyết định  số  1920/QĐ-UBND ngày 29 tháng 8 năm 2025 của </t>
    </r>
    <r>
      <rPr>
        <i/>
        <sz val="13"/>
        <rFont val="Times New Roman"/>
        <family val="1"/>
      </rPr>
      <t>Chủ tịch UBND tỉnh)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</si>
</sst>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3" formatCode="_(* #,##0.00_);_(* \(#,##0.00\);_(* &quot;-&quot;??_);_(@_)"/>
    <numFmt numFmtId="164" formatCode="_-* #,##0.00\ _₫_-;\-* #,##0.00\ _₫_-;_-* &quot;-&quot;??\ _₫_-;_-@_-"/>
    <numFmt numFmtId="165" formatCode="_(* #,##0_);_(* \(#,##0\);_(* &quot;-&quot;??_);_(@_)"/>
    <numFmt numFmtId="166" formatCode="_(* #,##0.0_);_(* \(#,##0.0\);_(* &quot;-&quot;??_);_(@_)"/>
    <numFmt numFmtId="167" formatCode="_-* #,##0\ _₫_-;\-* #,##0\ _₫_-;_-* &quot;-&quot;??\ _₫_-;_-@_-"/>
    <numFmt numFmtId="168" formatCode="_-* #,##0.000\ _₫_-;\-* #,##0.000\ _₫_-;_-* &quot;-&quot;??\ _₫_-;_-@_-"/>
    <numFmt numFmtId="169" formatCode="0.0"/>
    <numFmt numFmtId="170" formatCode="mm/yyyy"/>
    <numFmt numFmtId="171" formatCode="#,##0.0"/>
    <numFmt numFmtId="172" formatCode="dd/mm/yyyy;@"/>
    <numFmt numFmtId="173" formatCode="_(* #,##0.0_);_(* \(#,##0.0\);_(* &quot;-&quot;?_);_(@_)"/>
    <numFmt numFmtId="174" formatCode="_-* #,##0.0\ _₫_-;\-* #,##0.0\ _₫_-;_-* &quot;-&quot;??\ _₫_-;_-@_-"/>
    <numFmt numFmtId="175" formatCode="#,##0.000"/>
    <numFmt numFmtId="176" formatCode="#,##0.000_);\(#,##0.000\)"/>
    <numFmt numFmtId="177" formatCode="_-* #,##0\ _₫_-;\-* #,##0\ _₫_-;_-* &quot;-&quot;?\ _₫_-;_-@_-"/>
    <numFmt numFmtId="178" formatCode="0.0;[Red]0.0"/>
    <numFmt numFmtId="179" formatCode="_-* #,##0.00\ _₫_-;\-* #,##0.00\ _₫_-;_-* &quot;-&quot;?\ _₫_-;_-@_-"/>
    <numFmt numFmtId="180" formatCode="0.00;[Red]0.00"/>
  </numFmts>
  <fonts count="59" x14ac:knownFonts="1">
    <font>
      <sz val="11"/>
      <color theme="1"/>
      <name val="Times New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2"/>
      <color theme="1"/>
      <name val="Times New Roman"/>
      <family val="2"/>
    </font>
    <font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  <charset val="163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2"/>
      <name val=".VnTime"/>
      <family val="2"/>
    </font>
    <font>
      <b/>
      <sz val="12"/>
      <name val="Times New Roman"/>
      <family val="1"/>
    </font>
    <font>
      <i/>
      <sz val="12"/>
      <name val="Times New Roman"/>
      <family val="1"/>
    </font>
    <font>
      <sz val="11"/>
      <color theme="1"/>
      <name val="Calibri"/>
      <family val="2"/>
      <charset val="163"/>
      <scheme val="minor"/>
    </font>
    <font>
      <sz val="14"/>
      <color indexed="8"/>
      <name val="Times New Roman"/>
      <family val="2"/>
    </font>
    <font>
      <sz val="10"/>
      <name val=".VnTime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i/>
      <sz val="12"/>
      <name val="Times New Roman"/>
      <family val="1"/>
    </font>
    <font>
      <sz val="12"/>
      <color rgb="FF7030A0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i/>
      <sz val="13"/>
      <name val="Times New Roman"/>
      <family val="1"/>
    </font>
    <font>
      <b/>
      <sz val="10"/>
      <name val="Times New Roman"/>
      <family val="1"/>
    </font>
    <font>
      <sz val="16"/>
      <name val="Times New Roman"/>
      <family val="1"/>
    </font>
    <font>
      <b/>
      <sz val="9"/>
      <name val="Times New Roman"/>
      <family val="1"/>
    </font>
    <font>
      <sz val="13"/>
      <name val="Times New Roman"/>
      <family val="1"/>
    </font>
    <font>
      <i/>
      <sz val="10"/>
      <name val="Times New Roman"/>
      <family val="1"/>
    </font>
    <font>
      <sz val="9"/>
      <name val="Times New Roman"/>
      <family val="1"/>
    </font>
    <font>
      <b/>
      <i/>
      <sz val="10"/>
      <name val="Times New Roman"/>
      <family val="1"/>
    </font>
    <font>
      <b/>
      <i/>
      <sz val="11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  <font>
      <i/>
      <sz val="8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name val="Times New Roman"/>
      <family val="1"/>
      <charset val="163"/>
    </font>
    <font>
      <sz val="11"/>
      <name val="Times New Roman"/>
      <family val="2"/>
      <charset val="163"/>
    </font>
    <font>
      <b/>
      <sz val="14"/>
      <name val="Times New Roman"/>
      <family val="1"/>
      <charset val="163"/>
    </font>
    <font>
      <i/>
      <sz val="13"/>
      <name val="Times New Roman"/>
      <family val="1"/>
      <charset val="163"/>
    </font>
    <font>
      <b/>
      <sz val="10"/>
      <name val="Arial"/>
      <family val="2"/>
      <charset val="163"/>
    </font>
    <font>
      <i/>
      <sz val="11"/>
      <name val="Times New Roman"/>
      <family val="1"/>
      <charset val="163"/>
    </font>
    <font>
      <sz val="12"/>
      <name val="Arial"/>
      <family val="2"/>
      <charset val="163"/>
    </font>
    <font>
      <sz val="12"/>
      <name val="Times New Roman"/>
      <family val="1"/>
      <charset val="163"/>
    </font>
    <font>
      <sz val="11"/>
      <name val="Times New Roman"/>
      <family val="1"/>
      <charset val="163"/>
    </font>
    <font>
      <sz val="1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68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6" fillId="0" borderId="0"/>
    <xf numFmtId="9" fontId="10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11" fillId="0" borderId="0"/>
    <xf numFmtId="0" fontId="11" fillId="0" borderId="0"/>
    <xf numFmtId="0" fontId="6" fillId="0" borderId="0"/>
    <xf numFmtId="9" fontId="12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3" fillId="0" borderId="0"/>
    <xf numFmtId="0" fontId="6" fillId="0" borderId="0"/>
    <xf numFmtId="9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13" fillId="0" borderId="0"/>
    <xf numFmtId="0" fontId="10" fillId="0" borderId="0"/>
    <xf numFmtId="43" fontId="10" fillId="0" borderId="0" applyFont="0" applyFill="0" applyBorder="0" applyAlignment="0" applyProtection="0"/>
    <xf numFmtId="0" fontId="6" fillId="0" borderId="0"/>
    <xf numFmtId="164" fontId="3" fillId="0" borderId="0" applyFont="0" applyFill="0" applyBorder="0" applyAlignment="0" applyProtection="0"/>
    <xf numFmtId="0" fontId="6" fillId="0" borderId="0"/>
    <xf numFmtId="0" fontId="15" fillId="0" borderId="0"/>
    <xf numFmtId="0" fontId="2" fillId="0" borderId="0"/>
    <xf numFmtId="0" fontId="1" fillId="0" borderId="0"/>
    <xf numFmtId="0" fontId="14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6" fillId="0" borderId="0"/>
    <xf numFmtId="0" fontId="18" fillId="0" borderId="0"/>
    <xf numFmtId="0" fontId="18" fillId="0" borderId="0"/>
    <xf numFmtId="0" fontId="3" fillId="0" borderId="0"/>
  </cellStyleXfs>
  <cellXfs count="625">
    <xf numFmtId="0" fontId="0" fillId="0" borderId="0" xfId="0"/>
    <xf numFmtId="14" fontId="14" fillId="0" borderId="13" xfId="63" applyNumberFormat="1" applyFont="1" applyBorder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0" fontId="17" fillId="2" borderId="0" xfId="0" applyFont="1" applyFill="1" applyAlignment="1">
      <alignment horizontal="center" vertical="center" wrapText="1"/>
    </xf>
    <xf numFmtId="170" fontId="17" fillId="2" borderId="0" xfId="0" applyNumberFormat="1" applyFont="1" applyFill="1" applyAlignment="1">
      <alignment horizontal="center" vertical="center" wrapText="1"/>
    </xf>
    <xf numFmtId="4" fontId="17" fillId="2" borderId="0" xfId="0" applyNumberFormat="1" applyFont="1" applyFill="1" applyAlignment="1">
      <alignment horizontal="center" vertical="center" wrapText="1"/>
    </xf>
    <xf numFmtId="3" fontId="17" fillId="2" borderId="0" xfId="0" applyNumberFormat="1" applyFont="1" applyFill="1" applyAlignment="1">
      <alignment horizontal="center" vertical="center" wrapText="1"/>
    </xf>
    <xf numFmtId="3" fontId="27" fillId="2" borderId="0" xfId="0" applyNumberFormat="1" applyFont="1" applyFill="1" applyAlignment="1">
      <alignment horizontal="center" vertical="center" wrapText="1"/>
    </xf>
    <xf numFmtId="0" fontId="28" fillId="2" borderId="2" xfId="19" applyFont="1" applyFill="1" applyBorder="1" applyAlignment="1">
      <alignment horizontal="center" vertical="center" wrapText="1"/>
    </xf>
    <xf numFmtId="4" fontId="28" fillId="2" borderId="2" xfId="19" applyNumberFormat="1" applyFont="1" applyFill="1" applyBorder="1" applyAlignment="1">
      <alignment horizontal="center" vertical="center" wrapText="1"/>
    </xf>
    <xf numFmtId="3" fontId="28" fillId="2" borderId="2" xfId="19" applyNumberFormat="1" applyFont="1" applyFill="1" applyBorder="1" applyAlignment="1">
      <alignment horizontal="center" vertical="center" wrapText="1"/>
    </xf>
    <xf numFmtId="1" fontId="28" fillId="2" borderId="2" xfId="19" applyNumberFormat="1" applyFont="1" applyFill="1" applyBorder="1" applyAlignment="1">
      <alignment horizontal="center" vertical="center" wrapText="1"/>
    </xf>
    <xf numFmtId="0" fontId="29" fillId="2" borderId="2" xfId="19" applyFont="1" applyFill="1" applyBorder="1" applyAlignment="1">
      <alignment horizontal="center" textRotation="90" wrapText="1"/>
    </xf>
    <xf numFmtId="49" fontId="29" fillId="2" borderId="2" xfId="19" applyNumberFormat="1" applyFont="1" applyFill="1" applyBorder="1" applyAlignment="1">
      <alignment horizontal="center" textRotation="90" wrapText="1"/>
    </xf>
    <xf numFmtId="1" fontId="29" fillId="2" borderId="2" xfId="19" applyNumberFormat="1" applyFont="1" applyFill="1" applyBorder="1" applyAlignment="1">
      <alignment horizontal="center" vertical="center" wrapText="1"/>
    </xf>
    <xf numFmtId="171" fontId="29" fillId="2" borderId="2" xfId="19" applyNumberFormat="1" applyFont="1" applyFill="1" applyBorder="1" applyAlignment="1">
      <alignment horizontal="center" vertical="center" wrapText="1"/>
    </xf>
    <xf numFmtId="0" fontId="28" fillId="2" borderId="13" xfId="19" applyFont="1" applyFill="1" applyBorder="1" applyAlignment="1">
      <alignment horizontal="center" vertical="center" wrapText="1"/>
    </xf>
    <xf numFmtId="3" fontId="28" fillId="2" borderId="13" xfId="19" applyNumberFormat="1" applyFont="1" applyFill="1" applyBorder="1" applyAlignment="1">
      <alignment horizontal="center" vertical="center" wrapText="1"/>
    </xf>
    <xf numFmtId="49" fontId="28" fillId="2" borderId="13" xfId="19" applyNumberFormat="1" applyFont="1" applyFill="1" applyBorder="1" applyAlignment="1">
      <alignment horizontal="center" vertical="center" wrapText="1"/>
    </xf>
    <xf numFmtId="3" fontId="28" fillId="2" borderId="13" xfId="8" applyNumberFormat="1" applyFont="1" applyFill="1" applyBorder="1" applyAlignment="1">
      <alignment horizontal="center" vertical="center" wrapText="1"/>
    </xf>
    <xf numFmtId="172" fontId="28" fillId="2" borderId="13" xfId="8" applyNumberFormat="1" applyFont="1" applyFill="1" applyBorder="1" applyAlignment="1">
      <alignment horizontal="center" vertical="center" wrapText="1"/>
    </xf>
    <xf numFmtId="1" fontId="28" fillId="2" borderId="13" xfId="19" applyNumberFormat="1" applyFont="1" applyFill="1" applyBorder="1" applyAlignment="1">
      <alignment horizontal="center" vertical="center" wrapText="1"/>
    </xf>
    <xf numFmtId="171" fontId="28" fillId="2" borderId="13" xfId="19" applyNumberFormat="1" applyFont="1" applyFill="1" applyBorder="1" applyAlignment="1">
      <alignment horizontal="center" vertical="center" wrapText="1"/>
    </xf>
    <xf numFmtId="172" fontId="28" fillId="2" borderId="13" xfId="19" quotePrefix="1" applyNumberFormat="1" applyFont="1" applyFill="1" applyBorder="1" applyAlignment="1">
      <alignment horizontal="center" vertical="center" wrapText="1"/>
    </xf>
    <xf numFmtId="1" fontId="28" fillId="2" borderId="13" xfId="19" quotePrefix="1" applyNumberFormat="1" applyFont="1" applyFill="1" applyBorder="1" applyAlignment="1">
      <alignment horizontal="center" vertical="center" wrapText="1"/>
    </xf>
    <xf numFmtId="4" fontId="28" fillId="2" borderId="13" xfId="19" applyNumberFormat="1" applyFont="1" applyFill="1" applyBorder="1" applyAlignment="1">
      <alignment horizontal="right" vertical="center" wrapText="1"/>
    </xf>
    <xf numFmtId="49" fontId="14" fillId="0" borderId="13" xfId="0" applyNumberFormat="1" applyFont="1" applyBorder="1" applyAlignment="1">
      <alignment horizontal="left" vertical="center" wrapText="1"/>
    </xf>
    <xf numFmtId="49" fontId="14" fillId="0" borderId="13" xfId="0" quotePrefix="1" applyNumberFormat="1" applyFont="1" applyBorder="1" applyAlignment="1">
      <alignment horizontal="center" vertical="center" wrapText="1"/>
    </xf>
    <xf numFmtId="3" fontId="29" fillId="0" borderId="13" xfId="56" applyNumberFormat="1" applyFont="1" applyBorder="1" applyAlignment="1">
      <alignment vertical="center" wrapText="1"/>
    </xf>
    <xf numFmtId="1" fontId="29" fillId="0" borderId="13" xfId="56" applyNumberFormat="1" applyFont="1" applyBorder="1" applyAlignment="1">
      <alignment vertical="center" wrapText="1"/>
    </xf>
    <xf numFmtId="170" fontId="29" fillId="0" borderId="13" xfId="56" quotePrefix="1" applyNumberFormat="1" applyFont="1" applyBorder="1" applyAlignment="1">
      <alignment vertical="center" wrapText="1"/>
    </xf>
    <xf numFmtId="4" fontId="29" fillId="0" borderId="13" xfId="56" applyNumberFormat="1" applyFont="1" applyBorder="1" applyAlignment="1">
      <alignment vertical="center" wrapText="1"/>
    </xf>
    <xf numFmtId="171" fontId="29" fillId="0" borderId="13" xfId="56" applyNumberFormat="1" applyFont="1" applyBorder="1" applyAlignment="1">
      <alignment horizontal="center" vertical="center" wrapText="1"/>
    </xf>
    <xf numFmtId="49" fontId="29" fillId="0" borderId="13" xfId="0" applyNumberFormat="1" applyFont="1" applyBorder="1" applyAlignment="1">
      <alignment horizontal="center" vertical="center" wrapText="1"/>
    </xf>
    <xf numFmtId="2" fontId="29" fillId="0" borderId="13" xfId="56" applyNumberFormat="1" applyFont="1" applyBorder="1" applyAlignment="1">
      <alignment horizontal="center" vertical="center" wrapText="1"/>
    </xf>
    <xf numFmtId="49" fontId="29" fillId="0" borderId="13" xfId="56" applyNumberFormat="1" applyFont="1" applyBorder="1" applyAlignment="1">
      <alignment horizontal="center" vertical="center" wrapText="1"/>
    </xf>
    <xf numFmtId="9" fontId="29" fillId="0" borderId="13" xfId="19" applyNumberFormat="1" applyFont="1" applyBorder="1" applyAlignment="1">
      <alignment horizontal="center" vertical="center" wrapText="1"/>
    </xf>
    <xf numFmtId="2" fontId="29" fillId="0" borderId="13" xfId="19" quotePrefix="1" applyNumberFormat="1" applyFont="1" applyBorder="1" applyAlignment="1">
      <alignment horizontal="center" vertical="center" wrapText="1"/>
    </xf>
    <xf numFmtId="0" fontId="29" fillId="0" borderId="13" xfId="19" applyFont="1" applyBorder="1" applyAlignment="1">
      <alignment horizontal="center" vertical="center" wrapText="1"/>
    </xf>
    <xf numFmtId="3" fontId="29" fillId="0" borderId="13" xfId="19" applyNumberFormat="1" applyFont="1" applyBorder="1" applyAlignment="1">
      <alignment horizontal="center" vertical="center" wrapText="1"/>
    </xf>
    <xf numFmtId="172" fontId="29" fillId="0" borderId="13" xfId="19" applyNumberFormat="1" applyFont="1" applyBorder="1" applyAlignment="1">
      <alignment horizontal="center" vertical="center" wrapText="1"/>
    </xf>
    <xf numFmtId="4" fontId="29" fillId="0" borderId="13" xfId="0" applyNumberFormat="1" applyFont="1" applyBorder="1" applyAlignment="1">
      <alignment horizontal="right" vertical="center"/>
    </xf>
    <xf numFmtId="0" fontId="30" fillId="0" borderId="0" xfId="0" applyFont="1"/>
    <xf numFmtId="2" fontId="28" fillId="0" borderId="13" xfId="56" applyNumberFormat="1" applyFont="1" applyBorder="1" applyAlignment="1">
      <alignment horizontal="center" vertical="center" wrapText="1"/>
    </xf>
    <xf numFmtId="49" fontId="28" fillId="0" borderId="13" xfId="56" applyNumberFormat="1" applyFont="1" applyBorder="1" applyAlignment="1">
      <alignment horizontal="center" vertical="center" wrapText="1"/>
    </xf>
    <xf numFmtId="9" fontId="28" fillId="0" borderId="13" xfId="19" applyNumberFormat="1" applyFont="1" applyBorder="1" applyAlignment="1">
      <alignment horizontal="center" vertical="center" wrapText="1"/>
    </xf>
    <xf numFmtId="2" fontId="28" fillId="0" borderId="13" xfId="19" quotePrefix="1" applyNumberFormat="1" applyFont="1" applyBorder="1" applyAlignment="1">
      <alignment horizontal="center" vertical="center" wrapText="1"/>
    </xf>
    <xf numFmtId="0" fontId="28" fillId="0" borderId="13" xfId="19" applyFont="1" applyBorder="1" applyAlignment="1">
      <alignment horizontal="center" vertical="center" wrapText="1"/>
    </xf>
    <xf numFmtId="3" fontId="28" fillId="0" borderId="13" xfId="19" applyNumberFormat="1" applyFont="1" applyBorder="1" applyAlignment="1">
      <alignment horizontal="center" vertical="center" wrapText="1"/>
    </xf>
    <xf numFmtId="172" fontId="28" fillId="0" borderId="13" xfId="19" applyNumberFormat="1" applyFont="1" applyBorder="1" applyAlignment="1">
      <alignment horizontal="center" vertical="center" wrapText="1"/>
    </xf>
    <xf numFmtId="0" fontId="31" fillId="0" borderId="0" xfId="0" applyFont="1"/>
    <xf numFmtId="0" fontId="29" fillId="2" borderId="14" xfId="56" applyFont="1" applyFill="1" applyBorder="1" applyAlignment="1">
      <alignment horizontal="center" vertical="center" wrapText="1"/>
    </xf>
    <xf numFmtId="0" fontId="29" fillId="2" borderId="14" xfId="56" applyFont="1" applyFill="1" applyBorder="1" applyAlignment="1">
      <alignment vertical="center" wrapText="1"/>
    </xf>
    <xf numFmtId="172" fontId="29" fillId="2" borderId="14" xfId="56" quotePrefix="1" applyNumberFormat="1" applyFont="1" applyFill="1" applyBorder="1" applyAlignment="1">
      <alignment horizontal="center" vertical="center" wrapText="1"/>
    </xf>
    <xf numFmtId="3" fontId="29" fillId="2" borderId="14" xfId="56" applyNumberFormat="1" applyFont="1" applyFill="1" applyBorder="1" applyAlignment="1">
      <alignment vertical="center" wrapText="1"/>
    </xf>
    <xf numFmtId="1" fontId="29" fillId="2" borderId="14" xfId="56" applyNumberFormat="1" applyFont="1" applyFill="1" applyBorder="1" applyAlignment="1">
      <alignment vertical="center" wrapText="1"/>
    </xf>
    <xf numFmtId="170" fontId="29" fillId="2" borderId="14" xfId="56" quotePrefix="1" applyNumberFormat="1" applyFont="1" applyFill="1" applyBorder="1" applyAlignment="1">
      <alignment vertical="center" wrapText="1"/>
    </xf>
    <xf numFmtId="4" fontId="29" fillId="2" borderId="14" xfId="56" applyNumberFormat="1" applyFont="1" applyFill="1" applyBorder="1" applyAlignment="1">
      <alignment vertical="center" wrapText="1"/>
    </xf>
    <xf numFmtId="171" fontId="29" fillId="2" borderId="14" xfId="56" applyNumberFormat="1" applyFont="1" applyFill="1" applyBorder="1" applyAlignment="1">
      <alignment horizontal="center" vertical="center" wrapText="1"/>
    </xf>
    <xf numFmtId="2" fontId="29" fillId="2" borderId="14" xfId="56" applyNumberFormat="1" applyFont="1" applyFill="1" applyBorder="1" applyAlignment="1">
      <alignment horizontal="center" vertical="center" wrapText="1"/>
    </xf>
    <xf numFmtId="49" fontId="29" fillId="2" borderId="14" xfId="56" applyNumberFormat="1" applyFont="1" applyFill="1" applyBorder="1" applyAlignment="1">
      <alignment horizontal="center" vertical="center" wrapText="1"/>
    </xf>
    <xf numFmtId="9" fontId="29" fillId="2" borderId="14" xfId="19" applyNumberFormat="1" applyFont="1" applyFill="1" applyBorder="1" applyAlignment="1">
      <alignment horizontal="center" vertical="center" wrapText="1"/>
    </xf>
    <xf numFmtId="2" fontId="29" fillId="2" borderId="14" xfId="19" quotePrefix="1" applyNumberFormat="1" applyFont="1" applyFill="1" applyBorder="1" applyAlignment="1">
      <alignment horizontal="center" vertical="center" wrapText="1"/>
    </xf>
    <xf numFmtId="0" fontId="29" fillId="2" borderId="14" xfId="19" applyFont="1" applyFill="1" applyBorder="1" applyAlignment="1">
      <alignment horizontal="center" vertical="center" wrapText="1"/>
    </xf>
    <xf numFmtId="3" fontId="29" fillId="2" borderId="14" xfId="19" applyNumberFormat="1" applyFont="1" applyFill="1" applyBorder="1" applyAlignment="1">
      <alignment horizontal="center" vertical="center" wrapText="1"/>
    </xf>
    <xf numFmtId="172" fontId="29" fillId="2" borderId="14" xfId="19" applyNumberFormat="1" applyFont="1" applyFill="1" applyBorder="1" applyAlignment="1">
      <alignment horizontal="center" vertical="center" wrapText="1"/>
    </xf>
    <xf numFmtId="169" fontId="29" fillId="2" borderId="14" xfId="56" applyNumberFormat="1" applyFont="1" applyFill="1" applyBorder="1" applyAlignment="1">
      <alignment horizontal="center" vertical="center" wrapText="1"/>
    </xf>
    <xf numFmtId="1" fontId="29" fillId="2" borderId="14" xfId="56" applyNumberFormat="1" applyFont="1" applyFill="1" applyBorder="1" applyAlignment="1">
      <alignment horizontal="center" vertical="center" wrapText="1"/>
    </xf>
    <xf numFmtId="3" fontId="29" fillId="2" borderId="14" xfId="56" applyNumberFormat="1" applyFont="1" applyFill="1" applyBorder="1" applyAlignment="1">
      <alignment horizontal="center" vertical="center" wrapText="1"/>
    </xf>
    <xf numFmtId="172" fontId="29" fillId="2" borderId="14" xfId="19" quotePrefix="1" applyNumberFormat="1" applyFont="1" applyFill="1" applyBorder="1" applyAlignment="1">
      <alignment horizontal="center" vertical="center" wrapText="1"/>
    </xf>
    <xf numFmtId="1" fontId="29" fillId="2" borderId="14" xfId="0" applyNumberFormat="1" applyFont="1" applyFill="1" applyBorder="1" applyAlignment="1">
      <alignment horizontal="center" vertical="center" wrapText="1"/>
    </xf>
    <xf numFmtId="3" fontId="29" fillId="2" borderId="14" xfId="8" applyNumberFormat="1" applyFont="1" applyFill="1" applyBorder="1" applyAlignment="1">
      <alignment horizontal="right" vertical="center" wrapText="1"/>
    </xf>
    <xf numFmtId="165" fontId="29" fillId="2" borderId="14" xfId="8" applyNumberFormat="1" applyFont="1" applyFill="1" applyBorder="1" applyAlignment="1">
      <alignment horizontal="right" vertical="center" wrapText="1"/>
    </xf>
    <xf numFmtId="167" fontId="29" fillId="2" borderId="14" xfId="54" applyNumberFormat="1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171" fontId="28" fillId="2" borderId="13" xfId="8" applyNumberFormat="1" applyFont="1" applyFill="1" applyBorder="1" applyAlignment="1">
      <alignment horizontal="right" vertical="center" wrapText="1"/>
    </xf>
    <xf numFmtId="171" fontId="28" fillId="0" borderId="13" xfId="8" applyNumberFormat="1" applyFont="1" applyFill="1" applyBorder="1" applyAlignment="1">
      <alignment horizontal="right" vertical="center" wrapText="1"/>
    </xf>
    <xf numFmtId="171" fontId="29" fillId="0" borderId="14" xfId="8" applyNumberFormat="1" applyFont="1" applyFill="1" applyBorder="1" applyAlignment="1">
      <alignment horizontal="right" vertical="center" wrapText="1"/>
    </xf>
    <xf numFmtId="0" fontId="27" fillId="2" borderId="5" xfId="19" applyFont="1" applyFill="1" applyBorder="1" applyAlignment="1">
      <alignment horizontal="center" vertical="center" wrapText="1"/>
    </xf>
    <xf numFmtId="171" fontId="29" fillId="2" borderId="13" xfId="8" applyNumberFormat="1" applyFont="1" applyFill="1" applyBorder="1" applyAlignment="1">
      <alignment horizontal="right" vertical="center" wrapText="1"/>
    </xf>
    <xf numFmtId="170" fontId="27" fillId="2" borderId="5" xfId="19" applyNumberFormat="1" applyFont="1" applyFill="1" applyBorder="1" applyAlignment="1">
      <alignment horizontal="center" vertical="center" wrapText="1"/>
    </xf>
    <xf numFmtId="4" fontId="27" fillId="2" borderId="5" xfId="19" applyNumberFormat="1" applyFont="1" applyFill="1" applyBorder="1" applyAlignment="1">
      <alignment horizontal="center" vertical="center" wrapText="1"/>
    </xf>
    <xf numFmtId="3" fontId="27" fillId="2" borderId="5" xfId="19" applyNumberFormat="1" applyFont="1" applyFill="1" applyBorder="1" applyAlignment="1">
      <alignment horizontal="center" vertical="center" wrapText="1"/>
    </xf>
    <xf numFmtId="171" fontId="27" fillId="2" borderId="5" xfId="19" quotePrefix="1" applyNumberFormat="1" applyFont="1" applyFill="1" applyBorder="1" applyAlignment="1">
      <alignment horizontal="center" vertical="center" wrapText="1"/>
    </xf>
    <xf numFmtId="0" fontId="27" fillId="2" borderId="3" xfId="19" applyFont="1" applyFill="1" applyBorder="1" applyAlignment="1">
      <alignment horizontal="center" vertical="center" wrapText="1"/>
    </xf>
    <xf numFmtId="0" fontId="27" fillId="2" borderId="12" xfId="19" applyFont="1" applyFill="1" applyBorder="1" applyAlignment="1">
      <alignment horizontal="center" vertical="center" wrapText="1"/>
    </xf>
    <xf numFmtId="0" fontId="28" fillId="2" borderId="12" xfId="19" applyFont="1" applyFill="1" applyBorder="1" applyAlignment="1">
      <alignment horizontal="center" vertical="center" wrapText="1"/>
    </xf>
    <xf numFmtId="170" fontId="27" fillId="2" borderId="12" xfId="19" applyNumberFormat="1" applyFont="1" applyFill="1" applyBorder="1" applyAlignment="1">
      <alignment horizontal="center" vertical="center" wrapText="1"/>
    </xf>
    <xf numFmtId="4" fontId="27" fillId="2" borderId="12" xfId="19" applyNumberFormat="1" applyFont="1" applyFill="1" applyBorder="1" applyAlignment="1">
      <alignment horizontal="center" vertical="center" wrapText="1"/>
    </xf>
    <xf numFmtId="3" fontId="27" fillId="2" borderId="12" xfId="19" applyNumberFormat="1" applyFont="1" applyFill="1" applyBorder="1" applyAlignment="1">
      <alignment horizontal="center" vertical="center" wrapText="1"/>
    </xf>
    <xf numFmtId="171" fontId="27" fillId="2" borderId="12" xfId="19" quotePrefix="1" applyNumberFormat="1" applyFont="1" applyFill="1" applyBorder="1" applyAlignment="1">
      <alignment horizontal="center" vertical="center" wrapText="1"/>
    </xf>
    <xf numFmtId="4" fontId="28" fillId="2" borderId="12" xfId="19" applyNumberFormat="1" applyFont="1" applyFill="1" applyBorder="1" applyAlignment="1">
      <alignment horizontal="right" vertical="center" wrapText="1"/>
    </xf>
    <xf numFmtId="171" fontId="28" fillId="2" borderId="12" xfId="8" applyNumberFormat="1" applyFont="1" applyFill="1" applyBorder="1" applyAlignment="1">
      <alignment horizontal="right" vertical="center" wrapText="1"/>
    </xf>
    <xf numFmtId="0" fontId="29" fillId="0" borderId="13" xfId="56" applyFont="1" applyBorder="1" applyAlignment="1">
      <alignment horizontal="center" vertical="center" wrapText="1"/>
    </xf>
    <xf numFmtId="169" fontId="29" fillId="0" borderId="13" xfId="56" applyNumberFormat="1" applyFont="1" applyBorder="1" applyAlignment="1">
      <alignment horizontal="center" vertical="center" wrapText="1"/>
    </xf>
    <xf numFmtId="1" fontId="29" fillId="0" borderId="13" xfId="56" applyNumberFormat="1" applyFont="1" applyBorder="1" applyAlignment="1">
      <alignment horizontal="center" vertical="center" wrapText="1"/>
    </xf>
    <xf numFmtId="3" fontId="29" fillId="0" borderId="13" xfId="56" applyNumberFormat="1" applyFont="1" applyBorder="1" applyAlignment="1">
      <alignment horizontal="center" vertical="center" wrapText="1"/>
    </xf>
    <xf numFmtId="172" fontId="29" fillId="0" borderId="13" xfId="19" quotePrefix="1" applyNumberFormat="1" applyFont="1" applyBorder="1" applyAlignment="1">
      <alignment horizontal="center" vertical="center" wrapText="1"/>
    </xf>
    <xf numFmtId="1" fontId="29" fillId="0" borderId="13" xfId="0" applyNumberFormat="1" applyFont="1" applyBorder="1" applyAlignment="1">
      <alignment horizontal="center" vertical="center" wrapText="1"/>
    </xf>
    <xf numFmtId="4" fontId="29" fillId="0" borderId="13" xfId="8" applyNumberFormat="1" applyFont="1" applyFill="1" applyBorder="1" applyAlignment="1">
      <alignment horizontal="right" vertical="center" wrapText="1"/>
    </xf>
    <xf numFmtId="171" fontId="29" fillId="0" borderId="13" xfId="8" applyNumberFormat="1" applyFont="1" applyFill="1" applyBorder="1" applyAlignment="1">
      <alignment horizontal="right" vertical="center" wrapText="1"/>
    </xf>
    <xf numFmtId="167" fontId="29" fillId="0" borderId="13" xfId="54" applyNumberFormat="1" applyFont="1" applyFill="1" applyBorder="1" applyAlignment="1">
      <alignment horizontal="center" vertical="center" wrapText="1"/>
    </xf>
    <xf numFmtId="4" fontId="28" fillId="0" borderId="13" xfId="8" applyNumberFormat="1" applyFont="1" applyFill="1" applyBorder="1" applyAlignment="1">
      <alignment horizontal="right" vertical="center" wrapText="1"/>
    </xf>
    <xf numFmtId="0" fontId="28" fillId="0" borderId="13" xfId="56" applyFont="1" applyBorder="1" applyAlignment="1">
      <alignment horizontal="center" vertical="center" wrapText="1"/>
    </xf>
    <xf numFmtId="169" fontId="28" fillId="0" borderId="13" xfId="56" applyNumberFormat="1" applyFont="1" applyBorder="1" applyAlignment="1">
      <alignment horizontal="center" vertical="center" wrapText="1"/>
    </xf>
    <xf numFmtId="1" fontId="28" fillId="0" borderId="13" xfId="56" applyNumberFormat="1" applyFont="1" applyBorder="1" applyAlignment="1">
      <alignment horizontal="center" vertical="center" wrapText="1"/>
    </xf>
    <xf numFmtId="171" fontId="28" fillId="0" borderId="13" xfId="56" applyNumberFormat="1" applyFont="1" applyBorder="1" applyAlignment="1">
      <alignment horizontal="center" vertical="center" wrapText="1"/>
    </xf>
    <xf numFmtId="3" fontId="28" fillId="0" borderId="13" xfId="56" applyNumberFormat="1" applyFont="1" applyBorder="1" applyAlignment="1">
      <alignment horizontal="center" vertical="center" wrapText="1"/>
    </xf>
    <xf numFmtId="172" fontId="28" fillId="0" borderId="13" xfId="19" quotePrefix="1" applyNumberFormat="1" applyFont="1" applyBorder="1" applyAlignment="1">
      <alignment horizontal="center" vertical="center" wrapText="1"/>
    </xf>
    <xf numFmtId="1" fontId="28" fillId="0" borderId="13" xfId="0" applyNumberFormat="1" applyFont="1" applyBorder="1" applyAlignment="1">
      <alignment horizontal="center" vertical="center" wrapText="1"/>
    </xf>
    <xf numFmtId="167" fontId="28" fillId="0" borderId="13" xfId="54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vertical="center" wrapText="1"/>
    </xf>
    <xf numFmtId="14" fontId="14" fillId="2" borderId="13" xfId="0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171" fontId="29" fillId="2" borderId="14" xfId="8" applyNumberFormat="1" applyFont="1" applyFill="1" applyBorder="1" applyAlignment="1">
      <alignment horizontal="right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right" vertical="center"/>
    </xf>
    <xf numFmtId="0" fontId="28" fillId="2" borderId="0" xfId="0" applyFont="1" applyFill="1" applyAlignment="1">
      <alignment vertical="center"/>
    </xf>
    <xf numFmtId="0" fontId="36" fillId="2" borderId="0" xfId="0" applyFont="1" applyFill="1" applyAlignment="1">
      <alignment horizontal="right" vertical="center"/>
    </xf>
    <xf numFmtId="0" fontId="37" fillId="2" borderId="0" xfId="0" applyFont="1" applyFill="1" applyAlignment="1">
      <alignment horizontal="right" vertical="center"/>
    </xf>
    <xf numFmtId="0" fontId="38" fillId="2" borderId="0" xfId="0" applyFont="1" applyFill="1" applyAlignment="1">
      <alignment horizontal="right" vertical="center"/>
    </xf>
    <xf numFmtId="3" fontId="28" fillId="2" borderId="0" xfId="0" applyNumberFormat="1" applyFont="1" applyFill="1" applyAlignment="1">
      <alignment horizontal="right" vertical="center"/>
    </xf>
    <xf numFmtId="0" fontId="39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40" fillId="2" borderId="1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vertical="center" wrapText="1"/>
    </xf>
    <xf numFmtId="0" fontId="29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41" fillId="2" borderId="0" xfId="0" applyFont="1" applyFill="1" applyAlignment="1">
      <alignment vertical="center"/>
    </xf>
    <xf numFmtId="3" fontId="29" fillId="2" borderId="0" xfId="0" applyNumberFormat="1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0" fontId="38" fillId="2" borderId="4" xfId="0" applyFont="1" applyFill="1" applyBorder="1" applyAlignment="1">
      <alignment horizontal="center" vertical="center" wrapText="1"/>
    </xf>
    <xf numFmtId="3" fontId="44" fillId="2" borderId="2" xfId="1" applyNumberFormat="1" applyFont="1" applyFill="1" applyBorder="1" applyAlignment="1">
      <alignment horizontal="center" vertical="center" wrapText="1"/>
    </xf>
    <xf numFmtId="3" fontId="44" fillId="2" borderId="2" xfId="0" applyNumberFormat="1" applyFont="1" applyFill="1" applyBorder="1" applyAlignment="1">
      <alignment horizontal="center" vertical="center"/>
    </xf>
    <xf numFmtId="3" fontId="44" fillId="2" borderId="7" xfId="1" applyNumberFormat="1" applyFont="1" applyFill="1" applyBorder="1" applyAlignment="1">
      <alignment horizontal="center" vertical="center" wrapText="1"/>
    </xf>
    <xf numFmtId="3" fontId="44" fillId="2" borderId="2" xfId="54" applyNumberFormat="1" applyFont="1" applyFill="1" applyBorder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3" fontId="17" fillId="2" borderId="2" xfId="1" applyNumberFormat="1" applyFont="1" applyFill="1" applyBorder="1" applyAlignment="1">
      <alignment horizontal="center" vertical="center" wrapText="1"/>
    </xf>
    <xf numFmtId="3" fontId="17" fillId="2" borderId="2" xfId="1" applyNumberFormat="1" applyFont="1" applyFill="1" applyBorder="1" applyAlignment="1">
      <alignment vertical="center" wrapText="1"/>
    </xf>
    <xf numFmtId="3" fontId="17" fillId="2" borderId="2" xfId="0" applyNumberFormat="1" applyFont="1" applyFill="1" applyBorder="1" applyAlignment="1">
      <alignment horizontal="center" vertical="center"/>
    </xf>
    <xf numFmtId="175" fontId="16" fillId="2" borderId="2" xfId="1" applyNumberFormat="1" applyFont="1" applyFill="1" applyBorder="1" applyAlignment="1">
      <alignment horizontal="center" vertical="center" wrapText="1"/>
    </xf>
    <xf numFmtId="0" fontId="46" fillId="2" borderId="0" xfId="0" applyFont="1" applyFill="1" applyAlignment="1">
      <alignment horizontal="center" vertical="center"/>
    </xf>
    <xf numFmtId="3" fontId="16" fillId="2" borderId="12" xfId="1" applyNumberFormat="1" applyFont="1" applyFill="1" applyBorder="1" applyAlignment="1">
      <alignment horizontal="center" vertical="center" wrapText="1"/>
    </xf>
    <xf numFmtId="3" fontId="16" fillId="2" borderId="12" xfId="1" applyNumberFormat="1" applyFont="1" applyFill="1" applyBorder="1" applyAlignment="1">
      <alignment horizontal="left" vertical="center" wrapText="1"/>
    </xf>
    <xf numFmtId="3" fontId="17" fillId="2" borderId="12" xfId="1" applyNumberFormat="1" applyFont="1" applyFill="1" applyBorder="1" applyAlignment="1">
      <alignment horizontal="center" vertical="center" wrapText="1"/>
    </xf>
    <xf numFmtId="3" fontId="17" fillId="2" borderId="12" xfId="1" applyNumberFormat="1" applyFont="1" applyFill="1" applyBorder="1" applyAlignment="1">
      <alignment vertical="center" wrapText="1"/>
    </xf>
    <xf numFmtId="3" fontId="17" fillId="2" borderId="12" xfId="0" applyNumberFormat="1" applyFont="1" applyFill="1" applyBorder="1" applyAlignment="1">
      <alignment horizontal="center" vertical="center"/>
    </xf>
    <xf numFmtId="175" fontId="16" fillId="2" borderId="12" xfId="1" applyNumberFormat="1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left" vertical="center" wrapText="1"/>
    </xf>
    <xf numFmtId="2" fontId="14" fillId="2" borderId="13" xfId="0" applyNumberFormat="1" applyFont="1" applyFill="1" applyBorder="1" applyAlignment="1">
      <alignment horizontal="center" vertical="center" wrapText="1"/>
    </xf>
    <xf numFmtId="9" fontId="14" fillId="2" borderId="13" xfId="0" applyNumberFormat="1" applyFont="1" applyFill="1" applyBorder="1" applyAlignment="1">
      <alignment horizontal="center" vertical="center" wrapText="1"/>
    </xf>
    <xf numFmtId="164" fontId="14" fillId="2" borderId="13" xfId="54" applyFont="1" applyFill="1" applyBorder="1" applyAlignment="1">
      <alignment horizontal="center" vertical="center" wrapText="1"/>
    </xf>
    <xf numFmtId="176" fontId="14" fillId="2" borderId="13" xfId="52" applyNumberFormat="1" applyFont="1" applyFill="1" applyBorder="1" applyAlignment="1">
      <alignment horizontal="center" vertical="center" wrapText="1"/>
    </xf>
    <xf numFmtId="166" fontId="14" fillId="2" borderId="13" xfId="52" applyNumberFormat="1" applyFont="1" applyFill="1" applyBorder="1" applyAlignment="1">
      <alignment horizontal="right" vertical="center" wrapText="1"/>
    </xf>
    <xf numFmtId="177" fontId="14" fillId="2" borderId="13" xfId="0" applyNumberFormat="1" applyFont="1" applyFill="1" applyBorder="1" applyAlignment="1">
      <alignment horizontal="center" vertical="center" wrapText="1"/>
    </xf>
    <xf numFmtId="37" fontId="14" fillId="2" borderId="13" xfId="0" applyNumberFormat="1" applyFont="1" applyFill="1" applyBorder="1" applyAlignment="1">
      <alignment horizontal="center" vertical="center" wrapText="1"/>
    </xf>
    <xf numFmtId="165" fontId="14" fillId="2" borderId="13" xfId="0" applyNumberFormat="1" applyFont="1" applyFill="1" applyBorder="1" applyAlignment="1">
      <alignment horizontal="center" vertical="center" wrapText="1"/>
    </xf>
    <xf numFmtId="3" fontId="14" fillId="2" borderId="13" xfId="0" applyNumberFormat="1" applyFont="1" applyFill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vertical="center"/>
    </xf>
    <xf numFmtId="171" fontId="14" fillId="2" borderId="13" xfId="0" applyNumberFormat="1" applyFont="1" applyFill="1" applyBorder="1" applyAlignment="1">
      <alignment horizontal="right" vertical="center" wrapText="1"/>
    </xf>
    <xf numFmtId="171" fontId="14" fillId="2" borderId="13" xfId="52" applyNumberFormat="1" applyFont="1" applyFill="1" applyBorder="1" applyAlignment="1">
      <alignment horizontal="right" vertical="center" wrapText="1"/>
    </xf>
    <xf numFmtId="175" fontId="14" fillId="2" borderId="13" xfId="54" applyNumberFormat="1" applyFont="1" applyFill="1" applyBorder="1" applyAlignment="1">
      <alignment horizontal="right" vertical="center"/>
    </xf>
    <xf numFmtId="0" fontId="14" fillId="2" borderId="13" xfId="56" applyFont="1" applyFill="1" applyBorder="1" applyAlignment="1">
      <alignment horizontal="left" vertical="center"/>
    </xf>
    <xf numFmtId="14" fontId="14" fillId="2" borderId="13" xfId="0" quotePrefix="1" applyNumberFormat="1" applyFont="1" applyFill="1" applyBorder="1" applyAlignment="1">
      <alignment horizontal="center" vertical="center" wrapText="1"/>
    </xf>
    <xf numFmtId="0" fontId="14" fillId="2" borderId="13" xfId="56" applyFont="1" applyFill="1" applyBorder="1" applyAlignment="1">
      <alignment vertical="center" wrapText="1"/>
    </xf>
    <xf numFmtId="166" fontId="14" fillId="2" borderId="13" xfId="52" applyNumberFormat="1" applyFont="1" applyFill="1" applyBorder="1" applyAlignment="1">
      <alignment horizontal="center" vertical="center" wrapText="1"/>
    </xf>
    <xf numFmtId="14" fontId="14" fillId="2" borderId="13" xfId="27" quotePrefix="1" applyNumberFormat="1" applyFont="1" applyFill="1" applyBorder="1" applyAlignment="1">
      <alignment horizontal="right" vertical="center" wrapText="1"/>
    </xf>
    <xf numFmtId="39" fontId="14" fillId="2" borderId="13" xfId="52" applyNumberFormat="1" applyFont="1" applyFill="1" applyBorder="1" applyAlignment="1">
      <alignment horizontal="center" vertical="center" wrapText="1"/>
    </xf>
    <xf numFmtId="14" fontId="14" fillId="2" borderId="13" xfId="27" quotePrefix="1" applyNumberFormat="1" applyFont="1" applyFill="1" applyBorder="1" applyAlignment="1">
      <alignment horizontal="center" vertical="center" wrapText="1"/>
    </xf>
    <xf numFmtId="169" fontId="14" fillId="2" borderId="13" xfId="0" applyNumberFormat="1" applyFont="1" applyFill="1" applyBorder="1" applyAlignment="1">
      <alignment horizontal="right" vertical="center" wrapText="1"/>
    </xf>
    <xf numFmtId="165" fontId="14" fillId="2" borderId="13" xfId="0" applyNumberFormat="1" applyFont="1" applyFill="1" applyBorder="1" applyAlignment="1">
      <alignment vertical="center" wrapText="1"/>
    </xf>
    <xf numFmtId="3" fontId="14" fillId="2" borderId="13" xfId="0" applyNumberFormat="1" applyFont="1" applyFill="1" applyBorder="1" applyAlignment="1">
      <alignment horizontal="right" vertical="center" wrapText="1"/>
    </xf>
    <xf numFmtId="173" fontId="14" fillId="2" borderId="13" xfId="0" applyNumberFormat="1" applyFont="1" applyFill="1" applyBorder="1" applyAlignment="1">
      <alignment horizontal="right" vertical="center" wrapText="1"/>
    </xf>
    <xf numFmtId="165" fontId="14" fillId="2" borderId="13" xfId="0" applyNumberFormat="1" applyFont="1" applyFill="1" applyBorder="1" applyAlignment="1">
      <alignment horizontal="right" vertical="center" wrapText="1"/>
    </xf>
    <xf numFmtId="164" fontId="14" fillId="2" borderId="13" xfId="54" applyFont="1" applyFill="1" applyBorder="1" applyAlignment="1">
      <alignment horizontal="right" vertical="center" wrapText="1"/>
    </xf>
    <xf numFmtId="3" fontId="16" fillId="2" borderId="13" xfId="1" applyNumberFormat="1" applyFont="1" applyFill="1" applyBorder="1" applyAlignment="1">
      <alignment horizontal="center" vertical="center" wrapText="1"/>
    </xf>
    <xf numFmtId="3" fontId="16" fillId="2" borderId="13" xfId="1" applyNumberFormat="1" applyFont="1" applyFill="1" applyBorder="1" applyAlignment="1">
      <alignment horizontal="left" vertical="center" wrapText="1"/>
    </xf>
    <xf numFmtId="3" fontId="17" fillId="2" borderId="13" xfId="1" applyNumberFormat="1" applyFont="1" applyFill="1" applyBorder="1" applyAlignment="1">
      <alignment horizontal="center" vertical="center" wrapText="1"/>
    </xf>
    <xf numFmtId="3" fontId="17" fillId="2" borderId="13" xfId="1" applyNumberFormat="1" applyFont="1" applyFill="1" applyBorder="1" applyAlignment="1">
      <alignment vertical="center" wrapText="1"/>
    </xf>
    <xf numFmtId="3" fontId="17" fillId="2" borderId="13" xfId="0" applyNumberFormat="1" applyFont="1" applyFill="1" applyBorder="1" applyAlignment="1">
      <alignment horizontal="center" vertical="center"/>
    </xf>
    <xf numFmtId="175" fontId="16" fillId="2" borderId="13" xfId="1" applyNumberFormat="1" applyFont="1" applyFill="1" applyBorder="1" applyAlignment="1">
      <alignment horizontal="center" vertical="center" wrapText="1"/>
    </xf>
    <xf numFmtId="169" fontId="14" fillId="2" borderId="13" xfId="0" applyNumberFormat="1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vertical="center"/>
    </xf>
    <xf numFmtId="37" fontId="14" fillId="2" borderId="13" xfId="52" applyNumberFormat="1" applyFont="1" applyFill="1" applyBorder="1" applyAlignment="1">
      <alignment horizontal="center" vertical="center" wrapText="1"/>
    </xf>
    <xf numFmtId="14" fontId="14" fillId="2" borderId="13" xfId="0" applyNumberFormat="1" applyFont="1" applyFill="1" applyBorder="1" applyAlignment="1">
      <alignment horizontal="right" vertical="center"/>
    </xf>
    <xf numFmtId="167" fontId="16" fillId="2" borderId="13" xfId="54" applyNumberFormat="1" applyFont="1" applyFill="1" applyBorder="1" applyAlignment="1">
      <alignment vertical="center"/>
    </xf>
    <xf numFmtId="175" fontId="16" fillId="2" borderId="13" xfId="54" applyNumberFormat="1" applyFont="1" applyFill="1" applyBorder="1" applyAlignment="1">
      <alignment vertical="center"/>
    </xf>
    <xf numFmtId="14" fontId="14" fillId="2" borderId="13" xfId="0" applyNumberFormat="1" applyFont="1" applyFill="1" applyBorder="1" applyAlignment="1">
      <alignment horizontal="right" vertical="center" wrapText="1"/>
    </xf>
    <xf numFmtId="14" fontId="14" fillId="2" borderId="13" xfId="0" quotePrefix="1" applyNumberFormat="1" applyFont="1" applyFill="1" applyBorder="1" applyAlignment="1">
      <alignment horizontal="right" vertical="center" wrapText="1"/>
    </xf>
    <xf numFmtId="167" fontId="14" fillId="2" borderId="13" xfId="0" applyNumberFormat="1" applyFont="1" applyFill="1" applyBorder="1" applyAlignment="1">
      <alignment horizontal="right" vertical="center" wrapText="1"/>
    </xf>
    <xf numFmtId="175" fontId="16" fillId="2" borderId="13" xfId="54" applyNumberFormat="1" applyFont="1" applyFill="1" applyBorder="1" applyAlignment="1">
      <alignment horizontal="right" vertical="center"/>
    </xf>
    <xf numFmtId="0" fontId="14" fillId="2" borderId="13" xfId="0" quotePrefix="1" applyFont="1" applyFill="1" applyBorder="1" applyAlignment="1">
      <alignment horizontal="left" vertical="center" wrapText="1"/>
    </xf>
    <xf numFmtId="14" fontId="14" fillId="2" borderId="13" xfId="63" applyNumberFormat="1" applyFont="1" applyFill="1" applyBorder="1" applyAlignment="1">
      <alignment horizontal="center" vertical="center" wrapText="1"/>
    </xf>
    <xf numFmtId="4" fontId="14" fillId="2" borderId="13" xfId="0" applyNumberFormat="1" applyFont="1" applyFill="1" applyBorder="1" applyAlignment="1">
      <alignment horizontal="right" vertical="center" wrapText="1"/>
    </xf>
    <xf numFmtId="0" fontId="14" fillId="2" borderId="13" xfId="63" applyFont="1" applyFill="1" applyBorder="1" applyAlignment="1">
      <alignment horizontal="left" vertical="center" wrapText="1"/>
    </xf>
    <xf numFmtId="49" fontId="14" fillId="2" borderId="13" xfId="67" applyNumberFormat="1" applyFont="1" applyFill="1" applyBorder="1" applyAlignment="1">
      <alignment horizontal="center" vertical="center" wrapText="1"/>
    </xf>
    <xf numFmtId="175" fontId="14" fillId="2" borderId="13" xfId="0" applyNumberFormat="1" applyFont="1" applyFill="1" applyBorder="1" applyAlignment="1">
      <alignment horizontal="right" vertical="center" wrapText="1"/>
    </xf>
    <xf numFmtId="178" fontId="14" fillId="2" borderId="13" xfId="0" applyNumberFormat="1" applyFont="1" applyFill="1" applyBorder="1" applyAlignment="1">
      <alignment horizontal="center" vertical="center" wrapText="1"/>
    </xf>
    <xf numFmtId="174" fontId="14" fillId="2" borderId="13" xfId="54" applyNumberFormat="1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/>
    </xf>
    <xf numFmtId="0" fontId="14" fillId="2" borderId="13" xfId="21" applyFont="1" applyFill="1" applyBorder="1" applyAlignment="1">
      <alignment horizontal="left" vertical="center" wrapText="1"/>
    </xf>
    <xf numFmtId="2" fontId="14" fillId="2" borderId="13" xfId="27" quotePrefix="1" applyNumberFormat="1" applyFont="1" applyFill="1" applyBorder="1" applyAlignment="1">
      <alignment horizontal="center" vertical="center" wrapText="1"/>
    </xf>
    <xf numFmtId="166" fontId="14" fillId="2" borderId="13" xfId="52" applyNumberFormat="1" applyFont="1" applyFill="1" applyBorder="1" applyAlignment="1">
      <alignment vertical="center" wrapText="1"/>
    </xf>
    <xf numFmtId="177" fontId="16" fillId="2" borderId="13" xfId="0" applyNumberFormat="1" applyFont="1" applyFill="1" applyBorder="1" applyAlignment="1">
      <alignment horizontal="center" vertical="center" wrapText="1"/>
    </xf>
    <xf numFmtId="175" fontId="16" fillId="2" borderId="13" xfId="0" applyNumberFormat="1" applyFont="1" applyFill="1" applyBorder="1" applyAlignment="1">
      <alignment horizontal="center" vertical="center" wrapText="1"/>
    </xf>
    <xf numFmtId="49" fontId="14" fillId="2" borderId="13" xfId="27" quotePrefix="1" applyNumberFormat="1" applyFont="1" applyFill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horizontal="center" vertical="center" wrapText="1"/>
    </xf>
    <xf numFmtId="2" fontId="14" fillId="2" borderId="13" xfId="27" quotePrefix="1" applyNumberFormat="1" applyFont="1" applyFill="1" applyBorder="1" applyAlignment="1">
      <alignment horizontal="right" vertical="center" wrapText="1"/>
    </xf>
    <xf numFmtId="0" fontId="14" fillId="2" borderId="14" xfId="0" applyFont="1" applyFill="1" applyBorder="1" applyAlignment="1">
      <alignment horizontal="center" vertical="center"/>
    </xf>
    <xf numFmtId="0" fontId="14" fillId="2" borderId="14" xfId="56" applyFont="1" applyFill="1" applyBorder="1" applyAlignment="1">
      <alignment horizontal="left" vertical="center"/>
    </xf>
    <xf numFmtId="14" fontId="14" fillId="2" borderId="14" xfId="0" quotePrefix="1" applyNumberFormat="1" applyFont="1" applyFill="1" applyBorder="1" applyAlignment="1">
      <alignment horizontal="center" vertical="center" wrapText="1"/>
    </xf>
    <xf numFmtId="14" fontId="14" fillId="2" borderId="14" xfId="63" applyNumberFormat="1" applyFont="1" applyFill="1" applyBorder="1" applyAlignment="1">
      <alignment horizontal="center" vertical="center" wrapText="1"/>
    </xf>
    <xf numFmtId="0" fontId="14" fillId="2" borderId="14" xfId="56" applyFont="1" applyFill="1" applyBorder="1" applyAlignment="1">
      <alignment vertical="center" wrapText="1"/>
    </xf>
    <xf numFmtId="164" fontId="14" fillId="2" borderId="14" xfId="54" applyFont="1" applyFill="1" applyBorder="1" applyAlignment="1">
      <alignment horizontal="center" vertical="center" wrapText="1"/>
    </xf>
    <xf numFmtId="9" fontId="14" fillId="2" borderId="14" xfId="0" applyNumberFormat="1" applyFont="1" applyFill="1" applyBorder="1" applyAlignment="1">
      <alignment horizontal="center" vertical="center" wrapText="1"/>
    </xf>
    <xf numFmtId="2" fontId="14" fillId="2" borderId="14" xfId="0" applyNumberFormat="1" applyFont="1" applyFill="1" applyBorder="1" applyAlignment="1">
      <alignment horizontal="center" vertical="center" wrapText="1"/>
    </xf>
    <xf numFmtId="43" fontId="14" fillId="2" borderId="14" xfId="52" applyFont="1" applyFill="1" applyBorder="1" applyAlignment="1">
      <alignment horizontal="center" vertical="center" wrapText="1"/>
    </xf>
    <xf numFmtId="14" fontId="14" fillId="2" borderId="14" xfId="27" quotePrefix="1" applyNumberFormat="1" applyFont="1" applyFill="1" applyBorder="1" applyAlignment="1">
      <alignment horizontal="right" vertical="center" wrapText="1"/>
    </xf>
    <xf numFmtId="14" fontId="14" fillId="2" borderId="14" xfId="0" applyNumberFormat="1" applyFont="1" applyFill="1" applyBorder="1" applyAlignment="1">
      <alignment horizontal="center" vertical="center" wrapText="1"/>
    </xf>
    <xf numFmtId="14" fontId="14" fillId="2" borderId="14" xfId="27" quotePrefix="1" applyNumberFormat="1" applyFont="1" applyFill="1" applyBorder="1" applyAlignment="1">
      <alignment horizontal="center" vertical="center" wrapText="1"/>
    </xf>
    <xf numFmtId="166" fontId="14" fillId="2" borderId="14" xfId="52" applyNumberFormat="1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166" fontId="14" fillId="2" borderId="14" xfId="52" applyNumberFormat="1" applyFont="1" applyFill="1" applyBorder="1" applyAlignment="1">
      <alignment vertical="center" wrapText="1"/>
    </xf>
    <xf numFmtId="177" fontId="14" fillId="2" borderId="14" xfId="0" applyNumberFormat="1" applyFont="1" applyFill="1" applyBorder="1" applyAlignment="1">
      <alignment horizontal="center" vertical="center" wrapText="1"/>
    </xf>
    <xf numFmtId="37" fontId="14" fillId="2" borderId="14" xfId="0" applyNumberFormat="1" applyFont="1" applyFill="1" applyBorder="1" applyAlignment="1">
      <alignment horizontal="center" vertical="center" wrapText="1"/>
    </xf>
    <xf numFmtId="165" fontId="14" fillId="2" borderId="14" xfId="0" applyNumberFormat="1" applyFont="1" applyFill="1" applyBorder="1" applyAlignment="1">
      <alignment vertical="center" wrapText="1"/>
    </xf>
    <xf numFmtId="3" fontId="14" fillId="2" borderId="14" xfId="0" applyNumberFormat="1" applyFont="1" applyFill="1" applyBorder="1" applyAlignment="1">
      <alignment horizontal="right" vertical="center" wrapText="1"/>
    </xf>
    <xf numFmtId="173" fontId="14" fillId="2" borderId="14" xfId="0" applyNumberFormat="1" applyFont="1" applyFill="1" applyBorder="1" applyAlignment="1">
      <alignment horizontal="right" vertical="center" wrapText="1"/>
    </xf>
    <xf numFmtId="165" fontId="14" fillId="2" borderId="14" xfId="0" applyNumberFormat="1" applyFont="1" applyFill="1" applyBorder="1" applyAlignment="1">
      <alignment horizontal="right" vertical="center" wrapText="1"/>
    </xf>
    <xf numFmtId="164" fontId="14" fillId="2" borderId="14" xfId="54" applyFont="1" applyFill="1" applyBorder="1" applyAlignment="1">
      <alignment horizontal="right" vertical="center" wrapText="1"/>
    </xf>
    <xf numFmtId="171" fontId="14" fillId="2" borderId="14" xfId="0" applyNumberFormat="1" applyFont="1" applyFill="1" applyBorder="1" applyAlignment="1">
      <alignment horizontal="right" vertical="center" wrapText="1"/>
    </xf>
    <xf numFmtId="175" fontId="14" fillId="2" borderId="14" xfId="54" applyNumberFormat="1" applyFont="1" applyFill="1" applyBorder="1" applyAlignment="1">
      <alignment horizontal="right" vertical="center"/>
    </xf>
    <xf numFmtId="0" fontId="16" fillId="2" borderId="13" xfId="0" applyFont="1" applyFill="1" applyBorder="1" applyAlignment="1">
      <alignment vertical="center" wrapText="1"/>
    </xf>
    <xf numFmtId="169" fontId="16" fillId="2" borderId="13" xfId="0" applyNumberFormat="1" applyFont="1" applyFill="1" applyBorder="1" applyAlignment="1">
      <alignment horizontal="center" vertical="center" wrapText="1"/>
    </xf>
    <xf numFmtId="49" fontId="14" fillId="2" borderId="13" xfId="0" applyNumberFormat="1" applyFont="1" applyFill="1" applyBorder="1" applyAlignment="1">
      <alignment horizontal="center" vertical="center" wrapText="1"/>
    </xf>
    <xf numFmtId="164" fontId="16" fillId="2" borderId="13" xfId="54" applyFont="1" applyFill="1" applyBorder="1" applyAlignment="1">
      <alignment vertical="center"/>
    </xf>
    <xf numFmtId="0" fontId="14" fillId="2" borderId="13" xfId="0" quotePrefix="1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left" vertical="center" wrapText="1"/>
    </xf>
    <xf numFmtId="177" fontId="16" fillId="2" borderId="13" xfId="0" applyNumberFormat="1" applyFont="1" applyFill="1" applyBorder="1" applyAlignment="1">
      <alignment vertical="center"/>
    </xf>
    <xf numFmtId="175" fontId="16" fillId="2" borderId="13" xfId="0" applyNumberFormat="1" applyFont="1" applyFill="1" applyBorder="1" applyAlignment="1">
      <alignment vertical="center"/>
    </xf>
    <xf numFmtId="37" fontId="16" fillId="2" borderId="13" xfId="0" applyNumberFormat="1" applyFont="1" applyFill="1" applyBorder="1" applyAlignment="1">
      <alignment horizontal="center" vertical="center"/>
    </xf>
    <xf numFmtId="175" fontId="16" fillId="2" borderId="13" xfId="0" applyNumberFormat="1" applyFont="1" applyFill="1" applyBorder="1" applyAlignment="1">
      <alignment horizontal="center" vertical="center"/>
    </xf>
    <xf numFmtId="0" fontId="16" fillId="2" borderId="13" xfId="56" applyFont="1" applyFill="1" applyBorder="1" applyAlignment="1">
      <alignment horizontal="left" vertical="center"/>
    </xf>
    <xf numFmtId="14" fontId="14" fillId="2" borderId="13" xfId="56" applyNumberFormat="1" applyFont="1" applyFill="1" applyBorder="1" applyAlignment="1">
      <alignment horizontal="left" vertical="center"/>
    </xf>
    <xf numFmtId="14" fontId="14" fillId="2" borderId="13" xfId="63" quotePrefix="1" applyNumberFormat="1" applyFont="1" applyFill="1" applyBorder="1" applyAlignment="1">
      <alignment horizontal="center" vertical="center" wrapText="1"/>
    </xf>
    <xf numFmtId="179" fontId="14" fillId="2" borderId="13" xfId="0" applyNumberFormat="1" applyFont="1" applyFill="1" applyBorder="1" applyAlignment="1">
      <alignment horizontal="center" vertical="center" wrapText="1"/>
    </xf>
    <xf numFmtId="176" fontId="14" fillId="2" borderId="13" xfId="0" applyNumberFormat="1" applyFont="1" applyFill="1" applyBorder="1" applyAlignment="1">
      <alignment horizontal="center" vertical="center" wrapText="1"/>
    </xf>
    <xf numFmtId="168" fontId="14" fillId="2" borderId="13" xfId="54" applyNumberFormat="1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vertical="center" wrapText="1"/>
    </xf>
    <xf numFmtId="0" fontId="14" fillId="2" borderId="12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vertical="center"/>
    </xf>
    <xf numFmtId="0" fontId="14" fillId="2" borderId="12" xfId="0" applyFont="1" applyFill="1" applyBorder="1" applyAlignment="1">
      <alignment horizontal="center" vertical="center" wrapText="1"/>
    </xf>
    <xf numFmtId="164" fontId="14" fillId="2" borderId="12" xfId="54" applyFont="1" applyFill="1" applyBorder="1" applyAlignment="1">
      <alignment horizontal="center" vertical="center" wrapText="1"/>
    </xf>
    <xf numFmtId="9" fontId="14" fillId="2" borderId="12" xfId="0" applyNumberFormat="1" applyFont="1" applyFill="1" applyBorder="1" applyAlignment="1">
      <alignment horizontal="center" vertical="center" wrapText="1"/>
    </xf>
    <xf numFmtId="166" fontId="14" fillId="2" borderId="12" xfId="52" applyNumberFormat="1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right" vertical="center"/>
    </xf>
    <xf numFmtId="0" fontId="14" fillId="2" borderId="13" xfId="0" applyFont="1" applyFill="1" applyBorder="1" applyAlignment="1">
      <alignment horizontal="left" vertical="center"/>
    </xf>
    <xf numFmtId="0" fontId="14" fillId="2" borderId="13" xfId="0" quotePrefix="1" applyFont="1" applyFill="1" applyBorder="1" applyAlignment="1">
      <alignment horizontal="right" vertical="center" wrapText="1"/>
    </xf>
    <xf numFmtId="49" fontId="14" fillId="2" borderId="13" xfId="67" quotePrefix="1" applyNumberFormat="1" applyFont="1" applyFill="1" applyBorder="1" applyAlignment="1">
      <alignment horizontal="center" vertical="center" wrapText="1"/>
    </xf>
    <xf numFmtId="180" fontId="14" fillId="2" borderId="13" xfId="0" applyNumberFormat="1" applyFont="1" applyFill="1" applyBorder="1" applyAlignment="1">
      <alignment horizontal="center" vertical="center" wrapText="1"/>
    </xf>
    <xf numFmtId="37" fontId="14" fillId="2" borderId="14" xfId="52" applyNumberFormat="1" applyFont="1" applyFill="1" applyBorder="1" applyAlignment="1">
      <alignment horizontal="center" vertical="center" wrapText="1"/>
    </xf>
    <xf numFmtId="169" fontId="14" fillId="2" borderId="14" xfId="0" applyNumberFormat="1" applyFont="1" applyFill="1" applyBorder="1" applyAlignment="1">
      <alignment horizontal="center" vertical="center" wrapText="1"/>
    </xf>
    <xf numFmtId="175" fontId="14" fillId="2" borderId="14" xfId="0" applyNumberFormat="1" applyFont="1" applyFill="1" applyBorder="1" applyAlignment="1">
      <alignment horizontal="right" vertical="center" wrapText="1"/>
    </xf>
    <xf numFmtId="166" fontId="14" fillId="2" borderId="14" xfId="0" applyNumberFormat="1" applyFont="1" applyFill="1" applyBorder="1" applyAlignment="1">
      <alignment horizontal="right" vertical="center" wrapText="1"/>
    </xf>
    <xf numFmtId="0" fontId="29" fillId="2" borderId="0" xfId="0" applyFont="1" applyFill="1" applyAlignment="1">
      <alignment horizontal="left" vertical="center"/>
    </xf>
    <xf numFmtId="164" fontId="28" fillId="2" borderId="0" xfId="54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right" vertical="center"/>
    </xf>
    <xf numFmtId="0" fontId="16" fillId="2" borderId="0" xfId="0" applyFont="1" applyFill="1" applyAlignment="1">
      <alignment vertical="center"/>
    </xf>
    <xf numFmtId="0" fontId="14" fillId="2" borderId="0" xfId="0" applyFont="1" applyFill="1" applyAlignment="1">
      <alignment horizontal="right" vertical="center"/>
    </xf>
    <xf numFmtId="164" fontId="16" fillId="2" borderId="0" xfId="54" applyFont="1" applyFill="1" applyAlignment="1">
      <alignment horizontal="right" vertical="center"/>
    </xf>
    <xf numFmtId="0" fontId="17" fillId="2" borderId="1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vertical="center" wrapText="1"/>
    </xf>
    <xf numFmtId="0" fontId="14" fillId="2" borderId="0" xfId="0" applyFont="1" applyFill="1" applyAlignment="1">
      <alignment horizontal="center" vertical="center"/>
    </xf>
    <xf numFmtId="164" fontId="14" fillId="2" borderId="0" xfId="54" applyFont="1" applyFill="1" applyAlignment="1">
      <alignment vertical="center"/>
    </xf>
    <xf numFmtId="164" fontId="14" fillId="2" borderId="0" xfId="54" applyFont="1" applyFill="1" applyAlignment="1">
      <alignment horizontal="center" vertical="center"/>
    </xf>
    <xf numFmtId="164" fontId="14" fillId="2" borderId="0" xfId="54" applyFont="1" applyFill="1" applyAlignment="1">
      <alignment horizontal="right" vertical="center"/>
    </xf>
    <xf numFmtId="164" fontId="16" fillId="2" borderId="0" xfId="54" applyFont="1" applyFill="1" applyAlignment="1">
      <alignment vertical="center"/>
    </xf>
    <xf numFmtId="167" fontId="14" fillId="2" borderId="0" xfId="54" applyNumberFormat="1" applyFont="1" applyFill="1" applyAlignment="1">
      <alignment vertical="center"/>
    </xf>
    <xf numFmtId="164" fontId="16" fillId="2" borderId="2" xfId="54" applyFont="1" applyFill="1" applyBorder="1" applyAlignment="1">
      <alignment horizontal="center" vertical="center" wrapText="1"/>
    </xf>
    <xf numFmtId="164" fontId="16" fillId="2" borderId="4" xfId="54" applyFont="1" applyFill="1" applyBorder="1" applyAlignment="1">
      <alignment horizontal="center" vertical="center" wrapText="1"/>
    </xf>
    <xf numFmtId="164" fontId="14" fillId="2" borderId="4" xfId="54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/>
    </xf>
    <xf numFmtId="0" fontId="17" fillId="2" borderId="7" xfId="1" applyFont="1" applyFill="1" applyBorder="1" applyAlignment="1">
      <alignment horizontal="center" vertical="center" wrapText="1"/>
    </xf>
    <xf numFmtId="0" fontId="17" fillId="2" borderId="2" xfId="54" applyNumberFormat="1" applyFont="1" applyFill="1" applyBorder="1" applyAlignment="1">
      <alignment horizontal="center" vertical="center" wrapText="1"/>
    </xf>
    <xf numFmtId="0" fontId="17" fillId="2" borderId="2" xfId="54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3" fontId="17" fillId="2" borderId="0" xfId="0" applyNumberFormat="1" applyFont="1" applyFill="1" applyAlignment="1">
      <alignment horizontal="center" vertical="center"/>
    </xf>
    <xf numFmtId="164" fontId="17" fillId="2" borderId="0" xfId="54" applyFont="1" applyFill="1" applyAlignment="1">
      <alignment horizontal="center" vertical="center"/>
    </xf>
    <xf numFmtId="3" fontId="22" fillId="2" borderId="12" xfId="1" applyNumberFormat="1" applyFont="1" applyFill="1" applyBorder="1" applyAlignment="1">
      <alignment horizontal="center" vertical="center" wrapText="1"/>
    </xf>
    <xf numFmtId="3" fontId="23" fillId="2" borderId="12" xfId="0" applyNumberFormat="1" applyFont="1" applyFill="1" applyBorder="1" applyAlignment="1">
      <alignment horizontal="center" vertical="center"/>
    </xf>
    <xf numFmtId="3" fontId="23" fillId="2" borderId="12" xfId="1" applyNumberFormat="1" applyFont="1" applyFill="1" applyBorder="1" applyAlignment="1">
      <alignment horizontal="center" vertical="center" wrapText="1"/>
    </xf>
    <xf numFmtId="164" fontId="22" fillId="2" borderId="12" xfId="54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/>
    </xf>
    <xf numFmtId="0" fontId="21" fillId="2" borderId="13" xfId="63" applyFont="1" applyFill="1" applyBorder="1" applyAlignment="1">
      <alignment horizontal="left" vertical="center" wrapText="1"/>
    </xf>
    <xf numFmtId="14" fontId="21" fillId="2" borderId="13" xfId="63" applyNumberFormat="1" applyFont="1" applyFill="1" applyBorder="1" applyAlignment="1">
      <alignment horizontal="center" vertical="center" wrapText="1"/>
    </xf>
    <xf numFmtId="49" fontId="21" fillId="2" borderId="13" xfId="67" applyNumberFormat="1" applyFont="1" applyFill="1" applyBorder="1" applyAlignment="1">
      <alignment horizontal="center" vertical="center" wrapText="1"/>
    </xf>
    <xf numFmtId="2" fontId="21" fillId="2" borderId="13" xfId="0" applyNumberFormat="1" applyFont="1" applyFill="1" applyBorder="1" applyAlignment="1">
      <alignment horizontal="center" vertical="center" wrapText="1"/>
    </xf>
    <xf numFmtId="0" fontId="21" fillId="2" borderId="13" xfId="0" applyFont="1" applyFill="1" applyBorder="1" applyAlignment="1">
      <alignment horizontal="center" vertical="center" wrapText="1"/>
    </xf>
    <xf numFmtId="9" fontId="21" fillId="2" borderId="13" xfId="0" applyNumberFormat="1" applyFont="1" applyFill="1" applyBorder="1" applyAlignment="1">
      <alignment horizontal="center" vertical="center" wrapText="1"/>
    </xf>
    <xf numFmtId="164" fontId="21" fillId="2" borderId="13" xfId="54" applyFont="1" applyFill="1" applyBorder="1" applyAlignment="1">
      <alignment horizontal="center" vertical="center" wrapText="1"/>
    </xf>
    <xf numFmtId="37" fontId="21" fillId="2" borderId="13" xfId="52" applyNumberFormat="1" applyFont="1" applyFill="1" applyBorder="1" applyAlignment="1">
      <alignment horizontal="center" vertical="center" wrapText="1"/>
    </xf>
    <xf numFmtId="14" fontId="21" fillId="2" borderId="13" xfId="27" quotePrefix="1" applyNumberFormat="1" applyFont="1" applyFill="1" applyBorder="1" applyAlignment="1">
      <alignment horizontal="center" vertical="center" wrapText="1"/>
    </xf>
    <xf numFmtId="166" fontId="21" fillId="2" borderId="13" xfId="52" applyNumberFormat="1" applyFont="1" applyFill="1" applyBorder="1" applyAlignment="1">
      <alignment horizontal="center" vertical="center" wrapText="1"/>
    </xf>
    <xf numFmtId="166" fontId="21" fillId="2" borderId="13" xfId="52" applyNumberFormat="1" applyFont="1" applyFill="1" applyBorder="1" applyAlignment="1">
      <alignment vertical="center" wrapText="1"/>
    </xf>
    <xf numFmtId="164" fontId="21" fillId="2" borderId="14" xfId="54" applyFont="1" applyFill="1" applyBorder="1" applyAlignment="1">
      <alignment horizontal="center" vertical="center" wrapText="1"/>
    </xf>
    <xf numFmtId="164" fontId="22" fillId="2" borderId="13" xfId="54" applyFont="1" applyFill="1" applyBorder="1" applyAlignment="1">
      <alignment vertical="center"/>
    </xf>
    <xf numFmtId="164" fontId="21" fillId="2" borderId="13" xfId="54" applyFont="1" applyFill="1" applyBorder="1" applyAlignment="1">
      <alignment horizontal="right" vertical="center" wrapText="1"/>
    </xf>
    <xf numFmtId="164" fontId="21" fillId="2" borderId="13" xfId="54" applyFont="1" applyFill="1" applyBorder="1" applyAlignment="1">
      <alignment horizontal="right" vertical="center"/>
    </xf>
    <xf numFmtId="0" fontId="26" fillId="2" borderId="0" xfId="0" applyFont="1" applyFill="1" applyAlignment="1">
      <alignment vertical="center"/>
    </xf>
    <xf numFmtId="3" fontId="22" fillId="2" borderId="13" xfId="1" applyNumberFormat="1" applyFont="1" applyFill="1" applyBorder="1" applyAlignment="1">
      <alignment horizontal="center" vertical="center" wrapText="1"/>
    </xf>
    <xf numFmtId="3" fontId="23" fillId="2" borderId="13" xfId="0" applyNumberFormat="1" applyFont="1" applyFill="1" applyBorder="1" applyAlignment="1">
      <alignment horizontal="center" vertical="center"/>
    </xf>
    <xf numFmtId="3" fontId="23" fillId="2" borderId="13" xfId="1" applyNumberFormat="1" applyFont="1" applyFill="1" applyBorder="1" applyAlignment="1">
      <alignment horizontal="center" vertical="center" wrapText="1"/>
    </xf>
    <xf numFmtId="164" fontId="22" fillId="2" borderId="13" xfId="54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/>
    </xf>
    <xf numFmtId="0" fontId="21" fillId="2" borderId="14" xfId="63" applyFont="1" applyFill="1" applyBorder="1" applyAlignment="1">
      <alignment horizontal="left" vertical="center" wrapText="1"/>
    </xf>
    <xf numFmtId="14" fontId="21" fillId="2" borderId="14" xfId="63" applyNumberFormat="1" applyFont="1" applyFill="1" applyBorder="1" applyAlignment="1">
      <alignment horizontal="center" vertical="center" wrapText="1"/>
    </xf>
    <xf numFmtId="49" fontId="21" fillId="2" borderId="14" xfId="67" applyNumberFormat="1" applyFont="1" applyFill="1" applyBorder="1" applyAlignment="1">
      <alignment horizontal="center" vertical="center" wrapText="1"/>
    </xf>
    <xf numFmtId="2" fontId="21" fillId="2" borderId="14" xfId="0" applyNumberFormat="1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9" fontId="21" fillId="2" borderId="14" xfId="0" applyNumberFormat="1" applyFont="1" applyFill="1" applyBorder="1" applyAlignment="1">
      <alignment horizontal="center" vertical="center" wrapText="1"/>
    </xf>
    <xf numFmtId="37" fontId="21" fillId="2" borderId="14" xfId="52" applyNumberFormat="1" applyFont="1" applyFill="1" applyBorder="1" applyAlignment="1">
      <alignment horizontal="center" vertical="center" wrapText="1"/>
    </xf>
    <xf numFmtId="14" fontId="21" fillId="2" borderId="14" xfId="27" quotePrefix="1" applyNumberFormat="1" applyFont="1" applyFill="1" applyBorder="1" applyAlignment="1">
      <alignment horizontal="center" vertical="center" wrapText="1"/>
    </xf>
    <xf numFmtId="166" fontId="21" fillId="2" borderId="14" xfId="52" applyNumberFormat="1" applyFont="1" applyFill="1" applyBorder="1" applyAlignment="1">
      <alignment horizontal="center" vertical="center" wrapText="1"/>
    </xf>
    <xf numFmtId="166" fontId="21" fillId="2" borderId="14" xfId="52" applyNumberFormat="1" applyFont="1" applyFill="1" applyBorder="1" applyAlignment="1">
      <alignment vertical="center" wrapText="1"/>
    </xf>
    <xf numFmtId="164" fontId="22" fillId="2" borderId="14" xfId="54" applyFont="1" applyFill="1" applyBorder="1" applyAlignment="1">
      <alignment vertical="center"/>
    </xf>
    <xf numFmtId="164" fontId="21" fillId="2" borderId="14" xfId="54" applyFont="1" applyFill="1" applyBorder="1" applyAlignment="1">
      <alignment horizontal="right" vertical="center" wrapText="1"/>
    </xf>
    <xf numFmtId="164" fontId="21" fillId="2" borderId="14" xfId="54" applyFont="1" applyFill="1" applyBorder="1" applyAlignment="1">
      <alignment horizontal="right" vertical="center"/>
    </xf>
    <xf numFmtId="0" fontId="14" fillId="2" borderId="0" xfId="0" applyFont="1" applyFill="1" applyAlignment="1">
      <alignment horizontal="left" vertical="center"/>
    </xf>
    <xf numFmtId="164" fontId="24" fillId="2" borderId="0" xfId="54" applyFont="1" applyFill="1" applyAlignment="1">
      <alignment vertical="center"/>
    </xf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vertical="center"/>
    </xf>
    <xf numFmtId="0" fontId="49" fillId="0" borderId="0" xfId="0" applyFont="1" applyAlignment="1">
      <alignment horizontal="right" vertical="center"/>
    </xf>
    <xf numFmtId="0" fontId="50" fillId="0" borderId="0" xfId="0" applyFont="1"/>
    <xf numFmtId="0" fontId="53" fillId="0" borderId="0" xfId="0" applyFont="1" applyAlignment="1">
      <alignment horizontal="center" vertical="center"/>
    </xf>
    <xf numFmtId="0" fontId="53" fillId="0" borderId="0" xfId="0" applyFont="1" applyAlignment="1">
      <alignment horizontal="left" vertical="center"/>
    </xf>
    <xf numFmtId="0" fontId="54" fillId="0" borderId="3" xfId="0" applyFont="1" applyBorder="1" applyAlignment="1">
      <alignment horizontal="center" vertical="center" wrapText="1"/>
    </xf>
    <xf numFmtId="0" fontId="54" fillId="0" borderId="5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 wrapText="1"/>
    </xf>
    <xf numFmtId="174" fontId="49" fillId="0" borderId="12" xfId="54" applyNumberFormat="1" applyFont="1" applyBorder="1" applyAlignment="1">
      <alignment vertical="center" wrapText="1"/>
    </xf>
    <xf numFmtId="4" fontId="55" fillId="0" borderId="12" xfId="0" applyNumberFormat="1" applyFont="1" applyBorder="1" applyAlignment="1">
      <alignment horizontal="right" vertical="center" wrapText="1"/>
    </xf>
    <xf numFmtId="0" fontId="49" fillId="0" borderId="17" xfId="0" applyFont="1" applyBorder="1" applyAlignment="1">
      <alignment horizontal="center" vertical="center" wrapText="1"/>
    </xf>
    <xf numFmtId="0" fontId="49" fillId="0" borderId="17" xfId="0" applyFont="1" applyBorder="1" applyAlignment="1">
      <alignment horizontal="left" vertical="center" wrapText="1"/>
    </xf>
    <xf numFmtId="174" fontId="49" fillId="0" borderId="17" xfId="54" applyNumberFormat="1" applyFont="1" applyBorder="1" applyAlignment="1">
      <alignment vertical="center" wrapText="1"/>
    </xf>
    <xf numFmtId="0" fontId="50" fillId="0" borderId="0" xfId="0" applyFont="1" applyAlignment="1">
      <alignment vertical="center"/>
    </xf>
    <xf numFmtId="0" fontId="56" fillId="0" borderId="17" xfId="0" applyFont="1" applyBorder="1" applyAlignment="1">
      <alignment horizontal="center" vertical="center" wrapText="1"/>
    </xf>
    <xf numFmtId="0" fontId="56" fillId="0" borderId="17" xfId="0" applyFont="1" applyBorder="1" applyAlignment="1">
      <alignment horizontal="left" vertical="center" wrapText="1"/>
    </xf>
    <xf numFmtId="174" fontId="56" fillId="0" borderId="17" xfId="0" applyNumberFormat="1" applyFont="1" applyBorder="1" applyAlignment="1">
      <alignment vertical="center" wrapText="1"/>
    </xf>
    <xf numFmtId="174" fontId="56" fillId="3" borderId="13" xfId="54" applyNumberFormat="1" applyFont="1" applyFill="1" applyBorder="1" applyAlignment="1">
      <alignment vertical="center" wrapText="1"/>
    </xf>
    <xf numFmtId="174" fontId="56" fillId="0" borderId="17" xfId="54" applyNumberFormat="1" applyFont="1" applyBorder="1" applyAlignment="1">
      <alignment vertical="center" wrapText="1"/>
    </xf>
    <xf numFmtId="0" fontId="55" fillId="0" borderId="17" xfId="0" applyFont="1" applyBorder="1" applyAlignment="1">
      <alignment horizontal="right" vertical="center" wrapText="1"/>
    </xf>
    <xf numFmtId="174" fontId="56" fillId="3" borderId="17" xfId="54" applyNumberFormat="1" applyFont="1" applyFill="1" applyBorder="1" applyAlignment="1">
      <alignment vertical="center" wrapText="1"/>
    </xf>
    <xf numFmtId="0" fontId="49" fillId="0" borderId="13" xfId="0" applyFont="1" applyBorder="1" applyAlignment="1">
      <alignment horizontal="center" vertical="center" wrapText="1"/>
    </xf>
    <xf numFmtId="0" fontId="49" fillId="0" borderId="13" xfId="0" applyFont="1" applyBorder="1" applyAlignment="1">
      <alignment horizontal="left" vertical="center" wrapText="1"/>
    </xf>
    <xf numFmtId="174" fontId="49" fillId="0" borderId="17" xfId="0" applyNumberFormat="1" applyFont="1" applyBorder="1" applyAlignment="1">
      <alignment vertical="center" wrapText="1"/>
    </xf>
    <xf numFmtId="0" fontId="56" fillId="0" borderId="13" xfId="0" applyFont="1" applyBorder="1" applyAlignment="1">
      <alignment horizontal="center" vertical="center" wrapText="1"/>
    </xf>
    <xf numFmtId="0" fontId="56" fillId="3" borderId="13" xfId="55" applyFont="1" applyFill="1" applyBorder="1" applyAlignment="1">
      <alignment horizontal="left" vertical="center" wrapText="1"/>
    </xf>
    <xf numFmtId="174" fontId="56" fillId="0" borderId="13" xfId="54" applyNumberFormat="1" applyFont="1" applyBorder="1" applyAlignment="1">
      <alignment vertical="center" wrapText="1"/>
    </xf>
    <xf numFmtId="164" fontId="55" fillId="0" borderId="13" xfId="0" applyNumberFormat="1" applyFont="1" applyBorder="1" applyAlignment="1">
      <alignment horizontal="right" vertical="center" wrapText="1"/>
    </xf>
    <xf numFmtId="0" fontId="55" fillId="0" borderId="13" xfId="0" applyFont="1" applyBorder="1" applyAlignment="1">
      <alignment horizontal="right" vertical="center" wrapText="1"/>
    </xf>
    <xf numFmtId="0" fontId="50" fillId="0" borderId="13" xfId="0" applyFont="1" applyBorder="1" applyAlignment="1">
      <alignment vertical="center"/>
    </xf>
    <xf numFmtId="0" fontId="57" fillId="0" borderId="13" xfId="0" applyFont="1" applyBorder="1" applyAlignment="1">
      <alignment vertical="center"/>
    </xf>
    <xf numFmtId="4" fontId="57" fillId="0" borderId="13" xfId="0" applyNumberFormat="1" applyFont="1" applyBorder="1" applyAlignment="1">
      <alignment vertical="center"/>
    </xf>
    <xf numFmtId="0" fontId="57" fillId="0" borderId="0" xfId="0" applyFont="1" applyAlignment="1">
      <alignment vertical="center"/>
    </xf>
    <xf numFmtId="0" fontId="56" fillId="0" borderId="14" xfId="0" applyFont="1" applyBorder="1" applyAlignment="1">
      <alignment horizontal="center" vertical="center" wrapText="1"/>
    </xf>
    <xf numFmtId="0" fontId="50" fillId="0" borderId="14" xfId="0" applyFont="1" applyBorder="1" applyAlignment="1">
      <alignment vertical="center"/>
    </xf>
    <xf numFmtId="174" fontId="56" fillId="0" borderId="14" xfId="0" applyNumberFormat="1" applyFont="1" applyBorder="1" applyAlignment="1">
      <alignment vertical="center" wrapText="1"/>
    </xf>
    <xf numFmtId="174" fontId="56" fillId="3" borderId="14" xfId="54" applyNumberFormat="1" applyFont="1" applyFill="1" applyBorder="1" applyAlignment="1">
      <alignment vertical="center" wrapText="1"/>
    </xf>
    <xf numFmtId="174" fontId="56" fillId="0" borderId="14" xfId="54" applyNumberFormat="1" applyFont="1" applyBorder="1" applyAlignment="1">
      <alignment vertical="center" wrapText="1"/>
    </xf>
    <xf numFmtId="0" fontId="17" fillId="2" borderId="0" xfId="0" applyFont="1" applyFill="1" applyAlignment="1">
      <alignment horizontal="left" vertical="center"/>
    </xf>
    <xf numFmtId="0" fontId="17" fillId="2" borderId="0" xfId="0" applyFont="1" applyFill="1" applyAlignment="1">
      <alignment vertical="center"/>
    </xf>
    <xf numFmtId="164" fontId="17" fillId="2" borderId="0" xfId="54" applyFont="1" applyFill="1" applyAlignment="1">
      <alignment vertical="center"/>
    </xf>
    <xf numFmtId="164" fontId="17" fillId="2" borderId="0" xfId="54" applyFont="1" applyFill="1" applyAlignment="1">
      <alignment horizontal="right" vertical="center"/>
    </xf>
    <xf numFmtId="164" fontId="25" fillId="2" borderId="0" xfId="54" applyFont="1" applyFill="1" applyAlignment="1">
      <alignment vertical="center"/>
    </xf>
    <xf numFmtId="164" fontId="16" fillId="2" borderId="12" xfId="54" applyFont="1" applyFill="1" applyBorder="1" applyAlignment="1">
      <alignment horizontal="center" vertical="center" wrapText="1"/>
    </xf>
    <xf numFmtId="164" fontId="14" fillId="2" borderId="13" xfId="54" applyFont="1" applyFill="1" applyBorder="1" applyAlignment="1">
      <alignment horizontal="right" vertical="center"/>
    </xf>
    <xf numFmtId="164" fontId="14" fillId="2" borderId="13" xfId="54" applyFont="1" applyFill="1" applyBorder="1" applyAlignment="1">
      <alignment vertical="center" wrapText="1"/>
    </xf>
    <xf numFmtId="164" fontId="16" fillId="2" borderId="13" xfId="54" applyFont="1" applyFill="1" applyBorder="1" applyAlignment="1">
      <alignment horizontal="center" vertical="center" wrapText="1"/>
    </xf>
    <xf numFmtId="2" fontId="14" fillId="2" borderId="13" xfId="54" applyNumberFormat="1" applyFont="1" applyFill="1" applyBorder="1" applyAlignment="1">
      <alignment horizontal="center" vertical="center" wrapText="1"/>
    </xf>
    <xf numFmtId="164" fontId="16" fillId="2" borderId="13" xfId="54" applyFont="1" applyFill="1" applyBorder="1" applyAlignment="1">
      <alignment horizontal="right" vertical="center"/>
    </xf>
    <xf numFmtId="0" fontId="14" fillId="2" borderId="13" xfId="22" applyFont="1" applyFill="1" applyBorder="1" applyAlignment="1">
      <alignment vertical="center" wrapText="1"/>
    </xf>
    <xf numFmtId="14" fontId="14" fillId="2" borderId="13" xfId="22" quotePrefix="1" applyNumberFormat="1" applyFont="1" applyFill="1" applyBorder="1" applyAlignment="1">
      <alignment horizontal="center" vertical="center"/>
    </xf>
    <xf numFmtId="0" fontId="14" fillId="2" borderId="13" xfId="22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vertical="center" wrapText="1"/>
    </xf>
    <xf numFmtId="14" fontId="14" fillId="2" borderId="12" xfId="0" quotePrefix="1" applyNumberFormat="1" applyFont="1" applyFill="1" applyBorder="1" applyAlignment="1">
      <alignment horizontal="center" vertical="center" wrapText="1"/>
    </xf>
    <xf numFmtId="0" fontId="32" fillId="2" borderId="12" xfId="0" applyFont="1" applyFill="1" applyBorder="1" applyAlignment="1">
      <alignment horizontal="center" vertical="center" wrapText="1"/>
    </xf>
    <xf numFmtId="0" fontId="32" fillId="2" borderId="13" xfId="0" applyFont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vertical="center" wrapText="1"/>
    </xf>
    <xf numFmtId="14" fontId="29" fillId="2" borderId="13" xfId="0" quotePrefix="1" applyNumberFormat="1" applyFont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center" vertical="center" wrapText="1"/>
    </xf>
    <xf numFmtId="0" fontId="29" fillId="2" borderId="13" xfId="46" applyFont="1" applyFill="1" applyBorder="1" applyAlignment="1">
      <alignment vertical="center" wrapText="1"/>
    </xf>
    <xf numFmtId="14" fontId="29" fillId="2" borderId="13" xfId="46" quotePrefix="1" applyNumberFormat="1" applyFont="1" applyFill="1" applyBorder="1" applyAlignment="1">
      <alignment horizontal="center" vertical="center"/>
    </xf>
    <xf numFmtId="1" fontId="29" fillId="2" borderId="13" xfId="0" applyNumberFormat="1" applyFont="1" applyFill="1" applyBorder="1" applyAlignment="1">
      <alignment horizontal="center" vertical="center" wrapText="1"/>
    </xf>
    <xf numFmtId="14" fontId="29" fillId="2" borderId="13" xfId="0" applyNumberFormat="1" applyFont="1" applyFill="1" applyBorder="1" applyAlignment="1">
      <alignment horizontal="center" vertical="center" wrapText="1"/>
    </xf>
    <xf numFmtId="0" fontId="29" fillId="2" borderId="13" xfId="0" applyFont="1" applyFill="1" applyBorder="1" applyAlignment="1">
      <alignment horizontal="left" vertical="center" wrapText="1"/>
    </xf>
    <xf numFmtId="14" fontId="16" fillId="2" borderId="13" xfId="0" applyNumberFormat="1" applyFont="1" applyFill="1" applyBorder="1" applyAlignment="1">
      <alignment horizontal="center" vertical="center" wrapText="1"/>
    </xf>
    <xf numFmtId="9" fontId="16" fillId="2" borderId="13" xfId="0" applyNumberFormat="1" applyFont="1" applyFill="1" applyBorder="1" applyAlignment="1">
      <alignment horizontal="center" vertical="center" wrapText="1"/>
    </xf>
    <xf numFmtId="166" fontId="16" fillId="2" borderId="13" xfId="52" applyNumberFormat="1" applyFont="1" applyFill="1" applyBorder="1" applyAlignment="1">
      <alignment horizontal="center" vertical="center" wrapText="1"/>
    </xf>
    <xf numFmtId="37" fontId="16" fillId="2" borderId="13" xfId="52" applyNumberFormat="1" applyFont="1" applyFill="1" applyBorder="1" applyAlignment="1">
      <alignment horizontal="center" vertical="center" wrapText="1"/>
    </xf>
    <xf numFmtId="14" fontId="16" fillId="2" borderId="13" xfId="0" quotePrefix="1" applyNumberFormat="1" applyFont="1" applyFill="1" applyBorder="1" applyAlignment="1">
      <alignment horizontal="center" vertical="center" wrapText="1"/>
    </xf>
    <xf numFmtId="49" fontId="16" fillId="2" borderId="13" xfId="27" quotePrefix="1" applyNumberFormat="1" applyFont="1" applyFill="1" applyBorder="1" applyAlignment="1">
      <alignment horizontal="center" vertical="center" wrapText="1"/>
    </xf>
    <xf numFmtId="166" fontId="16" fillId="2" borderId="13" xfId="52" applyNumberFormat="1" applyFont="1" applyFill="1" applyBorder="1" applyAlignment="1">
      <alignment vertical="center" wrapText="1"/>
    </xf>
    <xf numFmtId="14" fontId="14" fillId="2" borderId="13" xfId="0" applyNumberFormat="1" applyFont="1" applyFill="1" applyBorder="1" applyAlignment="1">
      <alignment vertical="center" wrapText="1"/>
    </xf>
    <xf numFmtId="14" fontId="14" fillId="2" borderId="14" xfId="0" applyNumberFormat="1" applyFont="1" applyFill="1" applyBorder="1" applyAlignment="1">
      <alignment vertical="center" wrapText="1"/>
    </xf>
    <xf numFmtId="49" fontId="14" fillId="2" borderId="14" xfId="27" quotePrefix="1" applyNumberFormat="1" applyFont="1" applyFill="1" applyBorder="1" applyAlignment="1">
      <alignment horizontal="center" vertical="center" wrapText="1"/>
    </xf>
    <xf numFmtId="164" fontId="14" fillId="2" borderId="14" xfId="54" applyFont="1" applyFill="1" applyBorder="1" applyAlignment="1">
      <alignment vertical="center" wrapText="1"/>
    </xf>
    <xf numFmtId="164" fontId="16" fillId="2" borderId="14" xfId="54" applyFont="1" applyFill="1" applyBorder="1" applyAlignment="1">
      <alignment horizontal="right" vertical="center"/>
    </xf>
    <xf numFmtId="164" fontId="17" fillId="2" borderId="0" xfId="0" applyNumberFormat="1" applyFont="1" applyFill="1" applyAlignment="1">
      <alignment horizontal="center" vertical="center"/>
    </xf>
    <xf numFmtId="165" fontId="16" fillId="2" borderId="0" xfId="0" applyNumberFormat="1" applyFont="1" applyFill="1" applyAlignment="1">
      <alignment vertical="center"/>
    </xf>
    <xf numFmtId="0" fontId="16" fillId="2" borderId="13" xfId="0" applyFont="1" applyFill="1" applyBorder="1" applyAlignment="1">
      <alignment vertical="center"/>
    </xf>
    <xf numFmtId="0" fontId="16" fillId="2" borderId="13" xfId="0" applyFont="1" applyFill="1" applyBorder="1" applyAlignment="1">
      <alignment horizontal="right" vertical="center"/>
    </xf>
    <xf numFmtId="43" fontId="14" fillId="2" borderId="13" xfId="0" applyNumberFormat="1" applyFont="1" applyFill="1" applyBorder="1" applyAlignment="1">
      <alignment horizontal="right" vertical="center" wrapText="1"/>
    </xf>
    <xf numFmtId="166" fontId="14" fillId="2" borderId="13" xfId="0" applyNumberFormat="1" applyFont="1" applyFill="1" applyBorder="1" applyAlignment="1">
      <alignment horizontal="right" vertical="center" wrapText="1"/>
    </xf>
    <xf numFmtId="43" fontId="14" fillId="2" borderId="13" xfId="52" applyFont="1" applyFill="1" applyBorder="1" applyAlignment="1">
      <alignment horizontal="center" vertical="center" wrapText="1"/>
    </xf>
    <xf numFmtId="0" fontId="14" fillId="2" borderId="13" xfId="56" applyFont="1" applyFill="1" applyBorder="1" applyAlignment="1">
      <alignment horizontal="center" vertical="center" wrapText="1"/>
    </xf>
    <xf numFmtId="3" fontId="16" fillId="2" borderId="13" xfId="0" applyNumberFormat="1" applyFont="1" applyFill="1" applyBorder="1" applyAlignment="1">
      <alignment horizontal="right" vertical="center" wrapText="1"/>
    </xf>
    <xf numFmtId="175" fontId="16" fillId="2" borderId="13" xfId="0" applyNumberFormat="1" applyFont="1" applyFill="1" applyBorder="1" applyAlignment="1">
      <alignment horizontal="right" vertical="center" wrapText="1"/>
    </xf>
    <xf numFmtId="0" fontId="14" fillId="2" borderId="13" xfId="63" applyFont="1" applyFill="1" applyBorder="1" applyAlignment="1">
      <alignment horizontal="center" vertical="center" wrapText="1"/>
    </xf>
    <xf numFmtId="37" fontId="16" fillId="2" borderId="13" xfId="0" applyNumberFormat="1" applyFont="1" applyFill="1" applyBorder="1" applyAlignment="1">
      <alignment horizontal="center" vertical="center" wrapText="1"/>
    </xf>
    <xf numFmtId="37" fontId="16" fillId="2" borderId="12" xfId="0" applyNumberFormat="1" applyFont="1" applyFill="1" applyBorder="1" applyAlignment="1">
      <alignment horizontal="center" vertical="center"/>
    </xf>
    <xf numFmtId="175" fontId="16" fillId="2" borderId="12" xfId="0" applyNumberFormat="1" applyFont="1" applyFill="1" applyBorder="1" applyAlignment="1">
      <alignment horizontal="center" vertical="center"/>
    </xf>
    <xf numFmtId="167" fontId="16" fillId="2" borderId="13" xfId="54" applyNumberFormat="1" applyFont="1" applyFill="1" applyBorder="1" applyAlignment="1">
      <alignment horizontal="center" vertical="center"/>
    </xf>
    <xf numFmtId="175" fontId="16" fillId="2" borderId="13" xfId="54" applyNumberFormat="1" applyFont="1" applyFill="1" applyBorder="1" applyAlignment="1">
      <alignment horizontal="center" vertical="center"/>
    </xf>
    <xf numFmtId="49" fontId="14" fillId="2" borderId="13" xfId="0" quotePrefix="1" applyNumberFormat="1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right" vertical="center" wrapText="1"/>
    </xf>
    <xf numFmtId="174" fontId="16" fillId="2" borderId="13" xfId="54" applyNumberFormat="1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right" vertical="center" wrapText="1"/>
    </xf>
    <xf numFmtId="14" fontId="14" fillId="2" borderId="1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vertical="center" wrapText="1"/>
    </xf>
    <xf numFmtId="14" fontId="14" fillId="2" borderId="18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1" fontId="14" fillId="2" borderId="13" xfId="0" applyNumberFormat="1" applyFont="1" applyFill="1" applyBorder="1" applyAlignment="1">
      <alignment horizontal="center" vertical="center" shrinkToFit="1"/>
    </xf>
    <xf numFmtId="175" fontId="17" fillId="2" borderId="0" xfId="0" applyNumberFormat="1" applyFont="1" applyFill="1" applyAlignment="1">
      <alignment horizontal="center" vertical="center"/>
    </xf>
    <xf numFmtId="0" fontId="14" fillId="2" borderId="13" xfId="56" quotePrefix="1" applyFont="1" applyFill="1" applyBorder="1" applyAlignment="1">
      <alignment horizontal="center" vertical="center" wrapText="1"/>
    </xf>
    <xf numFmtId="0" fontId="14" fillId="2" borderId="14" xfId="56" quotePrefix="1" applyFont="1" applyFill="1" applyBorder="1" applyAlignment="1">
      <alignment horizontal="center" vertical="center" wrapText="1"/>
    </xf>
    <xf numFmtId="0" fontId="14" fillId="2" borderId="13" xfId="21" applyFont="1" applyFill="1" applyBorder="1" applyAlignment="1">
      <alignment horizontal="center" vertical="center" wrapText="1"/>
    </xf>
    <xf numFmtId="174" fontId="49" fillId="0" borderId="12" xfId="54" applyNumberFormat="1" applyFont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/>
    </xf>
    <xf numFmtId="0" fontId="14" fillId="2" borderId="21" xfId="22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left" vertical="center" wrapText="1"/>
    </xf>
    <xf numFmtId="14" fontId="14" fillId="2" borderId="18" xfId="0" quotePrefix="1" applyNumberFormat="1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vertical="center" wrapText="1"/>
    </xf>
    <xf numFmtId="14" fontId="14" fillId="2" borderId="17" xfId="0" quotePrefix="1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/>
    </xf>
    <xf numFmtId="0" fontId="14" fillId="2" borderId="18" xfId="56" applyFont="1" applyFill="1" applyBorder="1" applyAlignment="1">
      <alignment horizontal="left" vertical="center"/>
    </xf>
    <xf numFmtId="14" fontId="14" fillId="2" borderId="18" xfId="63" applyNumberFormat="1" applyFont="1" applyFill="1" applyBorder="1" applyAlignment="1">
      <alignment horizontal="center" vertical="center" wrapText="1"/>
    </xf>
    <xf numFmtId="0" fontId="14" fillId="2" borderId="18" xfId="56" applyFont="1" applyFill="1" applyBorder="1" applyAlignment="1">
      <alignment horizontal="center" vertical="center" wrapText="1"/>
    </xf>
    <xf numFmtId="164" fontId="14" fillId="2" borderId="18" xfId="54" applyFont="1" applyFill="1" applyBorder="1" applyAlignment="1">
      <alignment horizontal="center" vertical="center" wrapText="1"/>
    </xf>
    <xf numFmtId="9" fontId="14" fillId="2" borderId="18" xfId="0" applyNumberFormat="1" applyFont="1" applyFill="1" applyBorder="1" applyAlignment="1">
      <alignment horizontal="center" vertical="center" wrapText="1"/>
    </xf>
    <xf numFmtId="166" fontId="14" fillId="2" borderId="18" xfId="52" applyNumberFormat="1" applyFont="1" applyFill="1" applyBorder="1" applyAlignment="1">
      <alignment horizontal="center" vertical="center" wrapText="1"/>
    </xf>
    <xf numFmtId="14" fontId="14" fillId="2" borderId="18" xfId="27" quotePrefix="1" applyNumberFormat="1" applyFont="1" applyFill="1" applyBorder="1" applyAlignment="1">
      <alignment horizontal="right" vertical="center" wrapText="1"/>
    </xf>
    <xf numFmtId="37" fontId="14" fillId="2" borderId="18" xfId="52" applyNumberFormat="1" applyFont="1" applyFill="1" applyBorder="1" applyAlignment="1">
      <alignment horizontal="center" vertical="center" wrapText="1"/>
    </xf>
    <xf numFmtId="14" fontId="14" fillId="2" borderId="18" xfId="27" quotePrefix="1" applyNumberFormat="1" applyFont="1" applyFill="1" applyBorder="1" applyAlignment="1">
      <alignment horizontal="center" vertical="center" wrapText="1"/>
    </xf>
    <xf numFmtId="169" fontId="14" fillId="2" borderId="18" xfId="0" applyNumberFormat="1" applyFont="1" applyFill="1" applyBorder="1" applyAlignment="1">
      <alignment horizontal="center" vertical="center" wrapText="1"/>
    </xf>
    <xf numFmtId="177" fontId="14" fillId="2" borderId="18" xfId="0" applyNumberFormat="1" applyFont="1" applyFill="1" applyBorder="1" applyAlignment="1">
      <alignment horizontal="center" vertical="center" wrapText="1"/>
    </xf>
    <xf numFmtId="37" fontId="14" fillId="2" borderId="18" xfId="0" applyNumberFormat="1" applyFont="1" applyFill="1" applyBorder="1" applyAlignment="1">
      <alignment horizontal="center" vertical="center" wrapText="1"/>
    </xf>
    <xf numFmtId="165" fontId="14" fillId="2" borderId="18" xfId="0" applyNumberFormat="1" applyFont="1" applyFill="1" applyBorder="1" applyAlignment="1">
      <alignment vertical="center" wrapText="1"/>
    </xf>
    <xf numFmtId="175" fontId="14" fillId="2" borderId="18" xfId="0" applyNumberFormat="1" applyFont="1" applyFill="1" applyBorder="1" applyAlignment="1">
      <alignment horizontal="right" vertical="center" wrapText="1"/>
    </xf>
    <xf numFmtId="173" fontId="14" fillId="2" borderId="18" xfId="0" applyNumberFormat="1" applyFont="1" applyFill="1" applyBorder="1" applyAlignment="1">
      <alignment horizontal="right" vertical="center" wrapText="1"/>
    </xf>
    <xf numFmtId="165" fontId="14" fillId="2" borderId="18" xfId="0" applyNumberFormat="1" applyFont="1" applyFill="1" applyBorder="1" applyAlignment="1">
      <alignment horizontal="right" vertical="center" wrapText="1"/>
    </xf>
    <xf numFmtId="164" fontId="14" fillId="2" borderId="18" xfId="54" applyFont="1" applyFill="1" applyBorder="1" applyAlignment="1">
      <alignment horizontal="right" vertical="center" wrapText="1"/>
    </xf>
    <xf numFmtId="171" fontId="14" fillId="2" borderId="18" xfId="0" applyNumberFormat="1" applyFont="1" applyFill="1" applyBorder="1" applyAlignment="1">
      <alignment horizontal="right" vertical="center" wrapText="1"/>
    </xf>
    <xf numFmtId="175" fontId="14" fillId="2" borderId="18" xfId="54" applyNumberFormat="1" applyFont="1" applyFill="1" applyBorder="1" applyAlignment="1">
      <alignment horizontal="right" vertical="center"/>
    </xf>
    <xf numFmtId="0" fontId="14" fillId="2" borderId="13" xfId="0" applyFont="1" applyFill="1" applyBorder="1" applyAlignment="1">
      <alignment horizontal="right" vertical="center"/>
    </xf>
    <xf numFmtId="0" fontId="58" fillId="0" borderId="0" xfId="0" applyFont="1"/>
    <xf numFmtId="0" fontId="28" fillId="2" borderId="2" xfId="0" applyFont="1" applyFill="1" applyBorder="1" applyAlignment="1">
      <alignment horizontal="center" vertical="center" wrapText="1"/>
    </xf>
    <xf numFmtId="171" fontId="58" fillId="0" borderId="0" xfId="0" applyNumberFormat="1" applyFont="1"/>
    <xf numFmtId="0" fontId="58" fillId="2" borderId="0" xfId="0" applyFont="1" applyFill="1"/>
    <xf numFmtId="3" fontId="29" fillId="2" borderId="14" xfId="0" applyNumberFormat="1" applyFont="1" applyFill="1" applyBorder="1" applyAlignment="1">
      <alignment horizontal="right" vertical="center"/>
    </xf>
    <xf numFmtId="0" fontId="3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" fontId="58" fillId="0" borderId="0" xfId="0" applyNumberFormat="1" applyFont="1"/>
    <xf numFmtId="0" fontId="49" fillId="0" borderId="3" xfId="0" applyFont="1" applyBorder="1" applyAlignment="1">
      <alignment horizontal="center" vertical="center" wrapText="1"/>
    </xf>
    <xf numFmtId="0" fontId="49" fillId="0" borderId="5" xfId="0" applyFont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3" fontId="49" fillId="0" borderId="2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3" fontId="54" fillId="0" borderId="0" xfId="0" applyNumberFormat="1" applyFont="1" applyAlignment="1">
      <alignment horizontal="right" vertical="center"/>
    </xf>
    <xf numFmtId="3" fontId="49" fillId="0" borderId="3" xfId="0" applyNumberFormat="1" applyFont="1" applyBorder="1" applyAlignment="1">
      <alignment horizontal="center" vertical="center" wrapText="1"/>
    </xf>
    <xf numFmtId="3" fontId="49" fillId="0" borderId="5" xfId="0" applyNumberFormat="1" applyFont="1" applyBorder="1" applyAlignment="1">
      <alignment horizontal="center" vertical="center" wrapText="1"/>
    </xf>
    <xf numFmtId="3" fontId="49" fillId="0" borderId="4" xfId="0" applyNumberFormat="1" applyFont="1" applyBorder="1" applyAlignment="1">
      <alignment horizontal="center" vertical="center" wrapText="1"/>
    </xf>
    <xf numFmtId="164" fontId="17" fillId="2" borderId="1" xfId="54" applyFont="1" applyFill="1" applyBorder="1" applyAlignment="1">
      <alignment horizontal="right" vertical="center"/>
    </xf>
    <xf numFmtId="0" fontId="16" fillId="2" borderId="1" xfId="1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center" vertical="center" wrapText="1"/>
    </xf>
    <xf numFmtId="3" fontId="16" fillId="2" borderId="13" xfId="1" applyNumberFormat="1" applyFont="1" applyFill="1" applyBorder="1" applyAlignment="1">
      <alignment horizontal="left" vertical="center" wrapText="1"/>
    </xf>
    <xf numFmtId="3" fontId="16" fillId="2" borderId="12" xfId="1" applyNumberFormat="1" applyFont="1" applyFill="1" applyBorder="1" applyAlignment="1">
      <alignment horizontal="left" vertical="center" wrapText="1"/>
    </xf>
    <xf numFmtId="0" fontId="34" fillId="2" borderId="0" xfId="0" applyFont="1" applyFill="1" applyAlignment="1">
      <alignment horizontal="center" vertical="center" wrapText="1"/>
    </xf>
    <xf numFmtId="164" fontId="16" fillId="2" borderId="3" xfId="54" applyFont="1" applyFill="1" applyBorder="1" applyAlignment="1">
      <alignment horizontal="center" vertical="center" wrapText="1"/>
    </xf>
    <xf numFmtId="164" fontId="16" fillId="2" borderId="4" xfId="54" applyFont="1" applyFill="1" applyBorder="1" applyAlignment="1">
      <alignment horizontal="center" vertical="center" wrapText="1"/>
    </xf>
    <xf numFmtId="164" fontId="16" fillId="2" borderId="5" xfId="54" applyFont="1" applyFill="1" applyBorder="1" applyAlignment="1">
      <alignment horizontal="center" vertical="center" wrapText="1"/>
    </xf>
    <xf numFmtId="164" fontId="25" fillId="2" borderId="6" xfId="54" applyFont="1" applyFill="1" applyBorder="1" applyAlignment="1">
      <alignment horizontal="center" vertical="center" wrapText="1"/>
    </xf>
    <xf numFmtId="164" fontId="25" fillId="2" borderId="8" xfId="54" applyFont="1" applyFill="1" applyBorder="1" applyAlignment="1">
      <alignment horizontal="center" vertical="center" wrapText="1"/>
    </xf>
    <xf numFmtId="164" fontId="25" fillId="2" borderId="7" xfId="54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65" fontId="16" fillId="2" borderId="3" xfId="52" applyNumberFormat="1" applyFont="1" applyFill="1" applyBorder="1" applyAlignment="1">
      <alignment horizontal="center" vertical="center" wrapText="1"/>
    </xf>
    <xf numFmtId="165" fontId="16" fillId="2" borderId="5" xfId="52" applyNumberFormat="1" applyFont="1" applyFill="1" applyBorder="1" applyAlignment="1">
      <alignment horizontal="center" vertical="center" wrapText="1"/>
    </xf>
    <xf numFmtId="165" fontId="16" fillId="2" borderId="4" xfId="52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0" fontId="16" fillId="2" borderId="5" xfId="1" applyFont="1" applyFill="1" applyBorder="1" applyAlignment="1">
      <alignment horizontal="center" vertical="center" wrapText="1"/>
    </xf>
    <xf numFmtId="0" fontId="16" fillId="2" borderId="4" xfId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4" fontId="25" fillId="2" borderId="2" xfId="54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14" fontId="16" fillId="2" borderId="2" xfId="1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25" fillId="2" borderId="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left" vertical="top"/>
    </xf>
    <xf numFmtId="0" fontId="14" fillId="2" borderId="19" xfId="0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 wrapText="1"/>
    </xf>
    <xf numFmtId="164" fontId="25" fillId="2" borderId="3" xfId="54" applyFont="1" applyFill="1" applyBorder="1" applyAlignment="1">
      <alignment horizontal="center" vertical="center" wrapText="1"/>
    </xf>
    <xf numFmtId="164" fontId="25" fillId="2" borderId="4" xfId="54" applyFont="1" applyFill="1" applyBorder="1" applyAlignment="1">
      <alignment horizontal="center" vertical="center" wrapText="1"/>
    </xf>
    <xf numFmtId="164" fontId="16" fillId="2" borderId="6" xfId="54" applyFont="1" applyFill="1" applyBorder="1" applyAlignment="1">
      <alignment horizontal="center" vertical="center" wrapText="1"/>
    </xf>
    <xf numFmtId="164" fontId="16" fillId="2" borderId="8" xfId="54" applyFont="1" applyFill="1" applyBorder="1" applyAlignment="1">
      <alignment horizontal="center" vertical="center" wrapText="1"/>
    </xf>
    <xf numFmtId="164" fontId="16" fillId="2" borderId="7" xfId="54" applyFont="1" applyFill="1" applyBorder="1" applyAlignment="1">
      <alignment horizontal="center" vertical="center" wrapText="1"/>
    </xf>
    <xf numFmtId="164" fontId="14" fillId="2" borderId="2" xfId="54" applyFont="1" applyFill="1" applyBorder="1" applyAlignment="1">
      <alignment horizontal="center" vertical="center" wrapText="1"/>
    </xf>
    <xf numFmtId="164" fontId="14" fillId="2" borderId="3" xfId="54" applyFont="1" applyFill="1" applyBorder="1" applyAlignment="1">
      <alignment horizontal="center" vertical="center" wrapText="1"/>
    </xf>
    <xf numFmtId="164" fontId="14" fillId="2" borderId="4" xfId="54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7" xfId="1" applyFont="1" applyFill="1" applyBorder="1" applyAlignment="1">
      <alignment horizontal="center" vertical="center" wrapText="1"/>
    </xf>
    <xf numFmtId="164" fontId="16" fillId="2" borderId="9" xfId="54" applyFont="1" applyFill="1" applyBorder="1" applyAlignment="1">
      <alignment horizontal="center" vertical="center" wrapText="1"/>
    </xf>
    <xf numFmtId="164" fontId="16" fillId="2" borderId="10" xfId="54" applyFont="1" applyFill="1" applyBorder="1" applyAlignment="1">
      <alignment horizontal="center" vertical="center" wrapText="1"/>
    </xf>
    <xf numFmtId="164" fontId="16" fillId="2" borderId="11" xfId="54" applyFont="1" applyFill="1" applyBorder="1" applyAlignment="1">
      <alignment horizontal="center" vertical="center" wrapText="1"/>
    </xf>
    <xf numFmtId="0" fontId="44" fillId="2" borderId="2" xfId="0" applyFont="1" applyFill="1" applyBorder="1" applyAlignment="1">
      <alignment horizontal="center" vertical="center" wrapText="1"/>
    </xf>
    <xf numFmtId="0" fontId="42" fillId="2" borderId="3" xfId="1" applyFont="1" applyFill="1" applyBorder="1" applyAlignment="1">
      <alignment horizontal="center" vertical="center" wrapText="1"/>
    </xf>
    <xf numFmtId="0" fontId="42" fillId="2" borderId="4" xfId="1" applyFont="1" applyFill="1" applyBorder="1" applyAlignment="1">
      <alignment horizontal="center" vertical="center" wrapText="1"/>
    </xf>
    <xf numFmtId="0" fontId="36" fillId="2" borderId="1" xfId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right" vertical="center"/>
    </xf>
    <xf numFmtId="0" fontId="38" fillId="2" borderId="2" xfId="1" applyFont="1" applyFill="1" applyBorder="1" applyAlignment="1">
      <alignment horizontal="center" vertical="center" wrapText="1"/>
    </xf>
    <xf numFmtId="14" fontId="38" fillId="2" borderId="2" xfId="1" applyNumberFormat="1" applyFont="1" applyFill="1" applyBorder="1" applyAlignment="1">
      <alignment horizontal="center" vertical="center" wrapText="1"/>
    </xf>
    <xf numFmtId="0" fontId="38" fillId="2" borderId="2" xfId="1" applyFont="1" applyFill="1" applyBorder="1" applyAlignment="1">
      <alignment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2" borderId="5" xfId="0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38" fillId="2" borderId="2" xfId="0" applyFont="1" applyFill="1" applyBorder="1" applyAlignment="1">
      <alignment horizontal="center" vertical="center" wrapText="1"/>
    </xf>
    <xf numFmtId="165" fontId="38" fillId="2" borderId="3" xfId="52" applyNumberFormat="1" applyFont="1" applyFill="1" applyBorder="1" applyAlignment="1">
      <alignment horizontal="center" vertical="center" wrapText="1"/>
    </xf>
    <xf numFmtId="165" fontId="38" fillId="2" borderId="5" xfId="52" applyNumberFormat="1" applyFont="1" applyFill="1" applyBorder="1" applyAlignment="1">
      <alignment horizontal="center" vertical="center" wrapText="1"/>
    </xf>
    <xf numFmtId="165" fontId="38" fillId="2" borderId="4" xfId="52" applyNumberFormat="1" applyFont="1" applyFill="1" applyBorder="1" applyAlignment="1">
      <alignment horizontal="center" vertical="center" wrapText="1"/>
    </xf>
    <xf numFmtId="0" fontId="38" fillId="2" borderId="3" xfId="1" applyFont="1" applyFill="1" applyBorder="1" applyAlignment="1">
      <alignment horizontal="center" vertical="center" wrapText="1"/>
    </xf>
    <xf numFmtId="0" fontId="38" fillId="2" borderId="5" xfId="1" applyFont="1" applyFill="1" applyBorder="1" applyAlignment="1">
      <alignment horizontal="center" vertical="center" wrapText="1"/>
    </xf>
    <xf numFmtId="0" fontId="38" fillId="2" borderId="4" xfId="1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28" fillId="2" borderId="10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 wrapText="1"/>
    </xf>
    <xf numFmtId="0" fontId="43" fillId="2" borderId="2" xfId="0" applyFont="1" applyFill="1" applyBorder="1" applyAlignment="1">
      <alignment horizontal="center" vertical="center" wrapText="1"/>
    </xf>
    <xf numFmtId="0" fontId="42" fillId="2" borderId="2" xfId="0" applyFont="1" applyFill="1" applyBorder="1" applyAlignment="1">
      <alignment horizontal="center" vertical="center" wrapText="1"/>
    </xf>
    <xf numFmtId="0" fontId="45" fillId="2" borderId="3" xfId="0" applyFont="1" applyFill="1" applyBorder="1" applyAlignment="1">
      <alignment horizontal="center" vertical="center" wrapText="1"/>
    </xf>
    <xf numFmtId="0" fontId="45" fillId="2" borderId="4" xfId="0" applyFont="1" applyFill="1" applyBorder="1" applyAlignment="1">
      <alignment horizontal="center" vertical="center" wrapText="1"/>
    </xf>
    <xf numFmtId="0" fontId="42" fillId="2" borderId="6" xfId="1" applyFont="1" applyFill="1" applyBorder="1" applyAlignment="1">
      <alignment horizontal="center" vertical="center" wrapText="1"/>
    </xf>
    <xf numFmtId="0" fontId="42" fillId="2" borderId="7" xfId="1" applyFont="1" applyFill="1" applyBorder="1" applyAlignment="1">
      <alignment horizontal="center" vertical="center" wrapText="1"/>
    </xf>
    <xf numFmtId="0" fontId="41" fillId="2" borderId="3" xfId="0" applyFont="1" applyFill="1" applyBorder="1" applyAlignment="1">
      <alignment horizontal="center" vertical="center" wrapText="1"/>
    </xf>
    <xf numFmtId="0" fontId="41" fillId="2" borderId="4" xfId="0" applyFont="1" applyFill="1" applyBorder="1" applyAlignment="1">
      <alignment horizontal="center" vertical="center" wrapText="1"/>
    </xf>
    <xf numFmtId="164" fontId="38" fillId="2" borderId="3" xfId="54" applyFont="1" applyFill="1" applyBorder="1" applyAlignment="1">
      <alignment horizontal="center" vertical="center" wrapText="1"/>
    </xf>
    <xf numFmtId="164" fontId="38" fillId="2" borderId="4" xfId="54" applyFont="1" applyFill="1" applyBorder="1" applyAlignment="1">
      <alignment horizontal="center" vertical="center" wrapText="1"/>
    </xf>
    <xf numFmtId="3" fontId="28" fillId="2" borderId="3" xfId="0" applyNumberFormat="1" applyFont="1" applyFill="1" applyBorder="1" applyAlignment="1">
      <alignment horizontal="center" vertical="center" wrapText="1"/>
    </xf>
    <xf numFmtId="3" fontId="28" fillId="2" borderId="5" xfId="0" applyNumberFormat="1" applyFont="1" applyFill="1" applyBorder="1" applyAlignment="1">
      <alignment horizontal="center" vertical="center" wrapText="1"/>
    </xf>
    <xf numFmtId="3" fontId="28" fillId="2" borderId="4" xfId="0" applyNumberFormat="1" applyFont="1" applyFill="1" applyBorder="1" applyAlignment="1">
      <alignment horizontal="center" vertical="center" wrapText="1"/>
    </xf>
    <xf numFmtId="0" fontId="43" fillId="2" borderId="6" xfId="0" applyFont="1" applyFill="1" applyBorder="1" applyAlignment="1">
      <alignment horizontal="center" vertical="center" wrapText="1"/>
    </xf>
    <xf numFmtId="0" fontId="43" fillId="2" borderId="8" xfId="0" applyFont="1" applyFill="1" applyBorder="1" applyAlignment="1">
      <alignment horizontal="center" vertical="center" wrapText="1"/>
    </xf>
    <xf numFmtId="0" fontId="43" fillId="2" borderId="7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horizontal="center" vertical="center" wrapText="1"/>
    </xf>
    <xf numFmtId="0" fontId="38" fillId="2" borderId="8" xfId="0" applyFont="1" applyFill="1" applyBorder="1" applyAlignment="1">
      <alignment horizontal="center" vertical="center" wrapText="1"/>
    </xf>
    <xf numFmtId="0" fontId="38" fillId="2" borderId="7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left" vertical="center"/>
    </xf>
    <xf numFmtId="0" fontId="14" fillId="2" borderId="19" xfId="0" applyFont="1" applyFill="1" applyBorder="1" applyAlignment="1">
      <alignment horizontal="left" vertical="center"/>
    </xf>
    <xf numFmtId="0" fontId="41" fillId="2" borderId="2" xfId="0" applyFont="1" applyFill="1" applyBorder="1" applyAlignment="1">
      <alignment horizontal="center" vertical="center" wrapText="1"/>
    </xf>
    <xf numFmtId="0" fontId="44" fillId="2" borderId="3" xfId="0" applyFont="1" applyFill="1" applyBorder="1" applyAlignment="1">
      <alignment horizontal="center" vertical="center" wrapText="1"/>
    </xf>
    <xf numFmtId="0" fontId="44" fillId="2" borderId="4" xfId="0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0" fontId="36" fillId="2" borderId="5" xfId="0" applyFont="1" applyFill="1" applyBorder="1" applyAlignment="1">
      <alignment horizontal="center" vertical="center" wrapText="1"/>
    </xf>
    <xf numFmtId="0" fontId="36" fillId="2" borderId="4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center" wrapText="1"/>
    </xf>
    <xf numFmtId="0" fontId="16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28" fillId="2" borderId="2" xfId="19" applyFont="1" applyFill="1" applyBorder="1" applyAlignment="1">
      <alignment horizontal="center" vertical="center" wrapText="1"/>
    </xf>
    <xf numFmtId="49" fontId="28" fillId="2" borderId="2" xfId="19" applyNumberFormat="1" applyFont="1" applyFill="1" applyBorder="1" applyAlignment="1">
      <alignment horizontal="center" vertical="center" wrapText="1"/>
    </xf>
    <xf numFmtId="0" fontId="28" fillId="2" borderId="6" xfId="19" applyFont="1" applyFill="1" applyBorder="1" applyAlignment="1">
      <alignment horizontal="center" vertical="center" wrapText="1"/>
    </xf>
    <xf numFmtId="0" fontId="28" fillId="2" borderId="8" xfId="19" applyFont="1" applyFill="1" applyBorder="1" applyAlignment="1">
      <alignment horizontal="center" vertical="center" wrapText="1"/>
    </xf>
    <xf numFmtId="0" fontId="28" fillId="2" borderId="7" xfId="19" applyFont="1" applyFill="1" applyBorder="1" applyAlignment="1">
      <alignment horizontal="center" vertical="center" wrapText="1"/>
    </xf>
    <xf numFmtId="170" fontId="28" fillId="2" borderId="3" xfId="19" applyNumberFormat="1" applyFont="1" applyFill="1" applyBorder="1" applyAlignment="1">
      <alignment horizontal="center" vertical="center" wrapText="1"/>
    </xf>
    <xf numFmtId="170" fontId="28" fillId="2" borderId="4" xfId="19" applyNumberFormat="1" applyFont="1" applyFill="1" applyBorder="1" applyAlignment="1">
      <alignment horizontal="center" vertical="center" wrapText="1"/>
    </xf>
    <xf numFmtId="4" fontId="28" fillId="2" borderId="3" xfId="19" applyNumberFormat="1" applyFont="1" applyFill="1" applyBorder="1" applyAlignment="1">
      <alignment horizontal="center" vertical="center" wrapText="1"/>
    </xf>
    <xf numFmtId="4" fontId="28" fillId="2" borderId="4" xfId="19" applyNumberFormat="1" applyFont="1" applyFill="1" applyBorder="1" applyAlignment="1">
      <alignment horizontal="center" vertical="center" wrapText="1"/>
    </xf>
    <xf numFmtId="4" fontId="28" fillId="2" borderId="2" xfId="19" applyNumberFormat="1" applyFont="1" applyFill="1" applyBorder="1" applyAlignment="1">
      <alignment horizontal="center" vertical="center" wrapText="1"/>
    </xf>
    <xf numFmtId="1" fontId="28" fillId="2" borderId="3" xfId="19" applyNumberFormat="1" applyFont="1" applyFill="1" applyBorder="1" applyAlignment="1">
      <alignment horizontal="center" vertical="center" wrapText="1"/>
    </xf>
    <xf numFmtId="1" fontId="28" fillId="2" borderId="4" xfId="19" applyNumberFormat="1" applyFont="1" applyFill="1" applyBorder="1" applyAlignment="1">
      <alignment horizontal="center" vertical="center" wrapText="1"/>
    </xf>
    <xf numFmtId="0" fontId="28" fillId="2" borderId="13" xfId="19" applyFont="1" applyFill="1" applyBorder="1" applyAlignment="1">
      <alignment horizontal="left" vertical="center" wrapText="1"/>
    </xf>
    <xf numFmtId="49" fontId="16" fillId="0" borderId="13" xfId="0" applyNumberFormat="1" applyFont="1" applyBorder="1" applyAlignment="1">
      <alignment horizontal="left" vertical="center" wrapText="1"/>
    </xf>
    <xf numFmtId="0" fontId="28" fillId="2" borderId="3" xfId="19" applyFont="1" applyFill="1" applyBorder="1" applyAlignment="1">
      <alignment horizontal="center" vertical="center" wrapText="1"/>
    </xf>
    <xf numFmtId="0" fontId="28" fillId="2" borderId="4" xfId="19" applyFont="1" applyFill="1" applyBorder="1" applyAlignment="1">
      <alignment horizontal="center" vertical="center" wrapText="1"/>
    </xf>
    <xf numFmtId="1" fontId="28" fillId="2" borderId="2" xfId="19" applyNumberFormat="1" applyFont="1" applyFill="1" applyBorder="1" applyAlignment="1">
      <alignment horizontal="center" vertical="center" wrapText="1"/>
    </xf>
    <xf numFmtId="1" fontId="28" fillId="2" borderId="2" xfId="19" applyNumberFormat="1" applyFont="1" applyFill="1" applyBorder="1" applyAlignment="1" applyProtection="1">
      <alignment horizontal="center" vertical="center" wrapText="1"/>
      <protection locked="0"/>
    </xf>
    <xf numFmtId="0" fontId="28" fillId="2" borderId="15" xfId="19" applyFont="1" applyFill="1" applyBorder="1" applyAlignment="1">
      <alignment horizontal="center" vertical="center" wrapText="1"/>
    </xf>
    <xf numFmtId="0" fontId="28" fillId="2" borderId="16" xfId="19" applyFont="1" applyFill="1" applyBorder="1" applyAlignment="1">
      <alignment horizontal="center" vertical="center" wrapText="1"/>
    </xf>
    <xf numFmtId="3" fontId="28" fillId="2" borderId="2" xfId="19" applyNumberFormat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vertical="center" wrapText="1"/>
    </xf>
    <xf numFmtId="164" fontId="16" fillId="2" borderId="2" xfId="54" applyFont="1" applyFill="1" applyBorder="1" applyAlignment="1">
      <alignment horizontal="center" vertical="center" wrapText="1"/>
    </xf>
    <xf numFmtId="3" fontId="22" fillId="2" borderId="12" xfId="1" applyNumberFormat="1" applyFont="1" applyFill="1" applyBorder="1" applyAlignment="1">
      <alignment horizontal="left" vertical="center" wrapText="1"/>
    </xf>
    <xf numFmtId="3" fontId="22" fillId="2" borderId="13" xfId="1" applyNumberFormat="1" applyFont="1" applyFill="1" applyBorder="1" applyAlignment="1">
      <alignment horizontal="left" vertical="center" wrapText="1"/>
    </xf>
  </cellXfs>
  <cellStyles count="68">
    <cellStyle name="Comma" xfId="54" builtinId="3"/>
    <cellStyle name="Comma 10" xfId="52" xr:uid="{00000000-0005-0000-0000-000001000000}"/>
    <cellStyle name="Comma 13" xfId="4" xr:uid="{00000000-0005-0000-0000-000002000000}"/>
    <cellStyle name="Comma 2" xfId="5" xr:uid="{00000000-0005-0000-0000-000003000000}"/>
    <cellStyle name="Comma 2 2" xfId="6" xr:uid="{00000000-0005-0000-0000-000004000000}"/>
    <cellStyle name="Comma 2 3" xfId="7" xr:uid="{00000000-0005-0000-0000-000005000000}"/>
    <cellStyle name="Comma 2 3 2" xfId="37" xr:uid="{00000000-0005-0000-0000-000006000000}"/>
    <cellStyle name="Comma 2 4" xfId="36" xr:uid="{00000000-0005-0000-0000-000007000000}"/>
    <cellStyle name="Comma 3" xfId="8" xr:uid="{00000000-0005-0000-0000-000008000000}"/>
    <cellStyle name="Comma 3 2" xfId="38" xr:uid="{00000000-0005-0000-0000-000009000000}"/>
    <cellStyle name="Comma 4" xfId="9" xr:uid="{00000000-0005-0000-0000-00000A000000}"/>
    <cellStyle name="Comma 5" xfId="10" xr:uid="{00000000-0005-0000-0000-00000B000000}"/>
    <cellStyle name="Comma 5 2" xfId="39" xr:uid="{00000000-0005-0000-0000-00000C000000}"/>
    <cellStyle name="Comma 6" xfId="11" xr:uid="{00000000-0005-0000-0000-00000D000000}"/>
    <cellStyle name="Comma 6 2" xfId="12" xr:uid="{00000000-0005-0000-0000-00000E000000}"/>
    <cellStyle name="Comma 6 2 2" xfId="41" xr:uid="{00000000-0005-0000-0000-00000F000000}"/>
    <cellStyle name="Comma 6 3" xfId="40" xr:uid="{00000000-0005-0000-0000-000010000000}"/>
    <cellStyle name="Comma 7" xfId="3" xr:uid="{00000000-0005-0000-0000-000011000000}"/>
    <cellStyle name="Comma 8" xfId="28" xr:uid="{00000000-0005-0000-0000-000012000000}"/>
    <cellStyle name="Comma 9" xfId="35" xr:uid="{00000000-0005-0000-0000-000013000000}"/>
    <cellStyle name="Comma 9 2" xfId="49" xr:uid="{00000000-0005-0000-0000-000014000000}"/>
    <cellStyle name="Normal" xfId="0" builtinId="0"/>
    <cellStyle name="Normal 10" xfId="27" xr:uid="{00000000-0005-0000-0000-000016000000}"/>
    <cellStyle name="Normal 11" xfId="13" xr:uid="{00000000-0005-0000-0000-000017000000}"/>
    <cellStyle name="Normal 11 2" xfId="42" xr:uid="{00000000-0005-0000-0000-000018000000}"/>
    <cellStyle name="Normal 12" xfId="14" xr:uid="{00000000-0005-0000-0000-000019000000}"/>
    <cellStyle name="Normal 13" xfId="34" xr:uid="{00000000-0005-0000-0000-00001A000000}"/>
    <cellStyle name="Normal 13 2" xfId="48" xr:uid="{00000000-0005-0000-0000-00001B000000}"/>
    <cellStyle name="Normal 14" xfId="1" xr:uid="{00000000-0005-0000-0000-00001C000000}"/>
    <cellStyle name="Normal 15" xfId="50" xr:uid="{00000000-0005-0000-0000-00001D000000}"/>
    <cellStyle name="Normal 15 2" xfId="53" xr:uid="{00000000-0005-0000-0000-00001E000000}"/>
    <cellStyle name="Normal 16" xfId="51" xr:uid="{00000000-0005-0000-0000-00001F000000}"/>
    <cellStyle name="Normal 16 2" xfId="63" xr:uid="{00000000-0005-0000-0000-000020000000}"/>
    <cellStyle name="Normal 17" xfId="58" xr:uid="{00000000-0005-0000-0000-000021000000}"/>
    <cellStyle name="Normal 18" xfId="57" xr:uid="{00000000-0005-0000-0000-000022000000}"/>
    <cellStyle name="Normal 18 2" xfId="62" xr:uid="{00000000-0005-0000-0000-000023000000}"/>
    <cellStyle name="Normal 2" xfId="15" xr:uid="{00000000-0005-0000-0000-000024000000}"/>
    <cellStyle name="Normal 2 2" xfId="16" xr:uid="{00000000-0005-0000-0000-000025000000}"/>
    <cellStyle name="Normal 2 2 2" xfId="17" xr:uid="{00000000-0005-0000-0000-000026000000}"/>
    <cellStyle name="Normal 2 2 2 2" xfId="43" xr:uid="{00000000-0005-0000-0000-000027000000}"/>
    <cellStyle name="Normal 2 2 2 2 2" xfId="59" xr:uid="{00000000-0005-0000-0000-000028000000}"/>
    <cellStyle name="Normal 2 2 3" xfId="29" xr:uid="{00000000-0005-0000-0000-000029000000}"/>
    <cellStyle name="Normal 2 2 4" xfId="60" xr:uid="{00000000-0005-0000-0000-00002A000000}"/>
    <cellStyle name="Normal 2 3" xfId="67" xr:uid="{00000000-0005-0000-0000-00002B000000}"/>
    <cellStyle name="Normal 2 4" xfId="61" xr:uid="{00000000-0005-0000-0000-00002C000000}"/>
    <cellStyle name="Normal 2_SƠN ĐỘNG-1a" xfId="18" xr:uid="{00000000-0005-0000-0000-00002D000000}"/>
    <cellStyle name="Normal 3" xfId="19" xr:uid="{00000000-0005-0000-0000-00002E000000}"/>
    <cellStyle name="Normal 3 2" xfId="20" xr:uid="{00000000-0005-0000-0000-00002F000000}"/>
    <cellStyle name="Normal 3 3" xfId="44" xr:uid="{00000000-0005-0000-0000-000030000000}"/>
    <cellStyle name="Normal 3 4" xfId="65" xr:uid="{00000000-0005-0000-0000-000031000000}"/>
    <cellStyle name="Normal 4" xfId="21" xr:uid="{00000000-0005-0000-0000-000032000000}"/>
    <cellStyle name="Normal 4 2" xfId="30" xr:uid="{00000000-0005-0000-0000-000033000000}"/>
    <cellStyle name="Normal 4 3" xfId="31" xr:uid="{00000000-0005-0000-0000-000034000000}"/>
    <cellStyle name="Normal 4 4" xfId="45" xr:uid="{00000000-0005-0000-0000-000035000000}"/>
    <cellStyle name="Normal 4 5" xfId="64" xr:uid="{00000000-0005-0000-0000-000036000000}"/>
    <cellStyle name="Normal 5" xfId="22" xr:uid="{00000000-0005-0000-0000-000037000000}"/>
    <cellStyle name="Normal 5 2" xfId="46" xr:uid="{00000000-0005-0000-0000-000038000000}"/>
    <cellStyle name="Normal 6" xfId="2" xr:uid="{00000000-0005-0000-0000-000039000000}"/>
    <cellStyle name="Normal 6 2" xfId="32" xr:uid="{00000000-0005-0000-0000-00003A000000}"/>
    <cellStyle name="Normal 6 2 2" xfId="66" xr:uid="{00000000-0005-0000-0000-00003B000000}"/>
    <cellStyle name="Normal 7" xfId="24" xr:uid="{00000000-0005-0000-0000-00003C000000}"/>
    <cellStyle name="Normal 8" xfId="25" xr:uid="{00000000-0005-0000-0000-00003D000000}"/>
    <cellStyle name="Normal 9" xfId="26" xr:uid="{00000000-0005-0000-0000-00003E000000}"/>
    <cellStyle name="Normal 9 2" xfId="55" xr:uid="{00000000-0005-0000-0000-00003F000000}"/>
    <cellStyle name="Normal_Sheet1" xfId="56" xr:uid="{00000000-0005-0000-0000-000040000000}"/>
    <cellStyle name="Percent 2" xfId="23" xr:uid="{00000000-0005-0000-0000-000041000000}"/>
    <cellStyle name="Percent 2 2" xfId="33" xr:uid="{00000000-0005-0000-0000-000042000000}"/>
    <cellStyle name="Percent 2 3" xfId="47" xr:uid="{00000000-0005-0000-0000-00004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638175</xdr:colOff>
      <xdr:row>100</xdr:row>
      <xdr:rowOff>0</xdr:rowOff>
    </xdr:from>
    <xdr:to>
      <xdr:col>4</xdr:col>
      <xdr:colOff>758188</xdr:colOff>
      <xdr:row>100</xdr:row>
      <xdr:rowOff>193863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2DA9C3F-CE7C-45D7-BB1B-BF687298A6BA}"/>
            </a:ext>
          </a:extLst>
        </xdr:cNvPr>
        <xdr:cNvSpPr txBox="1">
          <a:spLocks noChangeArrowheads="1"/>
        </xdr:cNvSpPr>
      </xdr:nvSpPr>
      <xdr:spPr bwMode="auto">
        <a:xfrm>
          <a:off x="4943475" y="53873400"/>
          <a:ext cx="1263013" cy="231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100</xdr:row>
      <xdr:rowOff>0</xdr:rowOff>
    </xdr:from>
    <xdr:to>
      <xdr:col>4</xdr:col>
      <xdr:colOff>706428</xdr:colOff>
      <xdr:row>100</xdr:row>
      <xdr:rowOff>194627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D6F92F4-C4F9-4408-82C3-EE70BB5B717F}"/>
            </a:ext>
          </a:extLst>
        </xdr:cNvPr>
        <xdr:cNvSpPr txBox="1">
          <a:spLocks noChangeArrowheads="1"/>
        </xdr:cNvSpPr>
      </xdr:nvSpPr>
      <xdr:spPr bwMode="auto">
        <a:xfrm>
          <a:off x="4876800" y="53873400"/>
          <a:ext cx="1306503" cy="3851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638175</xdr:colOff>
      <xdr:row>93</xdr:row>
      <xdr:rowOff>152400</xdr:rowOff>
    </xdr:from>
    <xdr:ext cx="1308845" cy="231963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8EA98681-6691-4234-99DF-77D41B4E0FBB}"/>
            </a:ext>
          </a:extLst>
        </xdr:cNvPr>
        <xdr:cNvSpPr txBox="1">
          <a:spLocks noChangeArrowheads="1"/>
        </xdr:cNvSpPr>
      </xdr:nvSpPr>
      <xdr:spPr bwMode="auto">
        <a:xfrm>
          <a:off x="4943475" y="49853850"/>
          <a:ext cx="1308845" cy="231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638175</xdr:colOff>
      <xdr:row>183</xdr:row>
      <xdr:rowOff>0</xdr:rowOff>
    </xdr:from>
    <xdr:to>
      <xdr:col>4</xdr:col>
      <xdr:colOff>666748</xdr:colOff>
      <xdr:row>183</xdr:row>
      <xdr:rowOff>194922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943475" y="99641025"/>
          <a:ext cx="1171573" cy="4044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183</xdr:row>
      <xdr:rowOff>0</xdr:rowOff>
    </xdr:from>
    <xdr:to>
      <xdr:col>4</xdr:col>
      <xdr:colOff>571500</xdr:colOff>
      <xdr:row>183</xdr:row>
      <xdr:rowOff>193863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876800" y="99641025"/>
          <a:ext cx="0" cy="1938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183</xdr:row>
      <xdr:rowOff>0</xdr:rowOff>
    </xdr:from>
    <xdr:to>
      <xdr:col>4</xdr:col>
      <xdr:colOff>571500</xdr:colOff>
      <xdr:row>183</xdr:row>
      <xdr:rowOff>188759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876800" y="99641025"/>
          <a:ext cx="0" cy="2744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638175</xdr:colOff>
      <xdr:row>183</xdr:row>
      <xdr:rowOff>0</xdr:rowOff>
    </xdr:from>
    <xdr:to>
      <xdr:col>4</xdr:col>
      <xdr:colOff>666748</xdr:colOff>
      <xdr:row>183</xdr:row>
      <xdr:rowOff>193863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4943475" y="99641025"/>
          <a:ext cx="1171573" cy="231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183</xdr:row>
      <xdr:rowOff>0</xdr:rowOff>
    </xdr:from>
    <xdr:to>
      <xdr:col>4</xdr:col>
      <xdr:colOff>614988</xdr:colOff>
      <xdr:row>183</xdr:row>
      <xdr:rowOff>187007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876800" y="99641025"/>
          <a:ext cx="1215063" cy="396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571500</xdr:colOff>
      <xdr:row>183</xdr:row>
      <xdr:rowOff>0</xdr:rowOff>
    </xdr:from>
    <xdr:to>
      <xdr:col>2</xdr:col>
      <xdr:colOff>571500</xdr:colOff>
      <xdr:row>183</xdr:row>
      <xdr:rowOff>193863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695575" y="99641025"/>
          <a:ext cx="0" cy="1938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571500</xdr:colOff>
      <xdr:row>183</xdr:row>
      <xdr:rowOff>0</xdr:rowOff>
    </xdr:from>
    <xdr:to>
      <xdr:col>2</xdr:col>
      <xdr:colOff>571500</xdr:colOff>
      <xdr:row>183</xdr:row>
      <xdr:rowOff>188759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695575" y="99641025"/>
          <a:ext cx="0" cy="2744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638175</xdr:colOff>
      <xdr:row>183</xdr:row>
      <xdr:rowOff>0</xdr:rowOff>
    </xdr:from>
    <xdr:ext cx="1308845" cy="231963"/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4943475" y="99641025"/>
          <a:ext cx="1308845" cy="2319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571500</xdr:colOff>
      <xdr:row>192</xdr:row>
      <xdr:rowOff>0</xdr:rowOff>
    </xdr:from>
    <xdr:to>
      <xdr:col>4</xdr:col>
      <xdr:colOff>590550</xdr:colOff>
      <xdr:row>192</xdr:row>
      <xdr:rowOff>187225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37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192</xdr:row>
      <xdr:rowOff>0</xdr:rowOff>
    </xdr:from>
    <xdr:to>
      <xdr:col>4</xdr:col>
      <xdr:colOff>590550</xdr:colOff>
      <xdr:row>192</xdr:row>
      <xdr:rowOff>186995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377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192</xdr:row>
      <xdr:rowOff>0</xdr:rowOff>
    </xdr:from>
    <xdr:to>
      <xdr:col>4</xdr:col>
      <xdr:colOff>590550</xdr:colOff>
      <xdr:row>193</xdr:row>
      <xdr:rowOff>362259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15814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217</xdr:row>
      <xdr:rowOff>217979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39476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571500</xdr:colOff>
      <xdr:row>193</xdr:row>
      <xdr:rowOff>0</xdr:rowOff>
    </xdr:from>
    <xdr:ext cx="28575" cy="629185"/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1969"/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9185"/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571500</xdr:colOff>
      <xdr:row>193</xdr:row>
      <xdr:rowOff>0</xdr:rowOff>
    </xdr:from>
    <xdr:to>
      <xdr:col>4</xdr:col>
      <xdr:colOff>590550</xdr:colOff>
      <xdr:row>193</xdr:row>
      <xdr:rowOff>189130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37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193</xdr:row>
      <xdr:rowOff>0</xdr:rowOff>
    </xdr:from>
    <xdr:to>
      <xdr:col>4</xdr:col>
      <xdr:colOff>590550</xdr:colOff>
      <xdr:row>194</xdr:row>
      <xdr:rowOff>122281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15510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193</xdr:row>
      <xdr:rowOff>0</xdr:rowOff>
    </xdr:from>
    <xdr:to>
      <xdr:col>4</xdr:col>
      <xdr:colOff>590550</xdr:colOff>
      <xdr:row>194</xdr:row>
      <xdr:rowOff>122184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15509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571500</xdr:colOff>
      <xdr:row>193</xdr:row>
      <xdr:rowOff>0</xdr:rowOff>
    </xdr:from>
    <xdr:to>
      <xdr:col>4</xdr:col>
      <xdr:colOff>590550</xdr:colOff>
      <xdr:row>194</xdr:row>
      <xdr:rowOff>122184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15509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213</xdr:row>
      <xdr:rowOff>191439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3819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213</xdr:row>
      <xdr:rowOff>194116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384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214</xdr:row>
      <xdr:rowOff>247650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9185"/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213</xdr:row>
      <xdr:rowOff>189130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3796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193</xdr:row>
      <xdr:rowOff>0</xdr:rowOff>
    </xdr:from>
    <xdr:to>
      <xdr:col>4</xdr:col>
      <xdr:colOff>590550</xdr:colOff>
      <xdr:row>193</xdr:row>
      <xdr:rowOff>186343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3768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215</xdr:row>
      <xdr:rowOff>31261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15838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213</xdr:row>
      <xdr:rowOff>190153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3806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215</xdr:row>
      <xdr:rowOff>31261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15838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213</xdr:row>
      <xdr:rowOff>193344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383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193</xdr:row>
      <xdr:rowOff>0</xdr:rowOff>
    </xdr:from>
    <xdr:to>
      <xdr:col>4</xdr:col>
      <xdr:colOff>590550</xdr:colOff>
      <xdr:row>193</xdr:row>
      <xdr:rowOff>186209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3767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9185"/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213</xdr:row>
      <xdr:rowOff>191035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3815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214</xdr:row>
      <xdr:rowOff>247650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19050" cy="621969"/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62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19050" cy="829236"/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829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19050" cy="1066998"/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1066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19050" cy="647257"/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19050" cy="383844"/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383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19050" cy="399569"/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399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9185"/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19050" cy="381535"/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3815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19050" cy="441326"/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441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193</xdr:row>
      <xdr:rowOff>0</xdr:rowOff>
    </xdr:from>
    <xdr:ext cx="28575" cy="626298"/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191</xdr:row>
      <xdr:rowOff>0</xdr:rowOff>
    </xdr:from>
    <xdr:ext cx="19050" cy="476785"/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4876800" y="103489125"/>
          <a:ext cx="19050" cy="47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191</xdr:row>
      <xdr:rowOff>0</xdr:rowOff>
    </xdr:from>
    <xdr:ext cx="19050" cy="476555"/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4876800" y="103489125"/>
          <a:ext cx="19050" cy="47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191</xdr:row>
      <xdr:rowOff>0</xdr:rowOff>
    </xdr:from>
    <xdr:ext cx="19050" cy="723848"/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4876800" y="103489125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191</xdr:row>
      <xdr:rowOff>0</xdr:rowOff>
    </xdr:from>
    <xdr:ext cx="28575" cy="626298"/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4876800" y="1034891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621969"/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62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9185"/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1969"/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9185"/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629185"/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298119"/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2981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300796"/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3007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588565"/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588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9185"/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295810"/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295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342553"/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342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647257"/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342553"/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342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647257"/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383844"/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383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399569"/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399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9185"/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381535"/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3815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441326"/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441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621969"/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62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9185"/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1969"/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9185"/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28575" cy="626298"/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192</xdr:row>
      <xdr:rowOff>0</xdr:rowOff>
    </xdr:from>
    <xdr:ext cx="19050" cy="629185"/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4876800" y="104022525"/>
          <a:ext cx="19050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4</xdr:col>
      <xdr:colOff>571500</xdr:colOff>
      <xdr:row>193</xdr:row>
      <xdr:rowOff>0</xdr:rowOff>
    </xdr:from>
    <xdr:to>
      <xdr:col>4</xdr:col>
      <xdr:colOff>590550</xdr:colOff>
      <xdr:row>193</xdr:row>
      <xdr:rowOff>187225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4876800" y="104422575"/>
          <a:ext cx="19050" cy="37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214</xdr:row>
      <xdr:rowOff>359125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1425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571500</xdr:colOff>
      <xdr:row>213</xdr:row>
      <xdr:rowOff>0</xdr:rowOff>
    </xdr:from>
    <xdr:to>
      <xdr:col>4</xdr:col>
      <xdr:colOff>590550</xdr:colOff>
      <xdr:row>215</xdr:row>
      <xdr:rowOff>150397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4876800" y="113614200"/>
          <a:ext cx="19050" cy="1712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571500</xdr:colOff>
      <xdr:row>194</xdr:row>
      <xdr:rowOff>0</xdr:rowOff>
    </xdr:from>
    <xdr:ext cx="19050" cy="476785"/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4876800" y="104975025"/>
          <a:ext cx="19050" cy="47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194</xdr:row>
      <xdr:rowOff>0</xdr:rowOff>
    </xdr:from>
    <xdr:ext cx="19050" cy="476555"/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4876800" y="104975025"/>
          <a:ext cx="19050" cy="47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194</xdr:row>
      <xdr:rowOff>0</xdr:rowOff>
    </xdr:from>
    <xdr:ext cx="19050" cy="723848"/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4876800" y="104975025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194</xdr:row>
      <xdr:rowOff>0</xdr:rowOff>
    </xdr:from>
    <xdr:ext cx="28575" cy="626298"/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4876800" y="1049750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829236"/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829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1069379"/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1069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870993"/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87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1070921"/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10709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1070921"/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10709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829236"/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829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1066998"/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1066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870993"/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87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1068540"/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1068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1068540"/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1068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723848"/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endParaRPr lang="en-US"/>
        </a:p>
      </xdr:txBody>
    </xdr:sp>
    <xdr:clientData/>
  </xdr:oneCellAnchor>
  <xdr:oneCellAnchor>
    <xdr:from>
      <xdr:col>4</xdr:col>
      <xdr:colOff>571500</xdr:colOff>
      <xdr:row>196</xdr:row>
      <xdr:rowOff>0</xdr:rowOff>
    </xdr:from>
    <xdr:ext cx="19050" cy="476785"/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47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476555"/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47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723848"/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28575" cy="626298"/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185</xdr:row>
      <xdr:rowOff>0</xdr:rowOff>
    </xdr:from>
    <xdr:ext cx="19050" cy="829236"/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4876800" y="100622100"/>
          <a:ext cx="19050" cy="829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185</xdr:row>
      <xdr:rowOff>0</xdr:rowOff>
    </xdr:from>
    <xdr:ext cx="19050" cy="1069379"/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4876800" y="100622100"/>
          <a:ext cx="19050" cy="1069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185</xdr:row>
      <xdr:rowOff>0</xdr:rowOff>
    </xdr:from>
    <xdr:ext cx="19050" cy="870993"/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4876800" y="100622100"/>
          <a:ext cx="19050" cy="87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185</xdr:row>
      <xdr:rowOff>0</xdr:rowOff>
    </xdr:from>
    <xdr:ext cx="19050" cy="1070921"/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4876800" y="100622100"/>
          <a:ext cx="19050" cy="10709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185</xdr:row>
      <xdr:rowOff>0</xdr:rowOff>
    </xdr:from>
    <xdr:ext cx="19050" cy="1070921"/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4876800" y="100622100"/>
          <a:ext cx="19050" cy="10709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185</xdr:row>
      <xdr:rowOff>0</xdr:rowOff>
    </xdr:from>
    <xdr:ext cx="19050" cy="829236"/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4876800" y="100622100"/>
          <a:ext cx="19050" cy="829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185</xdr:row>
      <xdr:rowOff>0</xdr:rowOff>
    </xdr:from>
    <xdr:ext cx="19050" cy="1066998"/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4876800" y="100622100"/>
          <a:ext cx="19050" cy="1066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185</xdr:row>
      <xdr:rowOff>0</xdr:rowOff>
    </xdr:from>
    <xdr:ext cx="19050" cy="870993"/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4876800" y="100622100"/>
          <a:ext cx="19050" cy="87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185</xdr:row>
      <xdr:rowOff>0</xdr:rowOff>
    </xdr:from>
    <xdr:ext cx="19050" cy="1068540"/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4876800" y="100622100"/>
          <a:ext cx="19050" cy="1068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185</xdr:row>
      <xdr:rowOff>0</xdr:rowOff>
    </xdr:from>
    <xdr:ext cx="19050" cy="1068540"/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4876800" y="100622100"/>
          <a:ext cx="19050" cy="1068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185</xdr:row>
      <xdr:rowOff>0</xdr:rowOff>
    </xdr:from>
    <xdr:ext cx="19050" cy="723848"/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4876800" y="100622100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186</xdr:row>
      <xdr:rowOff>0</xdr:rowOff>
    </xdr:from>
    <xdr:ext cx="19050" cy="476785"/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4876800" y="101022150"/>
          <a:ext cx="19050" cy="47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186</xdr:row>
      <xdr:rowOff>0</xdr:rowOff>
    </xdr:from>
    <xdr:ext cx="19050" cy="476555"/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876800" y="101022150"/>
          <a:ext cx="19050" cy="47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186</xdr:row>
      <xdr:rowOff>0</xdr:rowOff>
    </xdr:from>
    <xdr:ext cx="19050" cy="723848"/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4876800" y="101022150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186</xdr:row>
      <xdr:rowOff>0</xdr:rowOff>
    </xdr:from>
    <xdr:ext cx="28575" cy="626298"/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4876800" y="10102215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207</xdr:row>
      <xdr:rowOff>0</xdr:rowOff>
    </xdr:from>
    <xdr:ext cx="19050" cy="829236"/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4876800" y="110794800"/>
          <a:ext cx="19050" cy="829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207</xdr:row>
      <xdr:rowOff>0</xdr:rowOff>
    </xdr:from>
    <xdr:ext cx="19050" cy="1069379"/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4876800" y="110794800"/>
          <a:ext cx="19050" cy="1069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207</xdr:row>
      <xdr:rowOff>0</xdr:rowOff>
    </xdr:from>
    <xdr:ext cx="19050" cy="870993"/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4876800" y="110794800"/>
          <a:ext cx="19050" cy="87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207</xdr:row>
      <xdr:rowOff>0</xdr:rowOff>
    </xdr:from>
    <xdr:ext cx="19050" cy="1070921"/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4876800" y="110794800"/>
          <a:ext cx="19050" cy="10709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207</xdr:row>
      <xdr:rowOff>0</xdr:rowOff>
    </xdr:from>
    <xdr:ext cx="19050" cy="1070921"/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4876800" y="110794800"/>
          <a:ext cx="19050" cy="10709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207</xdr:row>
      <xdr:rowOff>0</xdr:rowOff>
    </xdr:from>
    <xdr:ext cx="19050" cy="829236"/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4876800" y="110794800"/>
          <a:ext cx="19050" cy="829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207</xdr:row>
      <xdr:rowOff>0</xdr:rowOff>
    </xdr:from>
    <xdr:ext cx="19050" cy="1066998"/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4876800" y="110794800"/>
          <a:ext cx="19050" cy="1066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207</xdr:row>
      <xdr:rowOff>0</xdr:rowOff>
    </xdr:from>
    <xdr:ext cx="19050" cy="870993"/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4876800" y="110794800"/>
          <a:ext cx="19050" cy="87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207</xdr:row>
      <xdr:rowOff>0</xdr:rowOff>
    </xdr:from>
    <xdr:ext cx="19050" cy="1068540"/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4876800" y="110794800"/>
          <a:ext cx="19050" cy="1068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207</xdr:row>
      <xdr:rowOff>0</xdr:rowOff>
    </xdr:from>
    <xdr:ext cx="19050" cy="1068540"/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4876800" y="110794800"/>
          <a:ext cx="19050" cy="1068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207</xdr:row>
      <xdr:rowOff>0</xdr:rowOff>
    </xdr:from>
    <xdr:ext cx="19050" cy="723848"/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4876800" y="110794800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211</xdr:row>
      <xdr:rowOff>0</xdr:rowOff>
    </xdr:from>
    <xdr:ext cx="19050" cy="476785"/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4876800" y="112776000"/>
          <a:ext cx="19050" cy="47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211</xdr:row>
      <xdr:rowOff>0</xdr:rowOff>
    </xdr:from>
    <xdr:ext cx="19050" cy="476555"/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4876800" y="112776000"/>
          <a:ext cx="19050" cy="47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211</xdr:row>
      <xdr:rowOff>0</xdr:rowOff>
    </xdr:from>
    <xdr:ext cx="19050" cy="723848"/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4876800" y="112776000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211</xdr:row>
      <xdr:rowOff>0</xdr:rowOff>
    </xdr:from>
    <xdr:ext cx="28575" cy="626298"/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4876800" y="1127760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199</xdr:row>
      <xdr:rowOff>0</xdr:rowOff>
    </xdr:from>
    <xdr:ext cx="19050" cy="829236"/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4876800" y="107146725"/>
          <a:ext cx="19050" cy="829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199</xdr:row>
      <xdr:rowOff>0</xdr:rowOff>
    </xdr:from>
    <xdr:ext cx="19050" cy="1069379"/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4876800" y="107146725"/>
          <a:ext cx="19050" cy="10693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199</xdr:row>
      <xdr:rowOff>0</xdr:rowOff>
    </xdr:from>
    <xdr:ext cx="19050" cy="870993"/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4876800" y="107146725"/>
          <a:ext cx="19050" cy="87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199</xdr:row>
      <xdr:rowOff>0</xdr:rowOff>
    </xdr:from>
    <xdr:ext cx="19050" cy="1070921"/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4876800" y="107146725"/>
          <a:ext cx="19050" cy="10709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199</xdr:row>
      <xdr:rowOff>0</xdr:rowOff>
    </xdr:from>
    <xdr:ext cx="19050" cy="1070921"/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4876800" y="107146725"/>
          <a:ext cx="19050" cy="10709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199</xdr:row>
      <xdr:rowOff>0</xdr:rowOff>
    </xdr:from>
    <xdr:ext cx="19050" cy="829236"/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4876800" y="107146725"/>
          <a:ext cx="19050" cy="829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199</xdr:row>
      <xdr:rowOff>0</xdr:rowOff>
    </xdr:from>
    <xdr:ext cx="19050" cy="1066998"/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4876800" y="107146725"/>
          <a:ext cx="19050" cy="10669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199</xdr:row>
      <xdr:rowOff>0</xdr:rowOff>
    </xdr:from>
    <xdr:ext cx="19050" cy="870993"/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4876800" y="107146725"/>
          <a:ext cx="19050" cy="87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199</xdr:row>
      <xdr:rowOff>0</xdr:rowOff>
    </xdr:from>
    <xdr:ext cx="19050" cy="1068540"/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4876800" y="107146725"/>
          <a:ext cx="19050" cy="1068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199</xdr:row>
      <xdr:rowOff>0</xdr:rowOff>
    </xdr:from>
    <xdr:ext cx="19050" cy="723848"/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4876800" y="107146725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571500</xdr:colOff>
      <xdr:row>206</xdr:row>
      <xdr:rowOff>0</xdr:rowOff>
    </xdr:from>
    <xdr:ext cx="28575" cy="635259"/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3705225" y="110299500"/>
          <a:ext cx="28575" cy="635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571500</xdr:colOff>
      <xdr:row>206</xdr:row>
      <xdr:rowOff>0</xdr:rowOff>
    </xdr:from>
    <xdr:ext cx="28575" cy="822045"/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3705225" y="110299500"/>
          <a:ext cx="28575" cy="822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571500</xdr:colOff>
      <xdr:row>206</xdr:row>
      <xdr:rowOff>0</xdr:rowOff>
    </xdr:from>
    <xdr:ext cx="28575" cy="1093729"/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3705225" y="110299500"/>
          <a:ext cx="28575" cy="10937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571500</xdr:colOff>
      <xdr:row>206</xdr:row>
      <xdr:rowOff>0</xdr:rowOff>
    </xdr:from>
    <xdr:ext cx="28575" cy="626298"/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3705225" y="110299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571500</xdr:colOff>
      <xdr:row>206</xdr:row>
      <xdr:rowOff>0</xdr:rowOff>
    </xdr:from>
    <xdr:ext cx="28575" cy="635259"/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3705225" y="110299500"/>
          <a:ext cx="28575" cy="635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571500</xdr:colOff>
      <xdr:row>207</xdr:row>
      <xdr:rowOff>0</xdr:rowOff>
    </xdr:from>
    <xdr:ext cx="28575" cy="635259"/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3705225" y="110794800"/>
          <a:ext cx="28575" cy="635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571500</xdr:colOff>
      <xdr:row>207</xdr:row>
      <xdr:rowOff>0</xdr:rowOff>
    </xdr:from>
    <xdr:ext cx="28575" cy="822045"/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3705225" y="110794800"/>
          <a:ext cx="28575" cy="822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571500</xdr:colOff>
      <xdr:row>207</xdr:row>
      <xdr:rowOff>0</xdr:rowOff>
    </xdr:from>
    <xdr:ext cx="28575" cy="1093729"/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3705225" y="110794800"/>
          <a:ext cx="28575" cy="10937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571500</xdr:colOff>
      <xdr:row>207</xdr:row>
      <xdr:rowOff>0</xdr:rowOff>
    </xdr:from>
    <xdr:ext cx="28575" cy="626298"/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3705225" y="1107948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223</xdr:row>
      <xdr:rowOff>0</xdr:rowOff>
    </xdr:from>
    <xdr:ext cx="19050" cy="829236"/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4876800" y="117538500"/>
          <a:ext cx="19050" cy="829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223</xdr:row>
      <xdr:rowOff>0</xdr:rowOff>
    </xdr:from>
    <xdr:ext cx="19050" cy="870993"/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4876800" y="117538500"/>
          <a:ext cx="19050" cy="87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223</xdr:row>
      <xdr:rowOff>0</xdr:rowOff>
    </xdr:from>
    <xdr:ext cx="19050" cy="829236"/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4876800" y="117538500"/>
          <a:ext cx="19050" cy="8292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223</xdr:row>
      <xdr:rowOff>0</xdr:rowOff>
    </xdr:from>
    <xdr:ext cx="19050" cy="870993"/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4876800" y="117538500"/>
          <a:ext cx="19050" cy="87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223</xdr:row>
      <xdr:rowOff>0</xdr:rowOff>
    </xdr:from>
    <xdr:ext cx="19050" cy="723848"/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4876800" y="117538500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215</xdr:row>
      <xdr:rowOff>0</xdr:rowOff>
    </xdr:from>
    <xdr:ext cx="19050" cy="476785"/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4876800" y="114414300"/>
          <a:ext cx="19050" cy="47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215</xdr:row>
      <xdr:rowOff>0</xdr:rowOff>
    </xdr:from>
    <xdr:ext cx="19050" cy="476555"/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4876800" y="114414300"/>
          <a:ext cx="19050" cy="47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215</xdr:row>
      <xdr:rowOff>0</xdr:rowOff>
    </xdr:from>
    <xdr:ext cx="19050" cy="723848"/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4876800" y="114414300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223</xdr:row>
      <xdr:rowOff>0</xdr:rowOff>
    </xdr:from>
    <xdr:ext cx="28575" cy="626298"/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4876800" y="117538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223</xdr:row>
      <xdr:rowOff>0</xdr:rowOff>
    </xdr:from>
    <xdr:ext cx="28575" cy="626298"/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4876800" y="117538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223</xdr:row>
      <xdr:rowOff>0</xdr:rowOff>
    </xdr:from>
    <xdr:ext cx="19050" cy="399569"/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4876800" y="117538500"/>
          <a:ext cx="19050" cy="399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223</xdr:row>
      <xdr:rowOff>0</xdr:rowOff>
    </xdr:from>
    <xdr:ext cx="28575" cy="626298"/>
    <xdr:sp macro="" textlink="">
      <xdr:nvSpPr>
        <xdr:cNvPr id="199" name="Text Box 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4876800" y="117538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223</xdr:row>
      <xdr:rowOff>0</xdr:rowOff>
    </xdr:from>
    <xdr:ext cx="28575" cy="626298"/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4876800" y="117538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222</xdr:row>
      <xdr:rowOff>0</xdr:rowOff>
    </xdr:from>
    <xdr:ext cx="28575" cy="626298"/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4876800" y="11706225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476785"/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47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476555"/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47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19050" cy="723848"/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196</xdr:row>
      <xdr:rowOff>0</xdr:rowOff>
    </xdr:from>
    <xdr:ext cx="28575" cy="626298"/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4876800" y="1058703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187</xdr:row>
      <xdr:rowOff>0</xdr:rowOff>
    </xdr:from>
    <xdr:ext cx="19050" cy="476785"/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4876800" y="101460300"/>
          <a:ext cx="19050" cy="47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187</xdr:row>
      <xdr:rowOff>0</xdr:rowOff>
    </xdr:from>
    <xdr:ext cx="19050" cy="476555"/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4876800" y="101460300"/>
          <a:ext cx="19050" cy="47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187</xdr:row>
      <xdr:rowOff>0</xdr:rowOff>
    </xdr:from>
    <xdr:ext cx="19050" cy="723848"/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4876800" y="101460300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187</xdr:row>
      <xdr:rowOff>0</xdr:rowOff>
    </xdr:from>
    <xdr:ext cx="28575" cy="626298"/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4876800" y="1014603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216</xdr:row>
      <xdr:rowOff>0</xdr:rowOff>
    </xdr:from>
    <xdr:ext cx="19050" cy="476785"/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4876800" y="114814350"/>
          <a:ext cx="19050" cy="47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216</xdr:row>
      <xdr:rowOff>0</xdr:rowOff>
    </xdr:from>
    <xdr:ext cx="19050" cy="476555"/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4876800" y="114814350"/>
          <a:ext cx="19050" cy="47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216</xdr:row>
      <xdr:rowOff>0</xdr:rowOff>
    </xdr:from>
    <xdr:ext cx="19050" cy="723848"/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4876800" y="114814350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217</xdr:row>
      <xdr:rowOff>0</xdr:rowOff>
    </xdr:from>
    <xdr:ext cx="19050" cy="476785"/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4876800" y="115128675"/>
          <a:ext cx="19050" cy="47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217</xdr:row>
      <xdr:rowOff>0</xdr:rowOff>
    </xdr:from>
    <xdr:ext cx="19050" cy="476555"/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4876800" y="115128675"/>
          <a:ext cx="19050" cy="47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217</xdr:row>
      <xdr:rowOff>0</xdr:rowOff>
    </xdr:from>
    <xdr:ext cx="19050" cy="723848"/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4876800" y="115128675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218</xdr:row>
      <xdr:rowOff>0</xdr:rowOff>
    </xdr:from>
    <xdr:ext cx="19050" cy="476785"/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4876800" y="115528725"/>
          <a:ext cx="19050" cy="476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218</xdr:row>
      <xdr:rowOff>0</xdr:rowOff>
    </xdr:from>
    <xdr:ext cx="19050" cy="476555"/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4876800" y="115528725"/>
          <a:ext cx="19050" cy="47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218</xdr:row>
      <xdr:rowOff>0</xdr:rowOff>
    </xdr:from>
    <xdr:ext cx="19050" cy="723848"/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4876800" y="115528725"/>
          <a:ext cx="19050" cy="7238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266</xdr:row>
      <xdr:rowOff>0</xdr:rowOff>
    </xdr:from>
    <xdr:ext cx="28575" cy="626298"/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4876800" y="13645515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9185"/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266</xdr:row>
      <xdr:rowOff>0</xdr:rowOff>
    </xdr:from>
    <xdr:ext cx="28575" cy="626298"/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4876800" y="13645515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6298"/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1969"/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19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6298"/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9185"/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6298"/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19050" cy="629185"/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19050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19050" cy="870993"/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19050" cy="8709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19050" cy="1068540"/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19050" cy="1068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6298"/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19050" cy="1068540"/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19050" cy="1068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6298"/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19050" cy="298119"/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19050" cy="2981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19050" cy="300796"/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19050" cy="3007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19050" cy="588565"/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19050" cy="588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6298"/>
    <xdr:sp macro="" textlink="">
      <xdr:nvSpPr>
        <xdr:cNvPr id="236" name="Text Box 1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9185"/>
    <xdr:sp macro="" textlink="">
      <xdr:nvSpPr>
        <xdr:cNvPr id="237" name="Text Box 1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6298"/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19050" cy="295810"/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19050" cy="295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19050" cy="342553"/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19050" cy="342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19050" cy="647257"/>
    <xdr:sp macro="" textlink="">
      <xdr:nvSpPr>
        <xdr:cNvPr id="241" name="Text Box 1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28575" cy="626298"/>
    <xdr:sp macro="" textlink="">
      <xdr:nvSpPr>
        <xdr:cNvPr id="242" name="Text Box 1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267</xdr:row>
      <xdr:rowOff>0</xdr:rowOff>
    </xdr:from>
    <xdr:ext cx="19050" cy="342553"/>
    <xdr:sp macro="" textlink="">
      <xdr:nvSpPr>
        <xdr:cNvPr id="243" name="Text Box 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4876800" y="136969500"/>
          <a:ext cx="19050" cy="342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263</xdr:row>
      <xdr:rowOff>0</xdr:rowOff>
    </xdr:from>
    <xdr:ext cx="28575" cy="626298"/>
    <xdr:sp macro="" textlink="">
      <xdr:nvSpPr>
        <xdr:cNvPr id="244" name="Text Box 1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4876800" y="1350549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266</xdr:row>
      <xdr:rowOff>0</xdr:rowOff>
    </xdr:from>
    <xdr:ext cx="19050" cy="298119"/>
    <xdr:sp macro="" textlink="">
      <xdr:nvSpPr>
        <xdr:cNvPr id="245" name="Text Box 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4876800" y="136455150"/>
          <a:ext cx="19050" cy="2981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263</xdr:row>
      <xdr:rowOff>0</xdr:rowOff>
    </xdr:from>
    <xdr:ext cx="19050" cy="300796"/>
    <xdr:sp macro="" textlink="">
      <xdr:nvSpPr>
        <xdr:cNvPr id="246" name="Text Box 1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4876800" y="135054975"/>
          <a:ext cx="19050" cy="3007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263</xdr:row>
      <xdr:rowOff>0</xdr:rowOff>
    </xdr:from>
    <xdr:ext cx="19050" cy="588565"/>
    <xdr:sp macro="" textlink="">
      <xdr:nvSpPr>
        <xdr:cNvPr id="247" name="Text Box 1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4876800" y="135054975"/>
          <a:ext cx="19050" cy="588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28575" cy="626298"/>
    <xdr:sp macro="" textlink="">
      <xdr:nvSpPr>
        <xdr:cNvPr id="248" name="Text Box 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28575" cy="629185"/>
    <xdr:sp macro="" textlink="">
      <xdr:nvSpPr>
        <xdr:cNvPr id="249" name="Text Box 1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28575" cy="626298"/>
    <xdr:sp macro="" textlink="">
      <xdr:nvSpPr>
        <xdr:cNvPr id="250" name="Text Box 1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19050" cy="295810"/>
    <xdr:sp macro="" textlink="">
      <xdr:nvSpPr>
        <xdr:cNvPr id="251" name="Text Box 1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19050" cy="295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19050" cy="342553"/>
    <xdr:sp macro="" textlink="">
      <xdr:nvSpPr>
        <xdr:cNvPr id="252" name="Text Box 1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19050" cy="342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263</xdr:row>
      <xdr:rowOff>0</xdr:rowOff>
    </xdr:from>
    <xdr:ext cx="19050" cy="647257"/>
    <xdr:sp macro="" textlink="">
      <xdr:nvSpPr>
        <xdr:cNvPr id="253" name="Text Box 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4876800" y="13505497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28575" cy="626298"/>
    <xdr:sp macro="" textlink="">
      <xdr:nvSpPr>
        <xdr:cNvPr id="254" name="Text Box 1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19050" cy="342553"/>
    <xdr:sp macro="" textlink="">
      <xdr:nvSpPr>
        <xdr:cNvPr id="255" name="Text Box 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19050" cy="342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19050" cy="647257"/>
    <xdr:sp macro="" textlink="">
      <xdr:nvSpPr>
        <xdr:cNvPr id="256" name="Text Box 1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28575" cy="626298"/>
    <xdr:sp macro="" textlink="">
      <xdr:nvSpPr>
        <xdr:cNvPr id="257" name="Text Box 1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19050" cy="383844"/>
    <xdr:sp macro="" textlink="">
      <xdr:nvSpPr>
        <xdr:cNvPr id="258" name="Text Box 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19050" cy="3838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19050" cy="399569"/>
    <xdr:sp macro="" textlink="">
      <xdr:nvSpPr>
        <xdr:cNvPr id="259" name="Text Box 1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19050" cy="3995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28575" cy="626298"/>
    <xdr:sp macro="" textlink="">
      <xdr:nvSpPr>
        <xdr:cNvPr id="260" name="Text Box 1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28575" cy="629185"/>
    <xdr:sp macro="" textlink="">
      <xdr:nvSpPr>
        <xdr:cNvPr id="261" name="Text Box 1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28575" cy="626298"/>
    <xdr:sp macro="" textlink="">
      <xdr:nvSpPr>
        <xdr:cNvPr id="262" name="Text Box 1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19050" cy="381535"/>
    <xdr:sp macro="" textlink="">
      <xdr:nvSpPr>
        <xdr:cNvPr id="263" name="Text Box 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19050" cy="3815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264</xdr:row>
      <xdr:rowOff>0</xdr:rowOff>
    </xdr:from>
    <xdr:ext cx="19050" cy="441326"/>
    <xdr:sp macro="" textlink="">
      <xdr:nvSpPr>
        <xdr:cNvPr id="264" name="Text Box 1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4876800" y="135531225"/>
          <a:ext cx="19050" cy="441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263</xdr:row>
      <xdr:rowOff>0</xdr:rowOff>
    </xdr:from>
    <xdr:ext cx="28575" cy="626298"/>
    <xdr:sp macro="" textlink="">
      <xdr:nvSpPr>
        <xdr:cNvPr id="265" name="Text Box 1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4876800" y="135054975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266</xdr:row>
      <xdr:rowOff>0</xdr:rowOff>
    </xdr:from>
    <xdr:ext cx="28575" cy="626298"/>
    <xdr:sp macro="" textlink="">
      <xdr:nvSpPr>
        <xdr:cNvPr id="266" name="Text Box 1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4876800" y="13645515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19050" cy="647257"/>
    <xdr:sp macro="" textlink="">
      <xdr:nvSpPr>
        <xdr:cNvPr id="267" name="Text Box 1">
          <a:extLst>
            <a:ext uri="{FF2B5EF4-FFF2-40B4-BE49-F238E27FC236}">
              <a16:creationId xmlns:a16="http://schemas.microsoft.com/office/drawing/2014/main" id="{80AD5B84-9A23-43D0-B828-25489524BD9E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19050" cy="6472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8"/>
    <xdr:sp macro="" textlink="">
      <xdr:nvSpPr>
        <xdr:cNvPr id="268" name="Text Box 1">
          <a:extLst>
            <a:ext uri="{FF2B5EF4-FFF2-40B4-BE49-F238E27FC236}">
              <a16:creationId xmlns:a16="http://schemas.microsoft.com/office/drawing/2014/main" id="{44DE1538-8A84-479C-99E0-26C099576183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8"/>
    <xdr:sp macro="" textlink="">
      <xdr:nvSpPr>
        <xdr:cNvPr id="269" name="Text Box 1">
          <a:extLst>
            <a:ext uri="{FF2B5EF4-FFF2-40B4-BE49-F238E27FC236}">
              <a16:creationId xmlns:a16="http://schemas.microsoft.com/office/drawing/2014/main" id="{3D6C7857-9FE7-4A07-B475-76CBA137F2F1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9185"/>
    <xdr:sp macro="" textlink="">
      <xdr:nvSpPr>
        <xdr:cNvPr id="270" name="Text Box 1">
          <a:extLst>
            <a:ext uri="{FF2B5EF4-FFF2-40B4-BE49-F238E27FC236}">
              <a16:creationId xmlns:a16="http://schemas.microsoft.com/office/drawing/2014/main" id="{7EC735DE-EB94-48C5-95FF-EB5EE7583949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9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8"/>
    <xdr:sp macro="" textlink="">
      <xdr:nvSpPr>
        <xdr:cNvPr id="271" name="Text Box 1">
          <a:extLst>
            <a:ext uri="{FF2B5EF4-FFF2-40B4-BE49-F238E27FC236}">
              <a16:creationId xmlns:a16="http://schemas.microsoft.com/office/drawing/2014/main" id="{E6F30AF0-6C36-44BB-A4A9-03EDAFCEF6B7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19050" cy="441326"/>
    <xdr:sp macro="" textlink="">
      <xdr:nvSpPr>
        <xdr:cNvPr id="272" name="Text Box 1">
          <a:extLst>
            <a:ext uri="{FF2B5EF4-FFF2-40B4-BE49-F238E27FC236}">
              <a16:creationId xmlns:a16="http://schemas.microsoft.com/office/drawing/2014/main" id="{BF222E4E-904B-45D1-978D-D19A9BBCB9FD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19050" cy="441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8"/>
    <xdr:sp macro="" textlink="">
      <xdr:nvSpPr>
        <xdr:cNvPr id="273" name="Text Box 1">
          <a:extLst>
            <a:ext uri="{FF2B5EF4-FFF2-40B4-BE49-F238E27FC236}">
              <a16:creationId xmlns:a16="http://schemas.microsoft.com/office/drawing/2014/main" id="{8AB53A62-53C2-42CC-B14D-6EE8AF3AC477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274" name="Text Box 1">
          <a:extLst>
            <a:ext uri="{FF2B5EF4-FFF2-40B4-BE49-F238E27FC236}">
              <a16:creationId xmlns:a16="http://schemas.microsoft.com/office/drawing/2014/main" id="{E9FC8CB5-6C39-4BDC-B507-9E5C3789E99D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75" name="Text Box 1">
          <a:extLst>
            <a:ext uri="{FF2B5EF4-FFF2-40B4-BE49-F238E27FC236}">
              <a16:creationId xmlns:a16="http://schemas.microsoft.com/office/drawing/2014/main" id="{B95AEB70-D775-4E24-93F7-9CEDD6463D80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276" name="Text Box 1">
          <a:extLst>
            <a:ext uri="{FF2B5EF4-FFF2-40B4-BE49-F238E27FC236}">
              <a16:creationId xmlns:a16="http://schemas.microsoft.com/office/drawing/2014/main" id="{13AAF450-266E-4EF8-A5BC-FAA9E197C93F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77" name="Text Box 1">
          <a:extLst>
            <a:ext uri="{FF2B5EF4-FFF2-40B4-BE49-F238E27FC236}">
              <a16:creationId xmlns:a16="http://schemas.microsoft.com/office/drawing/2014/main" id="{7B096A7E-2F21-4728-A223-FFF955A6E139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78" name="Text Box 1">
          <a:extLst>
            <a:ext uri="{FF2B5EF4-FFF2-40B4-BE49-F238E27FC236}">
              <a16:creationId xmlns:a16="http://schemas.microsoft.com/office/drawing/2014/main" id="{B65BC7B6-79B0-451E-982B-E7D3102AAC93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279" name="Text Box 1">
          <a:extLst>
            <a:ext uri="{FF2B5EF4-FFF2-40B4-BE49-F238E27FC236}">
              <a16:creationId xmlns:a16="http://schemas.microsoft.com/office/drawing/2014/main" id="{8FE829E0-BAFB-4A87-88E9-8FCF18EF59EF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80" name="Text Box 1">
          <a:extLst>
            <a:ext uri="{FF2B5EF4-FFF2-40B4-BE49-F238E27FC236}">
              <a16:creationId xmlns:a16="http://schemas.microsoft.com/office/drawing/2014/main" id="{9527A38F-880D-4A03-9121-C5BF30211405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81" name="Text Box 1">
          <a:extLst>
            <a:ext uri="{FF2B5EF4-FFF2-40B4-BE49-F238E27FC236}">
              <a16:creationId xmlns:a16="http://schemas.microsoft.com/office/drawing/2014/main" id="{DB4C7D79-9937-47A4-A413-B8D55F737A66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282" name="Text Box 1">
          <a:extLst>
            <a:ext uri="{FF2B5EF4-FFF2-40B4-BE49-F238E27FC236}">
              <a16:creationId xmlns:a16="http://schemas.microsoft.com/office/drawing/2014/main" id="{D4056422-909B-4B11-A27A-CFCAF1E2DD11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83" name="Text Box 1">
          <a:extLst>
            <a:ext uri="{FF2B5EF4-FFF2-40B4-BE49-F238E27FC236}">
              <a16:creationId xmlns:a16="http://schemas.microsoft.com/office/drawing/2014/main" id="{E587755B-E738-4EC3-A0ED-1419A1F77E11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84" name="Text Box 1">
          <a:extLst>
            <a:ext uri="{FF2B5EF4-FFF2-40B4-BE49-F238E27FC236}">
              <a16:creationId xmlns:a16="http://schemas.microsoft.com/office/drawing/2014/main" id="{A48C00F0-B362-46D1-BF9C-F814F156BB7A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285" name="Text Box 1">
          <a:extLst>
            <a:ext uri="{FF2B5EF4-FFF2-40B4-BE49-F238E27FC236}">
              <a16:creationId xmlns:a16="http://schemas.microsoft.com/office/drawing/2014/main" id="{82893E17-F655-441B-A3AA-0CB270E3E074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86" name="Text Box 1">
          <a:extLst>
            <a:ext uri="{FF2B5EF4-FFF2-40B4-BE49-F238E27FC236}">
              <a16:creationId xmlns:a16="http://schemas.microsoft.com/office/drawing/2014/main" id="{83653D52-9794-45A6-A6FC-397BFF0B29E1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287" name="Text Box 1">
          <a:extLst>
            <a:ext uri="{FF2B5EF4-FFF2-40B4-BE49-F238E27FC236}">
              <a16:creationId xmlns:a16="http://schemas.microsoft.com/office/drawing/2014/main" id="{A1ACFFDB-7492-4BFA-A37F-DA48944D2B68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88" name="Text Box 1">
          <a:extLst>
            <a:ext uri="{FF2B5EF4-FFF2-40B4-BE49-F238E27FC236}">
              <a16:creationId xmlns:a16="http://schemas.microsoft.com/office/drawing/2014/main" id="{1CB5A165-FB2D-48CD-BD13-0FA21212F823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289" name="Text Box 1">
          <a:extLst>
            <a:ext uri="{FF2B5EF4-FFF2-40B4-BE49-F238E27FC236}">
              <a16:creationId xmlns:a16="http://schemas.microsoft.com/office/drawing/2014/main" id="{CCFC9E87-8465-4F72-913E-FF84A23860E7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90" name="Text Box 1">
          <a:extLst>
            <a:ext uri="{FF2B5EF4-FFF2-40B4-BE49-F238E27FC236}">
              <a16:creationId xmlns:a16="http://schemas.microsoft.com/office/drawing/2014/main" id="{3B869827-AD63-452F-9D16-D242E31AE819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91" name="Text Box 1">
          <a:extLst>
            <a:ext uri="{FF2B5EF4-FFF2-40B4-BE49-F238E27FC236}">
              <a16:creationId xmlns:a16="http://schemas.microsoft.com/office/drawing/2014/main" id="{1D7592C8-7A71-4388-A188-9E54C036EB68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292" name="Text Box 1">
          <a:extLst>
            <a:ext uri="{FF2B5EF4-FFF2-40B4-BE49-F238E27FC236}">
              <a16:creationId xmlns:a16="http://schemas.microsoft.com/office/drawing/2014/main" id="{DC950480-C03A-421A-8C25-8FDAD96D6838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93" name="Text Box 1">
          <a:extLst>
            <a:ext uri="{FF2B5EF4-FFF2-40B4-BE49-F238E27FC236}">
              <a16:creationId xmlns:a16="http://schemas.microsoft.com/office/drawing/2014/main" id="{2DA2BA53-668D-43AC-B75C-50FAA62FB8A2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294" name="Text Box 1">
          <a:extLst>
            <a:ext uri="{FF2B5EF4-FFF2-40B4-BE49-F238E27FC236}">
              <a16:creationId xmlns:a16="http://schemas.microsoft.com/office/drawing/2014/main" id="{26EC12AD-6CF9-4740-9450-25A2694A0CCB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95" name="Text Box 1">
          <a:extLst>
            <a:ext uri="{FF2B5EF4-FFF2-40B4-BE49-F238E27FC236}">
              <a16:creationId xmlns:a16="http://schemas.microsoft.com/office/drawing/2014/main" id="{548190CA-24BB-466D-904C-5B1C7E902DD6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296" name="Text Box 1">
          <a:extLst>
            <a:ext uri="{FF2B5EF4-FFF2-40B4-BE49-F238E27FC236}">
              <a16:creationId xmlns:a16="http://schemas.microsoft.com/office/drawing/2014/main" id="{D6F288A5-16E1-4ECF-998D-E3E8AAB442ED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97" name="Text Box 1">
          <a:extLst>
            <a:ext uri="{FF2B5EF4-FFF2-40B4-BE49-F238E27FC236}">
              <a16:creationId xmlns:a16="http://schemas.microsoft.com/office/drawing/2014/main" id="{22C84B5B-280B-4A5D-B879-48EDAAD71201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298" name="Text Box 1">
          <a:extLst>
            <a:ext uri="{FF2B5EF4-FFF2-40B4-BE49-F238E27FC236}">
              <a16:creationId xmlns:a16="http://schemas.microsoft.com/office/drawing/2014/main" id="{B8ACCF5A-E265-4B4B-83FB-312DCC0CCFC8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299" name="Text Box 1">
          <a:extLst>
            <a:ext uri="{FF2B5EF4-FFF2-40B4-BE49-F238E27FC236}">
              <a16:creationId xmlns:a16="http://schemas.microsoft.com/office/drawing/2014/main" id="{1A9E6352-170D-4B58-9C8A-CF4541BB20DA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00" name="Text Box 1">
          <a:extLst>
            <a:ext uri="{FF2B5EF4-FFF2-40B4-BE49-F238E27FC236}">
              <a16:creationId xmlns:a16="http://schemas.microsoft.com/office/drawing/2014/main" id="{2946AF4D-45E1-493D-80EF-951FDDBD709D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01" name="Text Box 1">
          <a:extLst>
            <a:ext uri="{FF2B5EF4-FFF2-40B4-BE49-F238E27FC236}">
              <a16:creationId xmlns:a16="http://schemas.microsoft.com/office/drawing/2014/main" id="{41098612-ED2A-477F-8720-3E469F6C00AB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02" name="Text Box 1">
          <a:extLst>
            <a:ext uri="{FF2B5EF4-FFF2-40B4-BE49-F238E27FC236}">
              <a16:creationId xmlns:a16="http://schemas.microsoft.com/office/drawing/2014/main" id="{7F043310-2673-4561-B79F-B62B02867CAA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03" name="Text Box 1">
          <a:extLst>
            <a:ext uri="{FF2B5EF4-FFF2-40B4-BE49-F238E27FC236}">
              <a16:creationId xmlns:a16="http://schemas.microsoft.com/office/drawing/2014/main" id="{9FD9BA3E-7FD5-4065-9846-E6972FC94C2E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04" name="Text Box 1">
          <a:extLst>
            <a:ext uri="{FF2B5EF4-FFF2-40B4-BE49-F238E27FC236}">
              <a16:creationId xmlns:a16="http://schemas.microsoft.com/office/drawing/2014/main" id="{AEB75BBD-6F77-4B21-9FE5-361F5580EEAD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05" name="Text Box 1">
          <a:extLst>
            <a:ext uri="{FF2B5EF4-FFF2-40B4-BE49-F238E27FC236}">
              <a16:creationId xmlns:a16="http://schemas.microsoft.com/office/drawing/2014/main" id="{00D7C694-35AA-4002-A3BA-F5E32342A96F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06" name="Text Box 1">
          <a:extLst>
            <a:ext uri="{FF2B5EF4-FFF2-40B4-BE49-F238E27FC236}">
              <a16:creationId xmlns:a16="http://schemas.microsoft.com/office/drawing/2014/main" id="{597216EF-D75D-4BB0-A50E-9AF37725BCC2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07" name="Text Box 1">
          <a:extLst>
            <a:ext uri="{FF2B5EF4-FFF2-40B4-BE49-F238E27FC236}">
              <a16:creationId xmlns:a16="http://schemas.microsoft.com/office/drawing/2014/main" id="{3FCF368A-FCBB-4E49-8202-F05FB99DEC77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08" name="Text Box 1">
          <a:extLst>
            <a:ext uri="{FF2B5EF4-FFF2-40B4-BE49-F238E27FC236}">
              <a16:creationId xmlns:a16="http://schemas.microsoft.com/office/drawing/2014/main" id="{B1230F9A-6586-4A69-800C-E86145446D0C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09" name="Text Box 1">
          <a:extLst>
            <a:ext uri="{FF2B5EF4-FFF2-40B4-BE49-F238E27FC236}">
              <a16:creationId xmlns:a16="http://schemas.microsoft.com/office/drawing/2014/main" id="{B560CC01-45EB-4462-B9B8-41CB6900B3AE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10" name="Text Box 1">
          <a:extLst>
            <a:ext uri="{FF2B5EF4-FFF2-40B4-BE49-F238E27FC236}">
              <a16:creationId xmlns:a16="http://schemas.microsoft.com/office/drawing/2014/main" id="{5D311D45-E8F6-4C6E-9252-ACB3F66722AB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11" name="Text Box 1">
          <a:extLst>
            <a:ext uri="{FF2B5EF4-FFF2-40B4-BE49-F238E27FC236}">
              <a16:creationId xmlns:a16="http://schemas.microsoft.com/office/drawing/2014/main" id="{4AFDE595-C2D5-49B5-8EFB-2C17C78AD030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12" name="Text Box 1">
          <a:extLst>
            <a:ext uri="{FF2B5EF4-FFF2-40B4-BE49-F238E27FC236}">
              <a16:creationId xmlns:a16="http://schemas.microsoft.com/office/drawing/2014/main" id="{C6534F75-315D-46A5-94AC-58E36CD83FBF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13" name="Text Box 1">
          <a:extLst>
            <a:ext uri="{FF2B5EF4-FFF2-40B4-BE49-F238E27FC236}">
              <a16:creationId xmlns:a16="http://schemas.microsoft.com/office/drawing/2014/main" id="{05D92986-44D7-43FC-BEA0-B67F0C15E072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14" name="Text Box 1">
          <a:extLst>
            <a:ext uri="{FF2B5EF4-FFF2-40B4-BE49-F238E27FC236}">
              <a16:creationId xmlns:a16="http://schemas.microsoft.com/office/drawing/2014/main" id="{B05CBEEA-B8E5-4A77-B594-93C33CDBB82D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15" name="Text Box 1">
          <a:extLst>
            <a:ext uri="{FF2B5EF4-FFF2-40B4-BE49-F238E27FC236}">
              <a16:creationId xmlns:a16="http://schemas.microsoft.com/office/drawing/2014/main" id="{FFA42654-DB81-4B88-80C1-B43F30FE0058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16" name="Text Box 1">
          <a:extLst>
            <a:ext uri="{FF2B5EF4-FFF2-40B4-BE49-F238E27FC236}">
              <a16:creationId xmlns:a16="http://schemas.microsoft.com/office/drawing/2014/main" id="{EE33B140-3227-4632-B7C9-9BCBAA1C059F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17" name="Text Box 1">
          <a:extLst>
            <a:ext uri="{FF2B5EF4-FFF2-40B4-BE49-F238E27FC236}">
              <a16:creationId xmlns:a16="http://schemas.microsoft.com/office/drawing/2014/main" id="{3586BE53-367F-4253-8604-4F68E91BE9A0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18" name="Text Box 1">
          <a:extLst>
            <a:ext uri="{FF2B5EF4-FFF2-40B4-BE49-F238E27FC236}">
              <a16:creationId xmlns:a16="http://schemas.microsoft.com/office/drawing/2014/main" id="{45D6EA2C-D021-4D51-B364-E7D82050874C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19" name="Text Box 1">
          <a:extLst>
            <a:ext uri="{FF2B5EF4-FFF2-40B4-BE49-F238E27FC236}">
              <a16:creationId xmlns:a16="http://schemas.microsoft.com/office/drawing/2014/main" id="{FE224CE6-72FE-4B33-9A3C-D1A4B0C7765B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20" name="Text Box 1">
          <a:extLst>
            <a:ext uri="{FF2B5EF4-FFF2-40B4-BE49-F238E27FC236}">
              <a16:creationId xmlns:a16="http://schemas.microsoft.com/office/drawing/2014/main" id="{9B82E888-AE2D-4289-845E-3B637FF61A3B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21" name="Text Box 1">
          <a:extLst>
            <a:ext uri="{FF2B5EF4-FFF2-40B4-BE49-F238E27FC236}">
              <a16:creationId xmlns:a16="http://schemas.microsoft.com/office/drawing/2014/main" id="{B0781EBE-83FF-469E-B799-1C38A863CEAE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22" name="Text Box 1">
          <a:extLst>
            <a:ext uri="{FF2B5EF4-FFF2-40B4-BE49-F238E27FC236}">
              <a16:creationId xmlns:a16="http://schemas.microsoft.com/office/drawing/2014/main" id="{0D32196C-4D23-4EF8-A9C6-3EAAE559396A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0807"/>
    <xdr:sp macro="" textlink="">
      <xdr:nvSpPr>
        <xdr:cNvPr id="323" name="Text Box 1">
          <a:extLst>
            <a:ext uri="{FF2B5EF4-FFF2-40B4-BE49-F238E27FC236}">
              <a16:creationId xmlns:a16="http://schemas.microsoft.com/office/drawing/2014/main" id="{54FF1630-7ABB-4B63-93CF-85CA3E496D89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0807"/>
    <xdr:sp macro="" textlink="">
      <xdr:nvSpPr>
        <xdr:cNvPr id="324" name="Text Box 1">
          <a:extLst>
            <a:ext uri="{FF2B5EF4-FFF2-40B4-BE49-F238E27FC236}">
              <a16:creationId xmlns:a16="http://schemas.microsoft.com/office/drawing/2014/main" id="{45135E68-CABC-4C58-9C62-14A3E2427859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0807"/>
    <xdr:sp macro="" textlink="">
      <xdr:nvSpPr>
        <xdr:cNvPr id="325" name="Text Box 1">
          <a:extLst>
            <a:ext uri="{FF2B5EF4-FFF2-40B4-BE49-F238E27FC236}">
              <a16:creationId xmlns:a16="http://schemas.microsoft.com/office/drawing/2014/main" id="{9CB986DA-6CF9-4703-8222-AB4D6CAC80D4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26" name="Text Box 1">
          <a:extLst>
            <a:ext uri="{FF2B5EF4-FFF2-40B4-BE49-F238E27FC236}">
              <a16:creationId xmlns:a16="http://schemas.microsoft.com/office/drawing/2014/main" id="{D8D3BA60-9228-4DC3-9C92-04EA2000A3BC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0807"/>
    <xdr:sp macro="" textlink="">
      <xdr:nvSpPr>
        <xdr:cNvPr id="327" name="Text Box 1">
          <a:extLst>
            <a:ext uri="{FF2B5EF4-FFF2-40B4-BE49-F238E27FC236}">
              <a16:creationId xmlns:a16="http://schemas.microsoft.com/office/drawing/2014/main" id="{149A5C63-B3FE-4977-91E0-C88AADC3A076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28" name="Text Box 1">
          <a:extLst>
            <a:ext uri="{FF2B5EF4-FFF2-40B4-BE49-F238E27FC236}">
              <a16:creationId xmlns:a16="http://schemas.microsoft.com/office/drawing/2014/main" id="{1D570398-F4C4-485B-8884-948F27F7C031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29" name="Text Box 1">
          <a:extLst>
            <a:ext uri="{FF2B5EF4-FFF2-40B4-BE49-F238E27FC236}">
              <a16:creationId xmlns:a16="http://schemas.microsoft.com/office/drawing/2014/main" id="{8BA7E17A-C644-4BD5-AD5E-31432774AA44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30" name="Text Box 1">
          <a:extLst>
            <a:ext uri="{FF2B5EF4-FFF2-40B4-BE49-F238E27FC236}">
              <a16:creationId xmlns:a16="http://schemas.microsoft.com/office/drawing/2014/main" id="{738A3106-66E4-47CB-9295-5A7B4702E59F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582706</xdr:colOff>
      <xdr:row>335</xdr:row>
      <xdr:rowOff>0</xdr:rowOff>
    </xdr:from>
    <xdr:ext cx="28575" cy="620807"/>
    <xdr:sp macro="" textlink="">
      <xdr:nvSpPr>
        <xdr:cNvPr id="331" name="Text Box 1">
          <a:extLst>
            <a:ext uri="{FF2B5EF4-FFF2-40B4-BE49-F238E27FC236}">
              <a16:creationId xmlns:a16="http://schemas.microsoft.com/office/drawing/2014/main" id="{A1372F85-A0CC-434B-80A0-50A79BF67A38}"/>
            </a:ext>
          </a:extLst>
        </xdr:cNvPr>
        <xdr:cNvSpPr txBox="1">
          <a:spLocks noChangeArrowheads="1"/>
        </xdr:cNvSpPr>
      </xdr:nvSpPr>
      <xdr:spPr bwMode="auto">
        <a:xfrm>
          <a:off x="4888006" y="171659550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32" name="Text Box 1">
          <a:extLst>
            <a:ext uri="{FF2B5EF4-FFF2-40B4-BE49-F238E27FC236}">
              <a16:creationId xmlns:a16="http://schemas.microsoft.com/office/drawing/2014/main" id="{F1C7D1C4-3239-4F55-AE45-7AE2178588A5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0807"/>
    <xdr:sp macro="" textlink="">
      <xdr:nvSpPr>
        <xdr:cNvPr id="333" name="Text Box 1">
          <a:extLst>
            <a:ext uri="{FF2B5EF4-FFF2-40B4-BE49-F238E27FC236}">
              <a16:creationId xmlns:a16="http://schemas.microsoft.com/office/drawing/2014/main" id="{2B3F2B27-D806-4484-9331-B6E46B02FAE3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34" name="Text Box 1">
          <a:extLst>
            <a:ext uri="{FF2B5EF4-FFF2-40B4-BE49-F238E27FC236}">
              <a16:creationId xmlns:a16="http://schemas.microsoft.com/office/drawing/2014/main" id="{6BE1CDC9-01D3-4C6B-AF58-F63EB7EC5550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0807"/>
    <xdr:sp macro="" textlink="">
      <xdr:nvSpPr>
        <xdr:cNvPr id="335" name="Text Box 1">
          <a:extLst>
            <a:ext uri="{FF2B5EF4-FFF2-40B4-BE49-F238E27FC236}">
              <a16:creationId xmlns:a16="http://schemas.microsoft.com/office/drawing/2014/main" id="{BE95F728-C308-426F-8C6D-AEE2A5172A80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36" name="Text Box 1">
          <a:extLst>
            <a:ext uri="{FF2B5EF4-FFF2-40B4-BE49-F238E27FC236}">
              <a16:creationId xmlns:a16="http://schemas.microsoft.com/office/drawing/2014/main" id="{1EFBEF43-CA1B-4D89-8441-7BD620DBB255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582706</xdr:colOff>
      <xdr:row>335</xdr:row>
      <xdr:rowOff>0</xdr:rowOff>
    </xdr:from>
    <xdr:ext cx="28575" cy="620807"/>
    <xdr:sp macro="" textlink="">
      <xdr:nvSpPr>
        <xdr:cNvPr id="337" name="Text Box 1">
          <a:extLst>
            <a:ext uri="{FF2B5EF4-FFF2-40B4-BE49-F238E27FC236}">
              <a16:creationId xmlns:a16="http://schemas.microsoft.com/office/drawing/2014/main" id="{A9BB93AB-F275-4B6E-B7DA-01DEE36F1FEA}"/>
            </a:ext>
          </a:extLst>
        </xdr:cNvPr>
        <xdr:cNvSpPr txBox="1">
          <a:spLocks noChangeArrowheads="1"/>
        </xdr:cNvSpPr>
      </xdr:nvSpPr>
      <xdr:spPr bwMode="auto">
        <a:xfrm>
          <a:off x="4888006" y="171659550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38" name="Text Box 1">
          <a:extLst>
            <a:ext uri="{FF2B5EF4-FFF2-40B4-BE49-F238E27FC236}">
              <a16:creationId xmlns:a16="http://schemas.microsoft.com/office/drawing/2014/main" id="{B87B8663-77EA-4C8D-8B6A-63BFC52F321B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39" name="Text Box 1">
          <a:extLst>
            <a:ext uri="{FF2B5EF4-FFF2-40B4-BE49-F238E27FC236}">
              <a16:creationId xmlns:a16="http://schemas.microsoft.com/office/drawing/2014/main" id="{BA8A38C1-5D5F-4428-A14D-ECDFC3E895C4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0807"/>
    <xdr:sp macro="" textlink="">
      <xdr:nvSpPr>
        <xdr:cNvPr id="340" name="Text Box 1">
          <a:extLst>
            <a:ext uri="{FF2B5EF4-FFF2-40B4-BE49-F238E27FC236}">
              <a16:creationId xmlns:a16="http://schemas.microsoft.com/office/drawing/2014/main" id="{BCAB9E5B-D17B-4366-975C-995485950331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08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41" name="Text Box 1">
          <a:extLst>
            <a:ext uri="{FF2B5EF4-FFF2-40B4-BE49-F238E27FC236}">
              <a16:creationId xmlns:a16="http://schemas.microsoft.com/office/drawing/2014/main" id="{05BE2487-EA14-4FF5-B408-3B51A609EDB1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42" name="Text Box 1">
          <a:extLst>
            <a:ext uri="{FF2B5EF4-FFF2-40B4-BE49-F238E27FC236}">
              <a16:creationId xmlns:a16="http://schemas.microsoft.com/office/drawing/2014/main" id="{80EC4C00-918D-4E6B-939F-983555339412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43" name="Text Box 1">
          <a:extLst>
            <a:ext uri="{FF2B5EF4-FFF2-40B4-BE49-F238E27FC236}">
              <a16:creationId xmlns:a16="http://schemas.microsoft.com/office/drawing/2014/main" id="{C8EF7C8E-27D1-4A6F-A2D0-55D7E24C3CAF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44" name="Text Box 1">
          <a:extLst>
            <a:ext uri="{FF2B5EF4-FFF2-40B4-BE49-F238E27FC236}">
              <a16:creationId xmlns:a16="http://schemas.microsoft.com/office/drawing/2014/main" id="{AB8D0C9B-CAC5-4709-ABE0-315D3790553D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45" name="Text Box 1">
          <a:extLst>
            <a:ext uri="{FF2B5EF4-FFF2-40B4-BE49-F238E27FC236}">
              <a16:creationId xmlns:a16="http://schemas.microsoft.com/office/drawing/2014/main" id="{89688524-5EB5-475D-A9E9-26E6D9379DA9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46" name="Text Box 1">
          <a:extLst>
            <a:ext uri="{FF2B5EF4-FFF2-40B4-BE49-F238E27FC236}">
              <a16:creationId xmlns:a16="http://schemas.microsoft.com/office/drawing/2014/main" id="{448F24C3-3F53-4B36-B086-6903EA5382B0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03E30367-C2AA-4D92-8340-4F2C28502A46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4542"/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2C99BFC3-A666-4E4D-86A8-270B16878A90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4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571500</xdr:colOff>
      <xdr:row>335</xdr:row>
      <xdr:rowOff>0</xdr:rowOff>
    </xdr:from>
    <xdr:ext cx="28575" cy="626299"/>
    <xdr:sp macro="" textlink="">
      <xdr:nvSpPr>
        <xdr:cNvPr id="349" name="Text Box 1">
          <a:extLst>
            <a:ext uri="{FF2B5EF4-FFF2-40B4-BE49-F238E27FC236}">
              <a16:creationId xmlns:a16="http://schemas.microsoft.com/office/drawing/2014/main" id="{0E7D7A63-A452-475C-B9BE-5F940A76ED76}"/>
            </a:ext>
          </a:extLst>
        </xdr:cNvPr>
        <xdr:cNvSpPr txBox="1">
          <a:spLocks noChangeArrowheads="1"/>
        </xdr:cNvSpPr>
      </xdr:nvSpPr>
      <xdr:spPr bwMode="auto">
        <a:xfrm>
          <a:off x="4876800" y="171659550"/>
          <a:ext cx="28575" cy="626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C:\Users\Admin\Desktop\TRA-%20Danh%20sach%20nghi%20178%20thang%2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zgr/AppData/Roaming/VNPT%20Plugin/Files/FileTemp/Bi&#7875;u%20ngh&#7881;%20154-%2027.6.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oleLink xmlns:r="http://schemas.openxmlformats.org/officeDocument/2006/relationships" r:id="rId1" progId="Excel.Sheet.12">
    <oleItems>
      <mc:AlternateContent xmlns:mc="http://schemas.openxmlformats.org/markup-compatibility/2006">
        <mc:Choice Requires="x14">
          <x14:oleItem name="!PL 1 _Du dieu kien!R177C10" advise="1"/>
        </mc:Choice>
        <mc:Fallback>
          <oleItem name="!PL 1 _Du dieu kien!R177C10" advise="1"/>
        </mc:Fallback>
      </mc:AlternateContent>
    </oleItems>
  </oleLin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H"/>
      <sheetName val="NGHỈ HƯU TRƯỚC TUỔI"/>
      <sheetName val="THÔI VIỆC NGAY"/>
      <sheetName val="TUOI NGHI HUU"/>
    </sheetNames>
    <sheetDataSet>
      <sheetData sheetId="0" refreshError="1"/>
      <sheetData sheetId="1"/>
      <sheetData sheetId="2"/>
      <sheetData sheetId="3">
        <row r="2">
          <cell r="A2">
            <v>22282</v>
          </cell>
          <cell r="B2">
            <v>60.3</v>
          </cell>
          <cell r="C2">
            <v>24108</v>
          </cell>
          <cell r="D2">
            <v>55.4</v>
          </cell>
          <cell r="E2">
            <v>24108</v>
          </cell>
          <cell r="F2">
            <v>55.3</v>
          </cell>
          <cell r="G2">
            <v>25934</v>
          </cell>
          <cell r="H2">
            <v>50.4</v>
          </cell>
        </row>
        <row r="3">
          <cell r="A3">
            <v>22313</v>
          </cell>
          <cell r="B3">
            <v>60.3</v>
          </cell>
          <cell r="C3">
            <v>24139</v>
          </cell>
          <cell r="D3">
            <v>55.4</v>
          </cell>
          <cell r="E3">
            <v>24139</v>
          </cell>
          <cell r="F3">
            <v>55.3</v>
          </cell>
          <cell r="G3">
            <v>25965</v>
          </cell>
          <cell r="H3">
            <v>50.4</v>
          </cell>
        </row>
        <row r="4">
          <cell r="A4">
            <v>22341</v>
          </cell>
          <cell r="B4">
            <v>60.3</v>
          </cell>
          <cell r="C4">
            <v>24167</v>
          </cell>
          <cell r="D4">
            <v>55.4</v>
          </cell>
          <cell r="E4">
            <v>24167</v>
          </cell>
          <cell r="F4">
            <v>55.3</v>
          </cell>
          <cell r="G4">
            <v>25993</v>
          </cell>
          <cell r="H4">
            <v>50.4</v>
          </cell>
        </row>
        <row r="5">
          <cell r="A5">
            <v>22372</v>
          </cell>
          <cell r="B5">
            <v>60.3</v>
          </cell>
          <cell r="C5">
            <v>24198</v>
          </cell>
          <cell r="D5">
            <v>55.4</v>
          </cell>
          <cell r="E5">
            <v>24198</v>
          </cell>
          <cell r="F5">
            <v>55.3</v>
          </cell>
          <cell r="G5">
            <v>26024</v>
          </cell>
          <cell r="H5">
            <v>50.4</v>
          </cell>
        </row>
        <row r="6">
          <cell r="A6">
            <v>22402</v>
          </cell>
          <cell r="B6">
            <v>60.3</v>
          </cell>
          <cell r="C6">
            <v>24228</v>
          </cell>
          <cell r="D6">
            <v>55.4</v>
          </cell>
          <cell r="E6">
            <v>24228</v>
          </cell>
          <cell r="F6">
            <v>55.3</v>
          </cell>
          <cell r="G6">
            <v>26054</v>
          </cell>
          <cell r="H6">
            <v>50.4</v>
          </cell>
        </row>
        <row r="7">
          <cell r="A7">
            <v>22433</v>
          </cell>
          <cell r="B7">
            <v>60.3</v>
          </cell>
          <cell r="C7">
            <v>24259</v>
          </cell>
          <cell r="D7">
            <v>55.4</v>
          </cell>
          <cell r="E7">
            <v>24259</v>
          </cell>
          <cell r="F7">
            <v>55.3</v>
          </cell>
          <cell r="G7">
            <v>26085</v>
          </cell>
          <cell r="H7">
            <v>50.4</v>
          </cell>
        </row>
        <row r="8">
          <cell r="A8">
            <v>22463</v>
          </cell>
          <cell r="B8">
            <v>60.3</v>
          </cell>
          <cell r="C8">
            <v>24289</v>
          </cell>
          <cell r="D8">
            <v>55.4</v>
          </cell>
          <cell r="E8">
            <v>24289</v>
          </cell>
          <cell r="F8">
            <v>55.3</v>
          </cell>
          <cell r="G8">
            <v>26115</v>
          </cell>
          <cell r="H8">
            <v>50.4</v>
          </cell>
        </row>
        <row r="9">
          <cell r="A9">
            <v>22494</v>
          </cell>
          <cell r="B9">
            <v>60.3</v>
          </cell>
          <cell r="C9">
            <v>24320</v>
          </cell>
          <cell r="D9">
            <v>55.4</v>
          </cell>
          <cell r="E9">
            <v>24320</v>
          </cell>
          <cell r="F9">
            <v>55.3</v>
          </cell>
          <cell r="G9">
            <v>26146</v>
          </cell>
          <cell r="H9">
            <v>50.4</v>
          </cell>
        </row>
        <row r="10">
          <cell r="A10">
            <v>22525</v>
          </cell>
          <cell r="B10">
            <v>60.3</v>
          </cell>
          <cell r="C10">
            <v>24351</v>
          </cell>
          <cell r="D10">
            <v>55.8</v>
          </cell>
          <cell r="E10">
            <v>24351</v>
          </cell>
          <cell r="F10">
            <v>55.3</v>
          </cell>
          <cell r="G10">
            <v>26177</v>
          </cell>
          <cell r="H10">
            <v>50.8</v>
          </cell>
        </row>
        <row r="11">
          <cell r="A11">
            <v>22555</v>
          </cell>
          <cell r="B11">
            <v>60.6</v>
          </cell>
          <cell r="C11">
            <v>24381</v>
          </cell>
          <cell r="D11">
            <v>55.8</v>
          </cell>
          <cell r="E11">
            <v>24381</v>
          </cell>
          <cell r="F11">
            <v>55.6</v>
          </cell>
          <cell r="G11">
            <v>26207</v>
          </cell>
          <cell r="H11">
            <v>50.8</v>
          </cell>
        </row>
        <row r="12">
          <cell r="A12">
            <v>22586</v>
          </cell>
          <cell r="B12">
            <v>60.6</v>
          </cell>
          <cell r="C12">
            <v>24412</v>
          </cell>
          <cell r="D12">
            <v>55.8</v>
          </cell>
          <cell r="E12">
            <v>24412</v>
          </cell>
          <cell r="F12">
            <v>55.6</v>
          </cell>
          <cell r="G12">
            <v>26238</v>
          </cell>
          <cell r="H12">
            <v>50.8</v>
          </cell>
        </row>
        <row r="13">
          <cell r="A13">
            <v>22616</v>
          </cell>
          <cell r="B13">
            <v>60.6</v>
          </cell>
          <cell r="C13">
            <v>24442</v>
          </cell>
          <cell r="D13">
            <v>55.8</v>
          </cell>
          <cell r="E13">
            <v>24442</v>
          </cell>
          <cell r="F13">
            <v>55.6</v>
          </cell>
          <cell r="G13">
            <v>26268</v>
          </cell>
          <cell r="H13">
            <v>50.8</v>
          </cell>
        </row>
        <row r="14">
          <cell r="A14">
            <v>22647</v>
          </cell>
          <cell r="B14">
            <v>60.6</v>
          </cell>
          <cell r="C14">
            <v>24473</v>
          </cell>
          <cell r="D14">
            <v>55.8</v>
          </cell>
          <cell r="E14">
            <v>24473</v>
          </cell>
          <cell r="F14">
            <v>55.6</v>
          </cell>
          <cell r="G14">
            <v>26299</v>
          </cell>
          <cell r="H14">
            <v>50.8</v>
          </cell>
        </row>
        <row r="15">
          <cell r="A15">
            <v>22678</v>
          </cell>
          <cell r="B15">
            <v>60.6</v>
          </cell>
          <cell r="C15">
            <v>24504</v>
          </cell>
          <cell r="D15">
            <v>55.8</v>
          </cell>
          <cell r="E15">
            <v>24504</v>
          </cell>
          <cell r="F15">
            <v>55.6</v>
          </cell>
          <cell r="G15">
            <v>26330</v>
          </cell>
          <cell r="H15">
            <v>50.8</v>
          </cell>
        </row>
        <row r="16">
          <cell r="A16">
            <v>22706</v>
          </cell>
          <cell r="B16">
            <v>60.6</v>
          </cell>
          <cell r="C16">
            <v>24532</v>
          </cell>
          <cell r="D16">
            <v>55.8</v>
          </cell>
          <cell r="E16">
            <v>24532</v>
          </cell>
          <cell r="F16">
            <v>55.6</v>
          </cell>
          <cell r="G16">
            <v>26359</v>
          </cell>
          <cell r="H16">
            <v>50.8</v>
          </cell>
        </row>
        <row r="17">
          <cell r="A17">
            <v>22737</v>
          </cell>
          <cell r="B17">
            <v>60.6</v>
          </cell>
          <cell r="C17">
            <v>24563</v>
          </cell>
          <cell r="D17">
            <v>55.8</v>
          </cell>
          <cell r="E17">
            <v>24563</v>
          </cell>
          <cell r="F17">
            <v>55.6</v>
          </cell>
          <cell r="G17">
            <v>26390</v>
          </cell>
          <cell r="H17">
            <v>50.8</v>
          </cell>
        </row>
        <row r="18">
          <cell r="A18">
            <v>22767</v>
          </cell>
          <cell r="B18">
            <v>60.6</v>
          </cell>
          <cell r="C18">
            <v>24593</v>
          </cell>
          <cell r="D18">
            <v>56</v>
          </cell>
          <cell r="E18">
            <v>24593</v>
          </cell>
          <cell r="F18">
            <v>55.6</v>
          </cell>
          <cell r="G18">
            <v>26420</v>
          </cell>
          <cell r="H18">
            <v>51</v>
          </cell>
        </row>
        <row r="19">
          <cell r="A19">
            <v>22798</v>
          </cell>
          <cell r="B19">
            <v>60.6</v>
          </cell>
          <cell r="C19">
            <v>24624</v>
          </cell>
          <cell r="D19">
            <v>56</v>
          </cell>
          <cell r="E19">
            <v>24624</v>
          </cell>
          <cell r="F19">
            <v>55.6</v>
          </cell>
          <cell r="G19">
            <v>26451</v>
          </cell>
          <cell r="H19">
            <v>51</v>
          </cell>
        </row>
        <row r="20">
          <cell r="A20">
            <v>22828</v>
          </cell>
          <cell r="B20">
            <v>60.9</v>
          </cell>
          <cell r="C20">
            <v>24654</v>
          </cell>
          <cell r="D20">
            <v>56</v>
          </cell>
          <cell r="E20">
            <v>24654</v>
          </cell>
          <cell r="F20">
            <v>55.9</v>
          </cell>
          <cell r="G20">
            <v>26481</v>
          </cell>
          <cell r="H20">
            <v>51</v>
          </cell>
        </row>
        <row r="21">
          <cell r="A21">
            <v>22859</v>
          </cell>
          <cell r="B21">
            <v>60.9</v>
          </cell>
          <cell r="C21">
            <v>24685</v>
          </cell>
          <cell r="D21">
            <v>56</v>
          </cell>
          <cell r="E21">
            <v>24685</v>
          </cell>
          <cell r="F21">
            <v>55.9</v>
          </cell>
          <cell r="G21">
            <v>26512</v>
          </cell>
          <cell r="H21">
            <v>51</v>
          </cell>
        </row>
        <row r="22">
          <cell r="A22">
            <v>22890</v>
          </cell>
          <cell r="B22">
            <v>60.9</v>
          </cell>
          <cell r="C22">
            <v>24716</v>
          </cell>
          <cell r="D22">
            <v>56</v>
          </cell>
          <cell r="E22">
            <v>24716</v>
          </cell>
          <cell r="F22">
            <v>55.9</v>
          </cell>
          <cell r="G22">
            <v>26543</v>
          </cell>
          <cell r="H22">
            <v>51</v>
          </cell>
        </row>
        <row r="23">
          <cell r="A23">
            <v>22920</v>
          </cell>
          <cell r="B23">
            <v>60.9</v>
          </cell>
          <cell r="C23">
            <v>24746</v>
          </cell>
          <cell r="D23">
            <v>56</v>
          </cell>
          <cell r="E23">
            <v>24746</v>
          </cell>
          <cell r="F23">
            <v>55.9</v>
          </cell>
          <cell r="G23">
            <v>26573</v>
          </cell>
          <cell r="H23">
            <v>51</v>
          </cell>
        </row>
        <row r="24">
          <cell r="A24">
            <v>22951</v>
          </cell>
          <cell r="B24">
            <v>60.9</v>
          </cell>
          <cell r="C24">
            <v>24777</v>
          </cell>
          <cell r="D24">
            <v>56</v>
          </cell>
          <cell r="E24">
            <v>24777</v>
          </cell>
          <cell r="F24">
            <v>55.9</v>
          </cell>
          <cell r="G24">
            <v>26604</v>
          </cell>
          <cell r="H24">
            <v>51</v>
          </cell>
        </row>
        <row r="25">
          <cell r="A25">
            <v>22981</v>
          </cell>
          <cell r="B25">
            <v>60.9</v>
          </cell>
          <cell r="C25">
            <v>24807</v>
          </cell>
          <cell r="D25">
            <v>56</v>
          </cell>
          <cell r="E25">
            <v>24807</v>
          </cell>
          <cell r="F25">
            <v>55.9</v>
          </cell>
          <cell r="G25">
            <v>26634</v>
          </cell>
          <cell r="H25">
            <v>51</v>
          </cell>
        </row>
        <row r="26">
          <cell r="A26">
            <v>23012</v>
          </cell>
          <cell r="B26">
            <v>60.9</v>
          </cell>
          <cell r="C26">
            <v>24838</v>
          </cell>
          <cell r="D26">
            <v>56.4</v>
          </cell>
          <cell r="E26">
            <v>24838</v>
          </cell>
          <cell r="F26">
            <v>55.9</v>
          </cell>
          <cell r="G26">
            <v>26665</v>
          </cell>
          <cell r="H26">
            <v>51.4</v>
          </cell>
        </row>
        <row r="27">
          <cell r="A27">
            <v>23043</v>
          </cell>
          <cell r="B27">
            <v>60.9</v>
          </cell>
          <cell r="C27">
            <v>24869</v>
          </cell>
          <cell r="D27">
            <v>56.4</v>
          </cell>
          <cell r="E27">
            <v>24869</v>
          </cell>
          <cell r="F27">
            <v>55.9</v>
          </cell>
          <cell r="G27">
            <v>26696</v>
          </cell>
          <cell r="H27">
            <v>51.4</v>
          </cell>
        </row>
        <row r="28">
          <cell r="A28">
            <v>23071</v>
          </cell>
          <cell r="B28">
            <v>60.9</v>
          </cell>
          <cell r="C28">
            <v>24898</v>
          </cell>
          <cell r="D28">
            <v>56.4</v>
          </cell>
          <cell r="E28">
            <v>24898</v>
          </cell>
          <cell r="F28">
            <v>55.9</v>
          </cell>
          <cell r="G28">
            <v>26724</v>
          </cell>
          <cell r="H28">
            <v>51.4</v>
          </cell>
        </row>
        <row r="29">
          <cell r="A29">
            <v>23102</v>
          </cell>
          <cell r="B29">
            <v>61</v>
          </cell>
          <cell r="C29">
            <v>24929</v>
          </cell>
          <cell r="D29">
            <v>56.4</v>
          </cell>
          <cell r="E29">
            <v>24929</v>
          </cell>
          <cell r="F29">
            <v>56</v>
          </cell>
          <cell r="G29">
            <v>26755</v>
          </cell>
          <cell r="H29">
            <v>51.4</v>
          </cell>
        </row>
        <row r="30">
          <cell r="A30">
            <v>23132</v>
          </cell>
          <cell r="B30">
            <v>61</v>
          </cell>
          <cell r="C30">
            <v>24959</v>
          </cell>
          <cell r="D30">
            <v>56.4</v>
          </cell>
          <cell r="E30">
            <v>24959</v>
          </cell>
          <cell r="F30">
            <v>56</v>
          </cell>
          <cell r="G30">
            <v>26785</v>
          </cell>
          <cell r="H30">
            <v>51.4</v>
          </cell>
        </row>
        <row r="31">
          <cell r="A31">
            <v>23163</v>
          </cell>
          <cell r="B31">
            <v>61</v>
          </cell>
          <cell r="C31">
            <v>24990</v>
          </cell>
          <cell r="D31">
            <v>56.4</v>
          </cell>
          <cell r="E31">
            <v>24990</v>
          </cell>
          <cell r="F31">
            <v>56</v>
          </cell>
          <cell r="G31">
            <v>26816</v>
          </cell>
          <cell r="H31">
            <v>51.4</v>
          </cell>
        </row>
        <row r="32">
          <cell r="A32">
            <v>23193</v>
          </cell>
          <cell r="B32">
            <v>61</v>
          </cell>
          <cell r="C32">
            <v>25020</v>
          </cell>
          <cell r="D32">
            <v>56.4</v>
          </cell>
          <cell r="E32">
            <v>25020</v>
          </cell>
          <cell r="F32">
            <v>56</v>
          </cell>
          <cell r="G32">
            <v>26846</v>
          </cell>
          <cell r="H32">
            <v>51.4</v>
          </cell>
        </row>
        <row r="33">
          <cell r="A33">
            <v>23224</v>
          </cell>
          <cell r="B33">
            <v>61</v>
          </cell>
          <cell r="C33">
            <v>25051</v>
          </cell>
          <cell r="D33">
            <v>56.4</v>
          </cell>
          <cell r="E33">
            <v>25051</v>
          </cell>
          <cell r="F33">
            <v>56</v>
          </cell>
          <cell r="G33">
            <v>26877</v>
          </cell>
          <cell r="H33">
            <v>51.4</v>
          </cell>
        </row>
        <row r="34">
          <cell r="A34">
            <v>23255</v>
          </cell>
          <cell r="B34">
            <v>61</v>
          </cell>
          <cell r="C34">
            <v>25082</v>
          </cell>
          <cell r="D34">
            <v>56.8</v>
          </cell>
          <cell r="E34">
            <v>25082</v>
          </cell>
          <cell r="F34">
            <v>56</v>
          </cell>
          <cell r="G34">
            <v>26908</v>
          </cell>
          <cell r="H34">
            <v>51.8</v>
          </cell>
        </row>
        <row r="35">
          <cell r="A35">
            <v>23285</v>
          </cell>
          <cell r="B35">
            <v>61</v>
          </cell>
          <cell r="C35">
            <v>25112</v>
          </cell>
          <cell r="D35">
            <v>56.8</v>
          </cell>
          <cell r="E35">
            <v>25112</v>
          </cell>
          <cell r="F35">
            <v>56</v>
          </cell>
          <cell r="G35">
            <v>26938</v>
          </cell>
          <cell r="H35">
            <v>51.8</v>
          </cell>
        </row>
        <row r="36">
          <cell r="A36">
            <v>23316</v>
          </cell>
          <cell r="B36">
            <v>61</v>
          </cell>
          <cell r="C36">
            <v>25143</v>
          </cell>
          <cell r="D36">
            <v>56.8</v>
          </cell>
          <cell r="E36">
            <v>25143</v>
          </cell>
          <cell r="F36">
            <v>56</v>
          </cell>
          <cell r="G36">
            <v>26969</v>
          </cell>
          <cell r="H36">
            <v>51.8</v>
          </cell>
        </row>
        <row r="37">
          <cell r="A37">
            <v>23346</v>
          </cell>
          <cell r="B37">
            <v>61</v>
          </cell>
          <cell r="C37">
            <v>25173</v>
          </cell>
          <cell r="D37">
            <v>56.8</v>
          </cell>
          <cell r="E37">
            <v>25173</v>
          </cell>
          <cell r="F37">
            <v>56</v>
          </cell>
          <cell r="G37">
            <v>26999</v>
          </cell>
          <cell r="H37">
            <v>51.8</v>
          </cell>
        </row>
        <row r="38">
          <cell r="A38">
            <v>23377</v>
          </cell>
          <cell r="B38">
            <v>61.3</v>
          </cell>
          <cell r="C38">
            <v>25204</v>
          </cell>
          <cell r="D38">
            <v>56.8</v>
          </cell>
          <cell r="E38">
            <v>25204</v>
          </cell>
          <cell r="F38">
            <v>56.3</v>
          </cell>
          <cell r="G38">
            <v>27030</v>
          </cell>
          <cell r="H38">
            <v>51.8</v>
          </cell>
        </row>
        <row r="39">
          <cell r="A39">
            <v>23408</v>
          </cell>
          <cell r="B39">
            <v>61.3</v>
          </cell>
          <cell r="C39">
            <v>25235</v>
          </cell>
          <cell r="D39">
            <v>56.8</v>
          </cell>
          <cell r="E39">
            <v>25235</v>
          </cell>
          <cell r="F39">
            <v>56.3</v>
          </cell>
          <cell r="G39">
            <v>27061</v>
          </cell>
          <cell r="H39">
            <v>51.8</v>
          </cell>
        </row>
        <row r="40">
          <cell r="A40">
            <v>23437</v>
          </cell>
          <cell r="B40">
            <v>61.3</v>
          </cell>
          <cell r="C40">
            <v>25263</v>
          </cell>
          <cell r="D40">
            <v>56.8</v>
          </cell>
          <cell r="E40">
            <v>25263</v>
          </cell>
          <cell r="F40">
            <v>56.3</v>
          </cell>
          <cell r="G40">
            <v>27089</v>
          </cell>
          <cell r="H40">
            <v>51.8</v>
          </cell>
        </row>
        <row r="41">
          <cell r="A41">
            <v>23468</v>
          </cell>
          <cell r="B41">
            <v>61.3</v>
          </cell>
          <cell r="C41">
            <v>25294</v>
          </cell>
          <cell r="D41">
            <v>56.8</v>
          </cell>
          <cell r="E41">
            <v>25294</v>
          </cell>
          <cell r="F41">
            <v>56.3</v>
          </cell>
          <cell r="G41">
            <v>27120</v>
          </cell>
          <cell r="H41">
            <v>51.8</v>
          </cell>
        </row>
        <row r="42">
          <cell r="A42">
            <v>23498</v>
          </cell>
          <cell r="B42">
            <v>61.3</v>
          </cell>
          <cell r="C42">
            <v>25324</v>
          </cell>
          <cell r="D42">
            <v>57</v>
          </cell>
          <cell r="E42">
            <v>25324</v>
          </cell>
          <cell r="F42">
            <v>56.3</v>
          </cell>
          <cell r="G42">
            <v>27150</v>
          </cell>
          <cell r="H42">
            <v>52</v>
          </cell>
        </row>
        <row r="43">
          <cell r="A43">
            <v>23529</v>
          </cell>
          <cell r="B43">
            <v>61.3</v>
          </cell>
          <cell r="C43">
            <v>25355</v>
          </cell>
          <cell r="D43">
            <v>57</v>
          </cell>
          <cell r="E43">
            <v>25355</v>
          </cell>
          <cell r="F43">
            <v>56.3</v>
          </cell>
          <cell r="G43">
            <v>27181</v>
          </cell>
          <cell r="H43">
            <v>52</v>
          </cell>
        </row>
        <row r="44">
          <cell r="A44">
            <v>23559</v>
          </cell>
          <cell r="B44">
            <v>61.3</v>
          </cell>
          <cell r="C44">
            <v>25385</v>
          </cell>
          <cell r="D44">
            <v>57</v>
          </cell>
          <cell r="E44">
            <v>25385</v>
          </cell>
          <cell r="F44">
            <v>56.3</v>
          </cell>
          <cell r="G44">
            <v>27211</v>
          </cell>
          <cell r="H44">
            <v>52</v>
          </cell>
        </row>
        <row r="45">
          <cell r="A45">
            <v>23590</v>
          </cell>
          <cell r="B45">
            <v>61.3</v>
          </cell>
          <cell r="C45">
            <v>25416</v>
          </cell>
          <cell r="D45">
            <v>57</v>
          </cell>
          <cell r="E45">
            <v>25416</v>
          </cell>
          <cell r="F45">
            <v>56.3</v>
          </cell>
          <cell r="G45">
            <v>27242</v>
          </cell>
          <cell r="H45">
            <v>52</v>
          </cell>
        </row>
        <row r="46">
          <cell r="A46">
            <v>23621</v>
          </cell>
          <cell r="B46">
            <v>61.3</v>
          </cell>
          <cell r="C46">
            <v>25447</v>
          </cell>
          <cell r="D46">
            <v>57</v>
          </cell>
          <cell r="E46">
            <v>25447</v>
          </cell>
          <cell r="F46">
            <v>56.3</v>
          </cell>
          <cell r="G46">
            <v>27273</v>
          </cell>
          <cell r="H46">
            <v>52</v>
          </cell>
        </row>
        <row r="47">
          <cell r="A47">
            <v>23651</v>
          </cell>
          <cell r="B47">
            <v>61.6</v>
          </cell>
          <cell r="C47">
            <v>25477</v>
          </cell>
          <cell r="D47">
            <v>57</v>
          </cell>
          <cell r="E47">
            <v>25477</v>
          </cell>
          <cell r="F47">
            <v>56.6</v>
          </cell>
          <cell r="G47">
            <v>27303</v>
          </cell>
          <cell r="H47">
            <v>52</v>
          </cell>
        </row>
        <row r="48">
          <cell r="A48">
            <v>23682</v>
          </cell>
          <cell r="B48">
            <v>61.6</v>
          </cell>
          <cell r="C48">
            <v>25508</v>
          </cell>
          <cell r="D48">
            <v>57</v>
          </cell>
          <cell r="E48">
            <v>25508</v>
          </cell>
          <cell r="F48">
            <v>56.6</v>
          </cell>
          <cell r="G48">
            <v>27334</v>
          </cell>
          <cell r="H48">
            <v>52</v>
          </cell>
        </row>
        <row r="49">
          <cell r="A49">
            <v>23712</v>
          </cell>
          <cell r="B49">
            <v>61.6</v>
          </cell>
          <cell r="C49">
            <v>25538</v>
          </cell>
          <cell r="D49">
            <v>57</v>
          </cell>
          <cell r="E49">
            <v>25538</v>
          </cell>
          <cell r="F49">
            <v>56.6</v>
          </cell>
          <cell r="G49">
            <v>27364</v>
          </cell>
          <cell r="H49">
            <v>52</v>
          </cell>
        </row>
        <row r="50">
          <cell r="A50">
            <v>23743</v>
          </cell>
          <cell r="B50">
            <v>61.6</v>
          </cell>
          <cell r="C50">
            <v>25569</v>
          </cell>
          <cell r="D50">
            <v>57.4</v>
          </cell>
          <cell r="E50">
            <v>25569</v>
          </cell>
          <cell r="F50">
            <v>56.6</v>
          </cell>
          <cell r="G50">
            <v>27395</v>
          </cell>
          <cell r="H50">
            <v>52.4</v>
          </cell>
        </row>
        <row r="51">
          <cell r="A51">
            <v>23774</v>
          </cell>
          <cell r="B51">
            <v>61.6</v>
          </cell>
          <cell r="C51">
            <v>25600</v>
          </cell>
          <cell r="D51">
            <v>57.4</v>
          </cell>
          <cell r="E51">
            <v>25600</v>
          </cell>
          <cell r="F51">
            <v>56.6</v>
          </cell>
          <cell r="G51">
            <v>27426</v>
          </cell>
          <cell r="H51">
            <v>52.4</v>
          </cell>
        </row>
        <row r="52">
          <cell r="A52">
            <v>23802</v>
          </cell>
          <cell r="B52">
            <v>61.6</v>
          </cell>
          <cell r="C52">
            <v>25628</v>
          </cell>
          <cell r="D52">
            <v>57.4</v>
          </cell>
          <cell r="E52">
            <v>25628</v>
          </cell>
          <cell r="F52">
            <v>56.6</v>
          </cell>
          <cell r="G52">
            <v>27454</v>
          </cell>
          <cell r="H52">
            <v>52.4</v>
          </cell>
        </row>
        <row r="53">
          <cell r="A53">
            <v>23833</v>
          </cell>
          <cell r="B53">
            <v>61.6</v>
          </cell>
          <cell r="C53">
            <v>25659</v>
          </cell>
          <cell r="D53">
            <v>57.4</v>
          </cell>
          <cell r="E53">
            <v>25659</v>
          </cell>
          <cell r="F53">
            <v>56.6</v>
          </cell>
          <cell r="G53">
            <v>27485</v>
          </cell>
          <cell r="H53">
            <v>52.4</v>
          </cell>
        </row>
        <row r="54">
          <cell r="A54">
            <v>23863</v>
          </cell>
          <cell r="B54">
            <v>61.6</v>
          </cell>
          <cell r="C54">
            <v>25689</v>
          </cell>
          <cell r="D54">
            <v>57.4</v>
          </cell>
          <cell r="E54">
            <v>25689</v>
          </cell>
          <cell r="F54">
            <v>56.6</v>
          </cell>
          <cell r="G54">
            <v>27515</v>
          </cell>
          <cell r="H54">
            <v>52.4</v>
          </cell>
        </row>
        <row r="55">
          <cell r="A55">
            <v>23894</v>
          </cell>
          <cell r="B55">
            <v>61.6</v>
          </cell>
          <cell r="C55">
            <v>25720</v>
          </cell>
          <cell r="D55">
            <v>57.4</v>
          </cell>
          <cell r="E55">
            <v>25720</v>
          </cell>
          <cell r="F55">
            <v>56.6</v>
          </cell>
          <cell r="G55">
            <v>27546</v>
          </cell>
          <cell r="H55">
            <v>52.4</v>
          </cell>
        </row>
        <row r="56">
          <cell r="A56">
            <v>23924</v>
          </cell>
          <cell r="B56">
            <v>61.9</v>
          </cell>
          <cell r="C56">
            <v>25750</v>
          </cell>
          <cell r="D56">
            <v>57.4</v>
          </cell>
          <cell r="E56">
            <v>25750</v>
          </cell>
          <cell r="F56">
            <v>56.9</v>
          </cell>
          <cell r="G56">
            <v>27576</v>
          </cell>
          <cell r="H56">
            <v>52.4</v>
          </cell>
        </row>
        <row r="57">
          <cell r="A57">
            <v>23955</v>
          </cell>
          <cell r="B57">
            <v>61.9</v>
          </cell>
          <cell r="C57">
            <v>25781</v>
          </cell>
          <cell r="D57">
            <v>57.4</v>
          </cell>
          <cell r="E57">
            <v>25781</v>
          </cell>
          <cell r="F57">
            <v>56.9</v>
          </cell>
          <cell r="G57">
            <v>27607</v>
          </cell>
          <cell r="H57">
            <v>52.4</v>
          </cell>
        </row>
        <row r="58">
          <cell r="A58">
            <v>23986</v>
          </cell>
          <cell r="B58">
            <v>61.9</v>
          </cell>
          <cell r="C58">
            <v>25812</v>
          </cell>
          <cell r="D58">
            <v>57.8</v>
          </cell>
          <cell r="E58">
            <v>25812</v>
          </cell>
          <cell r="F58">
            <v>56.9</v>
          </cell>
          <cell r="G58">
            <v>27638</v>
          </cell>
          <cell r="H58">
            <v>52.8</v>
          </cell>
        </row>
        <row r="59">
          <cell r="A59">
            <v>24016</v>
          </cell>
          <cell r="B59">
            <v>61.9</v>
          </cell>
          <cell r="C59">
            <v>25842</v>
          </cell>
          <cell r="D59">
            <v>57.8</v>
          </cell>
          <cell r="E59">
            <v>25842</v>
          </cell>
          <cell r="F59">
            <v>56.9</v>
          </cell>
          <cell r="G59">
            <v>27668</v>
          </cell>
          <cell r="H59">
            <v>52.8</v>
          </cell>
        </row>
        <row r="60">
          <cell r="A60">
            <v>24047</v>
          </cell>
          <cell r="B60">
            <v>61.9</v>
          </cell>
          <cell r="C60">
            <v>25873</v>
          </cell>
          <cell r="D60">
            <v>57.8</v>
          </cell>
          <cell r="E60">
            <v>25873</v>
          </cell>
          <cell r="F60">
            <v>56.9</v>
          </cell>
          <cell r="G60">
            <v>27699</v>
          </cell>
          <cell r="H60">
            <v>52.8</v>
          </cell>
        </row>
        <row r="61">
          <cell r="A61">
            <v>24077</v>
          </cell>
          <cell r="B61">
            <v>61.9</v>
          </cell>
          <cell r="C61">
            <v>25903</v>
          </cell>
          <cell r="D61">
            <v>57.8</v>
          </cell>
          <cell r="E61">
            <v>25903</v>
          </cell>
          <cell r="F61">
            <v>56.9</v>
          </cell>
          <cell r="G61">
            <v>27729</v>
          </cell>
          <cell r="H61">
            <v>52.8</v>
          </cell>
        </row>
        <row r="62">
          <cell r="A62">
            <v>24108</v>
          </cell>
          <cell r="B62">
            <v>61.9</v>
          </cell>
          <cell r="C62">
            <v>25934</v>
          </cell>
          <cell r="D62">
            <v>57.8</v>
          </cell>
          <cell r="E62">
            <v>25934</v>
          </cell>
          <cell r="F62">
            <v>56.9</v>
          </cell>
          <cell r="G62">
            <v>27760</v>
          </cell>
          <cell r="H62">
            <v>52.8</v>
          </cell>
        </row>
        <row r="63">
          <cell r="A63">
            <v>24139</v>
          </cell>
          <cell r="B63">
            <v>61.9</v>
          </cell>
          <cell r="C63">
            <v>25965</v>
          </cell>
          <cell r="D63">
            <v>57.8</v>
          </cell>
          <cell r="E63">
            <v>25965</v>
          </cell>
          <cell r="F63">
            <v>56.9</v>
          </cell>
          <cell r="G63">
            <v>27791</v>
          </cell>
          <cell r="H63">
            <v>52.8</v>
          </cell>
        </row>
        <row r="64">
          <cell r="A64">
            <v>24167</v>
          </cell>
          <cell r="B64">
            <v>61.9</v>
          </cell>
          <cell r="C64">
            <v>25993</v>
          </cell>
          <cell r="D64">
            <v>57.8</v>
          </cell>
          <cell r="E64">
            <v>25993</v>
          </cell>
          <cell r="F64">
            <v>56.9</v>
          </cell>
          <cell r="G64">
            <v>27820</v>
          </cell>
          <cell r="H64">
            <v>52.8</v>
          </cell>
        </row>
        <row r="65">
          <cell r="A65">
            <v>24198</v>
          </cell>
          <cell r="B65">
            <v>62</v>
          </cell>
          <cell r="C65">
            <v>26024</v>
          </cell>
          <cell r="D65">
            <v>57.8</v>
          </cell>
          <cell r="E65">
            <v>26024</v>
          </cell>
          <cell r="F65">
            <v>57</v>
          </cell>
          <cell r="G65">
            <v>27851</v>
          </cell>
          <cell r="H65">
            <v>52.8</v>
          </cell>
        </row>
        <row r="66">
          <cell r="A66">
            <v>24228</v>
          </cell>
          <cell r="B66">
            <v>62</v>
          </cell>
          <cell r="C66">
            <v>26054</v>
          </cell>
          <cell r="D66">
            <v>58</v>
          </cell>
          <cell r="E66">
            <v>26054</v>
          </cell>
          <cell r="F66">
            <v>57</v>
          </cell>
          <cell r="G66">
            <v>27881</v>
          </cell>
          <cell r="H66">
            <v>53</v>
          </cell>
        </row>
        <row r="67">
          <cell r="A67">
            <v>24259</v>
          </cell>
          <cell r="B67">
            <v>62</v>
          </cell>
          <cell r="C67">
            <v>26085</v>
          </cell>
          <cell r="D67">
            <v>58</v>
          </cell>
          <cell r="E67">
            <v>26085</v>
          </cell>
          <cell r="F67">
            <v>57</v>
          </cell>
          <cell r="G67">
            <v>27912</v>
          </cell>
          <cell r="H67">
            <v>53</v>
          </cell>
        </row>
        <row r="68">
          <cell r="A68">
            <v>24289</v>
          </cell>
          <cell r="B68">
            <v>62</v>
          </cell>
          <cell r="C68">
            <v>26115</v>
          </cell>
          <cell r="D68">
            <v>58</v>
          </cell>
          <cell r="E68">
            <v>26115</v>
          </cell>
          <cell r="F68">
            <v>57</v>
          </cell>
          <cell r="G68">
            <v>27942</v>
          </cell>
          <cell r="H68">
            <v>53</v>
          </cell>
        </row>
        <row r="69">
          <cell r="A69">
            <v>24320</v>
          </cell>
          <cell r="B69">
            <v>62</v>
          </cell>
          <cell r="C69">
            <v>26146</v>
          </cell>
          <cell r="D69">
            <v>58</v>
          </cell>
          <cell r="E69">
            <v>26146</v>
          </cell>
          <cell r="F69">
            <v>57</v>
          </cell>
          <cell r="G69">
            <v>27973</v>
          </cell>
          <cell r="H69">
            <v>53</v>
          </cell>
        </row>
        <row r="70">
          <cell r="A70">
            <v>24351</v>
          </cell>
          <cell r="B70">
            <v>62</v>
          </cell>
          <cell r="C70">
            <v>26177</v>
          </cell>
          <cell r="D70">
            <v>58</v>
          </cell>
          <cell r="E70">
            <v>26177</v>
          </cell>
          <cell r="F70">
            <v>57</v>
          </cell>
          <cell r="G70">
            <v>28004</v>
          </cell>
          <cell r="H70">
            <v>53</v>
          </cell>
        </row>
        <row r="71">
          <cell r="A71">
            <v>24381</v>
          </cell>
          <cell r="B71">
            <v>62</v>
          </cell>
          <cell r="C71">
            <v>26207</v>
          </cell>
          <cell r="D71">
            <v>58</v>
          </cell>
          <cell r="E71">
            <v>26207</v>
          </cell>
          <cell r="F71">
            <v>57</v>
          </cell>
          <cell r="G71">
            <v>28034</v>
          </cell>
          <cell r="H71">
            <v>53</v>
          </cell>
        </row>
        <row r="72">
          <cell r="A72">
            <v>24412</v>
          </cell>
          <cell r="B72">
            <v>62</v>
          </cell>
          <cell r="C72">
            <v>26238</v>
          </cell>
          <cell r="D72">
            <v>58</v>
          </cell>
          <cell r="E72">
            <v>26238</v>
          </cell>
          <cell r="F72">
            <v>57</v>
          </cell>
          <cell r="G72">
            <v>28065</v>
          </cell>
          <cell r="H72">
            <v>53</v>
          </cell>
        </row>
        <row r="73">
          <cell r="A73">
            <v>24442</v>
          </cell>
          <cell r="B73">
            <v>62</v>
          </cell>
          <cell r="C73">
            <v>26268</v>
          </cell>
          <cell r="D73">
            <v>58</v>
          </cell>
          <cell r="E73">
            <v>26268</v>
          </cell>
          <cell r="F73">
            <v>57</v>
          </cell>
          <cell r="G73">
            <v>28095</v>
          </cell>
          <cell r="H73">
            <v>53</v>
          </cell>
        </row>
        <row r="74">
          <cell r="A74">
            <v>24473</v>
          </cell>
          <cell r="B74">
            <v>62</v>
          </cell>
          <cell r="C74">
            <v>26299</v>
          </cell>
          <cell r="D74">
            <v>58.4</v>
          </cell>
          <cell r="E74">
            <v>26299</v>
          </cell>
          <cell r="F74">
            <v>57</v>
          </cell>
          <cell r="G74">
            <v>28126</v>
          </cell>
          <cell r="H74">
            <v>53.4</v>
          </cell>
        </row>
        <row r="75">
          <cell r="A75">
            <v>24504</v>
          </cell>
          <cell r="B75">
            <v>62</v>
          </cell>
          <cell r="C75">
            <v>26330</v>
          </cell>
          <cell r="D75">
            <v>58.4</v>
          </cell>
          <cell r="E75">
            <v>26330</v>
          </cell>
          <cell r="F75">
            <v>57</v>
          </cell>
          <cell r="G75">
            <v>28157</v>
          </cell>
          <cell r="H75">
            <v>53.4</v>
          </cell>
        </row>
        <row r="76">
          <cell r="A76">
            <v>24532</v>
          </cell>
          <cell r="B76">
            <v>62</v>
          </cell>
          <cell r="C76">
            <v>26359</v>
          </cell>
          <cell r="D76">
            <v>58.4</v>
          </cell>
          <cell r="E76">
            <v>26359</v>
          </cell>
          <cell r="F76">
            <v>57</v>
          </cell>
          <cell r="G76">
            <v>28185</v>
          </cell>
          <cell r="H76">
            <v>53.4</v>
          </cell>
        </row>
        <row r="77">
          <cell r="A77">
            <v>24563</v>
          </cell>
          <cell r="B77">
            <v>62</v>
          </cell>
          <cell r="C77">
            <v>26390</v>
          </cell>
          <cell r="D77">
            <v>58.4</v>
          </cell>
          <cell r="E77">
            <v>26390</v>
          </cell>
          <cell r="F77">
            <v>57</v>
          </cell>
          <cell r="G77">
            <v>28216</v>
          </cell>
          <cell r="H77">
            <v>53.4</v>
          </cell>
        </row>
        <row r="78">
          <cell r="A78">
            <v>24593</v>
          </cell>
          <cell r="B78">
            <v>62</v>
          </cell>
          <cell r="C78">
            <v>26420</v>
          </cell>
          <cell r="D78">
            <v>58.4</v>
          </cell>
          <cell r="E78">
            <v>26420</v>
          </cell>
          <cell r="F78">
            <v>57</v>
          </cell>
          <cell r="G78">
            <v>28246</v>
          </cell>
          <cell r="H78">
            <v>53.4</v>
          </cell>
        </row>
        <row r="79">
          <cell r="A79">
            <v>24624</v>
          </cell>
          <cell r="B79">
            <v>62</v>
          </cell>
          <cell r="C79">
            <v>26451</v>
          </cell>
          <cell r="D79">
            <v>58.4</v>
          </cell>
          <cell r="E79">
            <v>26451</v>
          </cell>
          <cell r="F79">
            <v>57</v>
          </cell>
          <cell r="G79">
            <v>28277</v>
          </cell>
          <cell r="H79">
            <v>53.4</v>
          </cell>
        </row>
        <row r="80">
          <cell r="A80">
            <v>24654</v>
          </cell>
          <cell r="B80">
            <v>62</v>
          </cell>
          <cell r="C80">
            <v>26481</v>
          </cell>
          <cell r="D80">
            <v>58.4</v>
          </cell>
          <cell r="E80">
            <v>26481</v>
          </cell>
          <cell r="F80">
            <v>57</v>
          </cell>
          <cell r="G80">
            <v>28307</v>
          </cell>
          <cell r="H80">
            <v>53.4</v>
          </cell>
        </row>
        <row r="81">
          <cell r="A81">
            <v>24685</v>
          </cell>
          <cell r="B81">
            <v>62</v>
          </cell>
          <cell r="C81">
            <v>26512</v>
          </cell>
          <cell r="D81">
            <v>58.4</v>
          </cell>
          <cell r="E81">
            <v>26512</v>
          </cell>
          <cell r="F81">
            <v>57</v>
          </cell>
          <cell r="G81">
            <v>28338</v>
          </cell>
          <cell r="H81">
            <v>53.4</v>
          </cell>
        </row>
        <row r="82">
          <cell r="A82">
            <v>24716</v>
          </cell>
          <cell r="B82">
            <v>62</v>
          </cell>
          <cell r="C82">
            <v>26543</v>
          </cell>
          <cell r="D82">
            <v>58.8</v>
          </cell>
          <cell r="E82">
            <v>26543</v>
          </cell>
          <cell r="F82">
            <v>57</v>
          </cell>
          <cell r="G82">
            <v>28369</v>
          </cell>
          <cell r="H82">
            <v>53.8</v>
          </cell>
        </row>
        <row r="83">
          <cell r="A83">
            <v>24746</v>
          </cell>
          <cell r="B83">
            <v>62</v>
          </cell>
          <cell r="C83">
            <v>26573</v>
          </cell>
          <cell r="D83">
            <v>58.8</v>
          </cell>
          <cell r="E83">
            <v>26573</v>
          </cell>
          <cell r="F83">
            <v>57</v>
          </cell>
          <cell r="G83">
            <v>28399</v>
          </cell>
          <cell r="H83">
            <v>53.8</v>
          </cell>
        </row>
        <row r="84">
          <cell r="A84">
            <v>24777</v>
          </cell>
          <cell r="B84">
            <v>62</v>
          </cell>
          <cell r="C84">
            <v>26604</v>
          </cell>
          <cell r="D84">
            <v>58.8</v>
          </cell>
          <cell r="E84">
            <v>26604</v>
          </cell>
          <cell r="F84">
            <v>57</v>
          </cell>
          <cell r="G84">
            <v>28430</v>
          </cell>
          <cell r="H84">
            <v>53.8</v>
          </cell>
        </row>
        <row r="85">
          <cell r="A85">
            <v>24807</v>
          </cell>
          <cell r="B85">
            <v>62</v>
          </cell>
          <cell r="C85">
            <v>26634</v>
          </cell>
          <cell r="D85">
            <v>58.8</v>
          </cell>
          <cell r="E85">
            <v>26634</v>
          </cell>
          <cell r="F85">
            <v>57</v>
          </cell>
          <cell r="G85">
            <v>28460</v>
          </cell>
          <cell r="H85">
            <v>53.8</v>
          </cell>
        </row>
        <row r="86">
          <cell r="A86">
            <v>24838</v>
          </cell>
          <cell r="B86">
            <v>62</v>
          </cell>
          <cell r="C86">
            <v>26665</v>
          </cell>
          <cell r="D86">
            <v>58.8</v>
          </cell>
          <cell r="E86">
            <v>26665</v>
          </cell>
          <cell r="F86">
            <v>57</v>
          </cell>
          <cell r="G86">
            <v>28491</v>
          </cell>
          <cell r="H86">
            <v>53.8</v>
          </cell>
        </row>
        <row r="87">
          <cell r="A87">
            <v>24869</v>
          </cell>
          <cell r="B87">
            <v>62</v>
          </cell>
          <cell r="C87">
            <v>26696</v>
          </cell>
          <cell r="D87">
            <v>58.8</v>
          </cell>
          <cell r="E87">
            <v>26696</v>
          </cell>
          <cell r="F87">
            <v>57</v>
          </cell>
          <cell r="G87">
            <v>28522</v>
          </cell>
          <cell r="H87">
            <v>53.8</v>
          </cell>
        </row>
        <row r="88">
          <cell r="A88">
            <v>24898</v>
          </cell>
          <cell r="B88">
            <v>62</v>
          </cell>
          <cell r="C88">
            <v>26724</v>
          </cell>
          <cell r="D88">
            <v>58.8</v>
          </cell>
          <cell r="E88">
            <v>26724</v>
          </cell>
          <cell r="F88">
            <v>57</v>
          </cell>
          <cell r="G88">
            <v>28550</v>
          </cell>
          <cell r="H88">
            <v>53.8</v>
          </cell>
        </row>
        <row r="89">
          <cell r="A89">
            <v>24929</v>
          </cell>
          <cell r="B89">
            <v>62</v>
          </cell>
          <cell r="C89">
            <v>26755</v>
          </cell>
          <cell r="D89">
            <v>58.8</v>
          </cell>
          <cell r="E89">
            <v>26755</v>
          </cell>
          <cell r="F89">
            <v>57</v>
          </cell>
          <cell r="G89">
            <v>28581</v>
          </cell>
          <cell r="H89">
            <v>53.8</v>
          </cell>
        </row>
        <row r="90">
          <cell r="A90">
            <v>24959</v>
          </cell>
          <cell r="B90">
            <v>62</v>
          </cell>
          <cell r="C90">
            <v>26785</v>
          </cell>
          <cell r="D90">
            <v>59</v>
          </cell>
          <cell r="E90">
            <v>26785</v>
          </cell>
          <cell r="F90">
            <v>57</v>
          </cell>
          <cell r="G90">
            <v>28611</v>
          </cell>
          <cell r="H90">
            <v>54</v>
          </cell>
        </row>
        <row r="91">
          <cell r="A91">
            <v>24990</v>
          </cell>
          <cell r="B91">
            <v>62</v>
          </cell>
          <cell r="C91">
            <v>26816</v>
          </cell>
          <cell r="D91">
            <v>59</v>
          </cell>
          <cell r="E91">
            <v>26816</v>
          </cell>
          <cell r="F91">
            <v>57</v>
          </cell>
          <cell r="G91">
            <v>28642</v>
          </cell>
          <cell r="H91">
            <v>54</v>
          </cell>
        </row>
        <row r="92">
          <cell r="A92">
            <v>25020</v>
          </cell>
          <cell r="B92">
            <v>62</v>
          </cell>
          <cell r="C92">
            <v>26846</v>
          </cell>
          <cell r="D92">
            <v>59</v>
          </cell>
          <cell r="E92">
            <v>26846</v>
          </cell>
          <cell r="F92">
            <v>57</v>
          </cell>
          <cell r="G92">
            <v>28672</v>
          </cell>
          <cell r="H92">
            <v>54</v>
          </cell>
        </row>
        <row r="93">
          <cell r="A93">
            <v>25051</v>
          </cell>
          <cell r="B93">
            <v>62</v>
          </cell>
          <cell r="C93">
            <v>26877</v>
          </cell>
          <cell r="D93">
            <v>59</v>
          </cell>
          <cell r="E93">
            <v>26877</v>
          </cell>
          <cell r="F93">
            <v>57</v>
          </cell>
          <cell r="G93">
            <v>28703</v>
          </cell>
          <cell r="H93">
            <v>54</v>
          </cell>
        </row>
        <row r="94">
          <cell r="A94">
            <v>25082</v>
          </cell>
          <cell r="B94">
            <v>62</v>
          </cell>
          <cell r="C94">
            <v>26908</v>
          </cell>
          <cell r="D94">
            <v>59</v>
          </cell>
          <cell r="E94">
            <v>26908</v>
          </cell>
          <cell r="F94">
            <v>57</v>
          </cell>
          <cell r="G94">
            <v>28734</v>
          </cell>
          <cell r="H94">
            <v>54</v>
          </cell>
        </row>
        <row r="95">
          <cell r="A95">
            <v>25112</v>
          </cell>
          <cell r="B95">
            <v>62</v>
          </cell>
          <cell r="C95">
            <v>26938</v>
          </cell>
          <cell r="D95">
            <v>59</v>
          </cell>
          <cell r="E95">
            <v>26938</v>
          </cell>
          <cell r="F95">
            <v>57</v>
          </cell>
          <cell r="G95">
            <v>28764</v>
          </cell>
          <cell r="H95">
            <v>54</v>
          </cell>
        </row>
        <row r="96">
          <cell r="A96">
            <v>25143</v>
          </cell>
          <cell r="B96">
            <v>62</v>
          </cell>
          <cell r="C96">
            <v>26969</v>
          </cell>
          <cell r="D96">
            <v>59</v>
          </cell>
          <cell r="E96">
            <v>26969</v>
          </cell>
          <cell r="F96">
            <v>57</v>
          </cell>
          <cell r="G96">
            <v>28795</v>
          </cell>
          <cell r="H96">
            <v>54</v>
          </cell>
        </row>
        <row r="97">
          <cell r="A97">
            <v>25173</v>
          </cell>
          <cell r="B97">
            <v>62</v>
          </cell>
          <cell r="C97">
            <v>26999</v>
          </cell>
          <cell r="D97">
            <v>59</v>
          </cell>
          <cell r="E97">
            <v>26999</v>
          </cell>
          <cell r="F97">
            <v>57</v>
          </cell>
          <cell r="G97">
            <v>28825</v>
          </cell>
          <cell r="H97">
            <v>54</v>
          </cell>
        </row>
        <row r="98">
          <cell r="A98">
            <v>25204</v>
          </cell>
          <cell r="B98">
            <v>62</v>
          </cell>
          <cell r="C98">
            <v>27030</v>
          </cell>
          <cell r="D98">
            <v>59.4</v>
          </cell>
          <cell r="E98">
            <v>27030</v>
          </cell>
          <cell r="F98">
            <v>57</v>
          </cell>
          <cell r="G98">
            <v>28856</v>
          </cell>
          <cell r="H98">
            <v>54.4</v>
          </cell>
        </row>
        <row r="99">
          <cell r="A99">
            <v>25235</v>
          </cell>
          <cell r="B99">
            <v>62</v>
          </cell>
          <cell r="C99">
            <v>27061</v>
          </cell>
          <cell r="D99">
            <v>59.4</v>
          </cell>
          <cell r="E99">
            <v>27061</v>
          </cell>
          <cell r="F99">
            <v>57</v>
          </cell>
          <cell r="G99">
            <v>28887</v>
          </cell>
          <cell r="H99">
            <v>54.4</v>
          </cell>
        </row>
        <row r="100">
          <cell r="A100">
            <v>25263</v>
          </cell>
          <cell r="B100">
            <v>62</v>
          </cell>
          <cell r="C100">
            <v>27089</v>
          </cell>
          <cell r="D100">
            <v>59.4</v>
          </cell>
          <cell r="E100">
            <v>27089</v>
          </cell>
          <cell r="F100">
            <v>57</v>
          </cell>
          <cell r="G100">
            <v>28915</v>
          </cell>
          <cell r="H100">
            <v>54.4</v>
          </cell>
        </row>
        <row r="101">
          <cell r="A101">
            <v>25294</v>
          </cell>
          <cell r="B101">
            <v>62</v>
          </cell>
          <cell r="C101">
            <v>27120</v>
          </cell>
          <cell r="D101">
            <v>59.4</v>
          </cell>
          <cell r="E101">
            <v>27120</v>
          </cell>
          <cell r="F101">
            <v>57</v>
          </cell>
          <cell r="G101">
            <v>28946</v>
          </cell>
          <cell r="H101">
            <v>54.4</v>
          </cell>
        </row>
        <row r="102">
          <cell r="A102">
            <v>25324</v>
          </cell>
          <cell r="B102">
            <v>62</v>
          </cell>
          <cell r="C102">
            <v>27150</v>
          </cell>
          <cell r="D102">
            <v>59.4</v>
          </cell>
          <cell r="E102">
            <v>27150</v>
          </cell>
          <cell r="F102">
            <v>57</v>
          </cell>
          <cell r="G102">
            <v>28976</v>
          </cell>
          <cell r="H102">
            <v>54.4</v>
          </cell>
        </row>
        <row r="103">
          <cell r="A103">
            <v>25355</v>
          </cell>
          <cell r="B103">
            <v>62</v>
          </cell>
          <cell r="C103">
            <v>27181</v>
          </cell>
          <cell r="D103">
            <v>59.4</v>
          </cell>
          <cell r="E103">
            <v>27181</v>
          </cell>
          <cell r="F103">
            <v>57</v>
          </cell>
          <cell r="G103">
            <v>29007</v>
          </cell>
          <cell r="H103">
            <v>54.4</v>
          </cell>
        </row>
        <row r="104">
          <cell r="A104">
            <v>25385</v>
          </cell>
          <cell r="B104">
            <v>62</v>
          </cell>
          <cell r="C104">
            <v>27211</v>
          </cell>
          <cell r="D104">
            <v>59.4</v>
          </cell>
          <cell r="E104">
            <v>27211</v>
          </cell>
          <cell r="F104">
            <v>57</v>
          </cell>
          <cell r="G104">
            <v>29037</v>
          </cell>
          <cell r="H104">
            <v>54.4</v>
          </cell>
        </row>
        <row r="105">
          <cell r="A105">
            <v>25416</v>
          </cell>
          <cell r="B105">
            <v>62</v>
          </cell>
          <cell r="C105">
            <v>27242</v>
          </cell>
          <cell r="D105">
            <v>59.4</v>
          </cell>
          <cell r="E105">
            <v>27242</v>
          </cell>
          <cell r="F105">
            <v>57</v>
          </cell>
          <cell r="G105">
            <v>29068</v>
          </cell>
          <cell r="H105">
            <v>54.4</v>
          </cell>
        </row>
        <row r="106">
          <cell r="A106">
            <v>25447</v>
          </cell>
          <cell r="B106">
            <v>62</v>
          </cell>
          <cell r="C106">
            <v>27273</v>
          </cell>
          <cell r="D106">
            <v>59.8</v>
          </cell>
          <cell r="E106">
            <v>27273</v>
          </cell>
          <cell r="F106">
            <v>57</v>
          </cell>
          <cell r="G106">
            <v>29099</v>
          </cell>
          <cell r="H106">
            <v>54.8</v>
          </cell>
        </row>
        <row r="107">
          <cell r="A107">
            <v>25477</v>
          </cell>
          <cell r="B107">
            <v>62</v>
          </cell>
          <cell r="C107">
            <v>27303</v>
          </cell>
          <cell r="D107">
            <v>59.8</v>
          </cell>
          <cell r="E107">
            <v>27303</v>
          </cell>
          <cell r="F107">
            <v>57</v>
          </cell>
          <cell r="G107">
            <v>29129</v>
          </cell>
          <cell r="H107">
            <v>54.8</v>
          </cell>
        </row>
        <row r="108">
          <cell r="A108">
            <v>25508</v>
          </cell>
          <cell r="B108">
            <v>62</v>
          </cell>
          <cell r="C108">
            <v>27334</v>
          </cell>
          <cell r="D108">
            <v>59.8</v>
          </cell>
          <cell r="E108">
            <v>27334</v>
          </cell>
          <cell r="F108">
            <v>57</v>
          </cell>
          <cell r="G108">
            <v>29160</v>
          </cell>
          <cell r="H108">
            <v>54.8</v>
          </cell>
        </row>
        <row r="109">
          <cell r="A109">
            <v>25538</v>
          </cell>
          <cell r="B109">
            <v>62</v>
          </cell>
          <cell r="C109">
            <v>27364</v>
          </cell>
          <cell r="D109">
            <v>59.8</v>
          </cell>
          <cell r="E109">
            <v>27364</v>
          </cell>
          <cell r="F109">
            <v>57</v>
          </cell>
          <cell r="G109">
            <v>29190</v>
          </cell>
          <cell r="H109">
            <v>54.8</v>
          </cell>
        </row>
        <row r="110">
          <cell r="A110">
            <v>25569</v>
          </cell>
          <cell r="B110">
            <v>62</v>
          </cell>
          <cell r="C110">
            <v>27395</v>
          </cell>
          <cell r="D110">
            <v>59.8</v>
          </cell>
          <cell r="E110">
            <v>27395</v>
          </cell>
          <cell r="F110">
            <v>57</v>
          </cell>
          <cell r="G110">
            <v>29221</v>
          </cell>
          <cell r="H110">
            <v>54.8</v>
          </cell>
        </row>
        <row r="111">
          <cell r="A111">
            <v>25600</v>
          </cell>
          <cell r="B111">
            <v>62</v>
          </cell>
          <cell r="C111">
            <v>27426</v>
          </cell>
          <cell r="D111">
            <v>59.8</v>
          </cell>
          <cell r="E111">
            <v>27426</v>
          </cell>
          <cell r="F111">
            <v>57</v>
          </cell>
          <cell r="G111">
            <v>29252</v>
          </cell>
          <cell r="H111">
            <v>54.8</v>
          </cell>
        </row>
        <row r="112">
          <cell r="A112">
            <v>25628</v>
          </cell>
          <cell r="B112">
            <v>62</v>
          </cell>
          <cell r="C112">
            <v>27454</v>
          </cell>
          <cell r="D112">
            <v>59.8</v>
          </cell>
          <cell r="E112">
            <v>27454</v>
          </cell>
          <cell r="F112">
            <v>57</v>
          </cell>
          <cell r="G112">
            <v>29281</v>
          </cell>
          <cell r="H112">
            <v>54.8</v>
          </cell>
        </row>
        <row r="113">
          <cell r="A113">
            <v>25659</v>
          </cell>
          <cell r="B113">
            <v>62</v>
          </cell>
          <cell r="C113">
            <v>27485</v>
          </cell>
          <cell r="D113">
            <v>59.8</v>
          </cell>
          <cell r="E113">
            <v>27485</v>
          </cell>
          <cell r="F113">
            <v>57</v>
          </cell>
          <cell r="G113">
            <v>29312</v>
          </cell>
          <cell r="H113">
            <v>54.8</v>
          </cell>
        </row>
        <row r="114">
          <cell r="A114">
            <v>25689</v>
          </cell>
          <cell r="B114">
            <v>62</v>
          </cell>
          <cell r="C114">
            <v>27515</v>
          </cell>
          <cell r="D114">
            <v>60</v>
          </cell>
          <cell r="E114">
            <v>27515</v>
          </cell>
          <cell r="F114">
            <v>57</v>
          </cell>
          <cell r="G114">
            <v>29342</v>
          </cell>
          <cell r="H114">
            <v>55</v>
          </cell>
        </row>
        <row r="115">
          <cell r="A115">
            <v>25720</v>
          </cell>
          <cell r="B115">
            <v>62</v>
          </cell>
          <cell r="C115">
            <v>27546</v>
          </cell>
          <cell r="D115">
            <v>60</v>
          </cell>
          <cell r="E115">
            <v>27546</v>
          </cell>
          <cell r="F115">
            <v>57</v>
          </cell>
          <cell r="G115">
            <v>29373</v>
          </cell>
          <cell r="H115">
            <v>55</v>
          </cell>
        </row>
        <row r="116">
          <cell r="A116">
            <v>25750</v>
          </cell>
          <cell r="B116">
            <v>62</v>
          </cell>
          <cell r="C116">
            <v>27576</v>
          </cell>
          <cell r="D116">
            <v>60</v>
          </cell>
          <cell r="E116">
            <v>27576</v>
          </cell>
          <cell r="F116">
            <v>57</v>
          </cell>
          <cell r="G116">
            <v>29403</v>
          </cell>
          <cell r="H116">
            <v>55</v>
          </cell>
        </row>
        <row r="117">
          <cell r="A117">
            <v>25781</v>
          </cell>
          <cell r="B117">
            <v>62</v>
          </cell>
          <cell r="C117">
            <v>27607</v>
          </cell>
          <cell r="D117">
            <v>60</v>
          </cell>
          <cell r="E117">
            <v>27607</v>
          </cell>
          <cell r="F117">
            <v>57</v>
          </cell>
          <cell r="G117">
            <v>29434</v>
          </cell>
          <cell r="H117">
            <v>55</v>
          </cell>
        </row>
        <row r="118">
          <cell r="A118">
            <v>25812</v>
          </cell>
          <cell r="B118">
            <v>62</v>
          </cell>
          <cell r="C118">
            <v>27638</v>
          </cell>
          <cell r="D118">
            <v>60</v>
          </cell>
          <cell r="E118">
            <v>27638</v>
          </cell>
          <cell r="F118">
            <v>57</v>
          </cell>
          <cell r="G118">
            <v>29465</v>
          </cell>
          <cell r="H118">
            <v>55</v>
          </cell>
        </row>
        <row r="119">
          <cell r="A119">
            <v>25842</v>
          </cell>
          <cell r="B119">
            <v>62</v>
          </cell>
          <cell r="C119">
            <v>27668</v>
          </cell>
          <cell r="D119">
            <v>60</v>
          </cell>
          <cell r="E119">
            <v>27668</v>
          </cell>
          <cell r="F119">
            <v>57</v>
          </cell>
          <cell r="G119">
            <v>29495</v>
          </cell>
          <cell r="H119">
            <v>55</v>
          </cell>
        </row>
        <row r="120">
          <cell r="A120">
            <v>25873</v>
          </cell>
          <cell r="B120">
            <v>62</v>
          </cell>
          <cell r="C120">
            <v>27699</v>
          </cell>
          <cell r="D120">
            <v>60</v>
          </cell>
          <cell r="E120">
            <v>27699</v>
          </cell>
          <cell r="F120">
            <v>57</v>
          </cell>
          <cell r="G120">
            <v>29526</v>
          </cell>
          <cell r="H120">
            <v>55</v>
          </cell>
        </row>
        <row r="121">
          <cell r="A121">
            <v>25903</v>
          </cell>
          <cell r="B121">
            <v>62</v>
          </cell>
          <cell r="C121">
            <v>27729</v>
          </cell>
          <cell r="D121">
            <v>60</v>
          </cell>
          <cell r="E121">
            <v>27729</v>
          </cell>
          <cell r="F121">
            <v>57</v>
          </cell>
          <cell r="G121">
            <v>29556</v>
          </cell>
          <cell r="H121">
            <v>55</v>
          </cell>
        </row>
        <row r="122">
          <cell r="A122">
            <v>25934</v>
          </cell>
          <cell r="B122">
            <v>62</v>
          </cell>
          <cell r="C122">
            <v>27760</v>
          </cell>
          <cell r="D122">
            <v>60</v>
          </cell>
          <cell r="E122">
            <v>27760</v>
          </cell>
          <cell r="F122">
            <v>57</v>
          </cell>
          <cell r="G122">
            <v>29587</v>
          </cell>
          <cell r="H122">
            <v>55</v>
          </cell>
        </row>
        <row r="123">
          <cell r="A123">
            <v>25965</v>
          </cell>
          <cell r="B123">
            <v>62</v>
          </cell>
          <cell r="C123">
            <v>27791</v>
          </cell>
          <cell r="D123">
            <v>60</v>
          </cell>
          <cell r="E123">
            <v>27791</v>
          </cell>
          <cell r="F123">
            <v>57</v>
          </cell>
          <cell r="G123">
            <v>29618</v>
          </cell>
          <cell r="H123">
            <v>55</v>
          </cell>
        </row>
        <row r="124">
          <cell r="A124">
            <v>25993</v>
          </cell>
          <cell r="B124">
            <v>62</v>
          </cell>
          <cell r="C124">
            <v>27820</v>
          </cell>
          <cell r="D124">
            <v>60</v>
          </cell>
          <cell r="E124">
            <v>27820</v>
          </cell>
          <cell r="F124">
            <v>57</v>
          </cell>
          <cell r="G124">
            <v>29646</v>
          </cell>
          <cell r="H124">
            <v>55</v>
          </cell>
        </row>
        <row r="125">
          <cell r="A125">
            <v>26024</v>
          </cell>
          <cell r="B125">
            <v>62</v>
          </cell>
          <cell r="C125">
            <v>27851</v>
          </cell>
          <cell r="D125">
            <v>60</v>
          </cell>
          <cell r="E125">
            <v>27851</v>
          </cell>
          <cell r="F125">
            <v>57</v>
          </cell>
          <cell r="G125">
            <v>29677</v>
          </cell>
          <cell r="H125">
            <v>55</v>
          </cell>
        </row>
        <row r="126">
          <cell r="A126">
            <v>26054</v>
          </cell>
          <cell r="B126">
            <v>62</v>
          </cell>
          <cell r="C126">
            <v>27881</v>
          </cell>
          <cell r="D126">
            <v>60</v>
          </cell>
          <cell r="E126">
            <v>27881</v>
          </cell>
          <cell r="F126">
            <v>57</v>
          </cell>
          <cell r="G126">
            <v>29707</v>
          </cell>
          <cell r="H126">
            <v>55</v>
          </cell>
        </row>
        <row r="127">
          <cell r="A127">
            <v>26085</v>
          </cell>
          <cell r="B127">
            <v>62</v>
          </cell>
          <cell r="C127">
            <v>27912</v>
          </cell>
          <cell r="D127">
            <v>60</v>
          </cell>
          <cell r="E127">
            <v>27912</v>
          </cell>
          <cell r="F127">
            <v>57</v>
          </cell>
          <cell r="G127">
            <v>29738</v>
          </cell>
          <cell r="H127">
            <v>55</v>
          </cell>
        </row>
        <row r="128">
          <cell r="A128">
            <v>26115</v>
          </cell>
          <cell r="B128">
            <v>62</v>
          </cell>
          <cell r="C128">
            <v>27942</v>
          </cell>
          <cell r="D128">
            <v>60</v>
          </cell>
          <cell r="E128">
            <v>27942</v>
          </cell>
          <cell r="F128">
            <v>57</v>
          </cell>
          <cell r="G128">
            <v>29768</v>
          </cell>
          <cell r="H128">
            <v>55</v>
          </cell>
        </row>
        <row r="129">
          <cell r="A129">
            <v>26146</v>
          </cell>
          <cell r="B129">
            <v>62</v>
          </cell>
          <cell r="C129">
            <v>27973</v>
          </cell>
          <cell r="D129">
            <v>60</v>
          </cell>
          <cell r="E129">
            <v>27973</v>
          </cell>
          <cell r="F129">
            <v>57</v>
          </cell>
          <cell r="G129">
            <v>29799</v>
          </cell>
          <cell r="H129">
            <v>55</v>
          </cell>
        </row>
        <row r="130">
          <cell r="A130">
            <v>26177</v>
          </cell>
          <cell r="B130">
            <v>62</v>
          </cell>
          <cell r="C130">
            <v>28004</v>
          </cell>
          <cell r="D130">
            <v>60</v>
          </cell>
          <cell r="E130">
            <v>28004</v>
          </cell>
          <cell r="F130">
            <v>57</v>
          </cell>
          <cell r="G130">
            <v>29830</v>
          </cell>
          <cell r="H130">
            <v>55</v>
          </cell>
        </row>
        <row r="131">
          <cell r="A131">
            <v>26207</v>
          </cell>
          <cell r="B131">
            <v>62</v>
          </cell>
          <cell r="C131">
            <v>28034</v>
          </cell>
          <cell r="D131">
            <v>60</v>
          </cell>
          <cell r="E131">
            <v>28034</v>
          </cell>
          <cell r="F131">
            <v>57</v>
          </cell>
          <cell r="G131">
            <v>29860</v>
          </cell>
          <cell r="H131">
            <v>55</v>
          </cell>
        </row>
        <row r="132">
          <cell r="A132">
            <v>26238</v>
          </cell>
          <cell r="B132">
            <v>62</v>
          </cell>
          <cell r="C132">
            <v>28065</v>
          </cell>
          <cell r="D132">
            <v>60</v>
          </cell>
          <cell r="E132">
            <v>28065</v>
          </cell>
          <cell r="F132">
            <v>57</v>
          </cell>
          <cell r="G132">
            <v>29891</v>
          </cell>
          <cell r="H132">
            <v>55</v>
          </cell>
        </row>
        <row r="133">
          <cell r="A133">
            <v>26268</v>
          </cell>
          <cell r="B133">
            <v>62</v>
          </cell>
          <cell r="C133">
            <v>28095</v>
          </cell>
          <cell r="D133">
            <v>60</v>
          </cell>
          <cell r="E133">
            <v>28095</v>
          </cell>
          <cell r="F133">
            <v>57</v>
          </cell>
          <cell r="G133">
            <v>29921</v>
          </cell>
          <cell r="H133">
            <v>55</v>
          </cell>
        </row>
        <row r="134">
          <cell r="A134">
            <v>26299</v>
          </cell>
          <cell r="B134">
            <v>62</v>
          </cell>
          <cell r="C134">
            <v>28126</v>
          </cell>
          <cell r="D134">
            <v>60</v>
          </cell>
          <cell r="E134">
            <v>28126</v>
          </cell>
          <cell r="F134">
            <v>57</v>
          </cell>
          <cell r="G134">
            <v>29952</v>
          </cell>
          <cell r="H134">
            <v>55</v>
          </cell>
        </row>
        <row r="135">
          <cell r="A135">
            <v>26330</v>
          </cell>
          <cell r="B135">
            <v>62</v>
          </cell>
          <cell r="C135">
            <v>28157</v>
          </cell>
          <cell r="D135">
            <v>60</v>
          </cell>
          <cell r="E135">
            <v>28157</v>
          </cell>
          <cell r="F135">
            <v>57</v>
          </cell>
          <cell r="G135">
            <v>29983</v>
          </cell>
          <cell r="H135">
            <v>55</v>
          </cell>
        </row>
        <row r="136">
          <cell r="A136">
            <v>26359</v>
          </cell>
          <cell r="B136">
            <v>62</v>
          </cell>
          <cell r="C136">
            <v>28185</v>
          </cell>
          <cell r="D136">
            <v>60</v>
          </cell>
          <cell r="E136">
            <v>28185</v>
          </cell>
          <cell r="F136">
            <v>57</v>
          </cell>
          <cell r="G136">
            <v>30011</v>
          </cell>
          <cell r="H136">
            <v>55</v>
          </cell>
        </row>
        <row r="137">
          <cell r="A137">
            <v>26390</v>
          </cell>
          <cell r="B137">
            <v>62</v>
          </cell>
          <cell r="C137">
            <v>28216</v>
          </cell>
          <cell r="D137">
            <v>60</v>
          </cell>
          <cell r="E137">
            <v>28216</v>
          </cell>
          <cell r="F137">
            <v>57</v>
          </cell>
          <cell r="G137">
            <v>30042</v>
          </cell>
          <cell r="H137">
            <v>55</v>
          </cell>
        </row>
        <row r="138">
          <cell r="A138">
            <v>26420</v>
          </cell>
          <cell r="B138">
            <v>62</v>
          </cell>
          <cell r="C138">
            <v>28246</v>
          </cell>
          <cell r="D138">
            <v>60</v>
          </cell>
          <cell r="E138">
            <v>28246</v>
          </cell>
          <cell r="F138">
            <v>57</v>
          </cell>
          <cell r="G138">
            <v>30072</v>
          </cell>
          <cell r="H138">
            <v>55</v>
          </cell>
        </row>
        <row r="139">
          <cell r="A139">
            <v>26451</v>
          </cell>
          <cell r="B139">
            <v>62</v>
          </cell>
          <cell r="C139">
            <v>28277</v>
          </cell>
          <cell r="D139">
            <v>60</v>
          </cell>
          <cell r="E139">
            <v>28277</v>
          </cell>
          <cell r="F139">
            <v>57</v>
          </cell>
          <cell r="G139">
            <v>30103</v>
          </cell>
          <cell r="H139">
            <v>55</v>
          </cell>
        </row>
        <row r="140">
          <cell r="A140">
            <v>26481</v>
          </cell>
          <cell r="B140">
            <v>62</v>
          </cell>
          <cell r="C140">
            <v>28307</v>
          </cell>
          <cell r="D140">
            <v>60</v>
          </cell>
          <cell r="E140">
            <v>28307</v>
          </cell>
          <cell r="F140">
            <v>57</v>
          </cell>
          <cell r="G140">
            <v>30133</v>
          </cell>
          <cell r="H140">
            <v>55</v>
          </cell>
        </row>
        <row r="141">
          <cell r="A141">
            <v>26512</v>
          </cell>
          <cell r="B141">
            <v>62</v>
          </cell>
          <cell r="C141">
            <v>28338</v>
          </cell>
          <cell r="D141">
            <v>60</v>
          </cell>
          <cell r="E141">
            <v>28338</v>
          </cell>
          <cell r="F141">
            <v>57</v>
          </cell>
          <cell r="G141">
            <v>30164</v>
          </cell>
          <cell r="H141">
            <v>55</v>
          </cell>
        </row>
        <row r="142">
          <cell r="A142">
            <v>26543</v>
          </cell>
          <cell r="B142">
            <v>62</v>
          </cell>
          <cell r="C142">
            <v>28369</v>
          </cell>
          <cell r="D142">
            <v>60</v>
          </cell>
          <cell r="E142">
            <v>28369</v>
          </cell>
          <cell r="F142">
            <v>57</v>
          </cell>
          <cell r="G142">
            <v>30195</v>
          </cell>
          <cell r="H142">
            <v>55</v>
          </cell>
        </row>
        <row r="143">
          <cell r="A143">
            <v>26573</v>
          </cell>
          <cell r="B143">
            <v>62</v>
          </cell>
          <cell r="C143">
            <v>28399</v>
          </cell>
          <cell r="D143">
            <v>60</v>
          </cell>
          <cell r="E143">
            <v>28399</v>
          </cell>
          <cell r="F143">
            <v>57</v>
          </cell>
          <cell r="G143">
            <v>30225</v>
          </cell>
          <cell r="H143">
            <v>55</v>
          </cell>
        </row>
        <row r="144">
          <cell r="A144">
            <v>26604</v>
          </cell>
          <cell r="B144">
            <v>62</v>
          </cell>
          <cell r="C144">
            <v>28430</v>
          </cell>
          <cell r="D144">
            <v>60</v>
          </cell>
          <cell r="E144">
            <v>28430</v>
          </cell>
          <cell r="F144">
            <v>57</v>
          </cell>
          <cell r="G144">
            <v>30256</v>
          </cell>
          <cell r="H144">
            <v>55</v>
          </cell>
        </row>
        <row r="145">
          <cell r="A145">
            <v>26634</v>
          </cell>
          <cell r="B145">
            <v>62</v>
          </cell>
          <cell r="C145">
            <v>28460</v>
          </cell>
          <cell r="D145">
            <v>60</v>
          </cell>
          <cell r="E145">
            <v>28460</v>
          </cell>
          <cell r="F145">
            <v>57</v>
          </cell>
          <cell r="G145">
            <v>30286</v>
          </cell>
          <cell r="H145">
            <v>55</v>
          </cell>
        </row>
        <row r="146">
          <cell r="A146">
            <v>26665</v>
          </cell>
          <cell r="B146">
            <v>62</v>
          </cell>
          <cell r="C146">
            <v>28491</v>
          </cell>
          <cell r="D146">
            <v>60</v>
          </cell>
          <cell r="E146">
            <v>28491</v>
          </cell>
          <cell r="F146">
            <v>57</v>
          </cell>
          <cell r="G146">
            <v>30317</v>
          </cell>
          <cell r="H146">
            <v>55</v>
          </cell>
        </row>
        <row r="147">
          <cell r="A147">
            <v>26696</v>
          </cell>
          <cell r="B147">
            <v>62</v>
          </cell>
          <cell r="C147">
            <v>28522</v>
          </cell>
          <cell r="D147">
            <v>60</v>
          </cell>
          <cell r="E147">
            <v>28522</v>
          </cell>
          <cell r="F147">
            <v>57</v>
          </cell>
          <cell r="G147">
            <v>30348</v>
          </cell>
          <cell r="H147">
            <v>55</v>
          </cell>
        </row>
        <row r="148">
          <cell r="A148">
            <v>26724</v>
          </cell>
          <cell r="B148">
            <v>62</v>
          </cell>
          <cell r="C148">
            <v>28550</v>
          </cell>
          <cell r="D148">
            <v>60</v>
          </cell>
          <cell r="E148">
            <v>28550</v>
          </cell>
          <cell r="F148">
            <v>57</v>
          </cell>
          <cell r="G148">
            <v>30376</v>
          </cell>
          <cell r="H148">
            <v>55</v>
          </cell>
        </row>
        <row r="149">
          <cell r="A149">
            <v>26755</v>
          </cell>
          <cell r="B149">
            <v>62</v>
          </cell>
          <cell r="C149">
            <v>28581</v>
          </cell>
          <cell r="D149">
            <v>60</v>
          </cell>
          <cell r="E149">
            <v>28581</v>
          </cell>
          <cell r="F149">
            <v>57</v>
          </cell>
          <cell r="G149">
            <v>30407</v>
          </cell>
          <cell r="H149">
            <v>55</v>
          </cell>
        </row>
        <row r="150">
          <cell r="A150">
            <v>26785</v>
          </cell>
          <cell r="B150">
            <v>62</v>
          </cell>
          <cell r="C150">
            <v>28611</v>
          </cell>
          <cell r="D150">
            <v>60</v>
          </cell>
          <cell r="E150">
            <v>28611</v>
          </cell>
          <cell r="F150">
            <v>57</v>
          </cell>
          <cell r="G150">
            <v>30437</v>
          </cell>
          <cell r="H150">
            <v>55</v>
          </cell>
        </row>
        <row r="151">
          <cell r="A151">
            <v>26816</v>
          </cell>
          <cell r="B151">
            <v>62</v>
          </cell>
          <cell r="C151">
            <v>28642</v>
          </cell>
          <cell r="D151">
            <v>60</v>
          </cell>
          <cell r="E151">
            <v>28642</v>
          </cell>
          <cell r="F151">
            <v>57</v>
          </cell>
          <cell r="G151">
            <v>30468</v>
          </cell>
          <cell r="H151">
            <v>55</v>
          </cell>
        </row>
        <row r="152">
          <cell r="A152">
            <v>26846</v>
          </cell>
          <cell r="B152">
            <v>62</v>
          </cell>
          <cell r="C152">
            <v>28672</v>
          </cell>
          <cell r="D152">
            <v>60</v>
          </cell>
          <cell r="E152">
            <v>28672</v>
          </cell>
          <cell r="F152">
            <v>57</v>
          </cell>
          <cell r="G152">
            <v>30498</v>
          </cell>
          <cell r="H152">
            <v>55</v>
          </cell>
        </row>
        <row r="153">
          <cell r="A153">
            <v>26877</v>
          </cell>
          <cell r="B153">
            <v>62</v>
          </cell>
          <cell r="C153">
            <v>28703</v>
          </cell>
          <cell r="D153">
            <v>60</v>
          </cell>
          <cell r="E153">
            <v>28703</v>
          </cell>
          <cell r="F153">
            <v>57</v>
          </cell>
          <cell r="G153">
            <v>30529</v>
          </cell>
          <cell r="H153">
            <v>55</v>
          </cell>
        </row>
        <row r="154">
          <cell r="A154">
            <v>26908</v>
          </cell>
          <cell r="B154">
            <v>62</v>
          </cell>
          <cell r="C154">
            <v>28734</v>
          </cell>
          <cell r="D154">
            <v>60</v>
          </cell>
          <cell r="E154">
            <v>28734</v>
          </cell>
          <cell r="F154">
            <v>57</v>
          </cell>
          <cell r="G154">
            <v>30560</v>
          </cell>
          <cell r="H154">
            <v>55</v>
          </cell>
        </row>
        <row r="155">
          <cell r="A155">
            <v>26938</v>
          </cell>
          <cell r="B155">
            <v>62</v>
          </cell>
          <cell r="C155">
            <v>28764</v>
          </cell>
          <cell r="D155">
            <v>60</v>
          </cell>
          <cell r="E155">
            <v>28764</v>
          </cell>
          <cell r="F155">
            <v>57</v>
          </cell>
          <cell r="G155">
            <v>30590</v>
          </cell>
          <cell r="H155">
            <v>55</v>
          </cell>
        </row>
        <row r="156">
          <cell r="A156">
            <v>26969</v>
          </cell>
          <cell r="B156">
            <v>62</v>
          </cell>
          <cell r="C156">
            <v>28795</v>
          </cell>
          <cell r="D156">
            <v>60</v>
          </cell>
          <cell r="E156">
            <v>28795</v>
          </cell>
          <cell r="F156">
            <v>57</v>
          </cell>
          <cell r="G156">
            <v>30621</v>
          </cell>
          <cell r="H156">
            <v>55</v>
          </cell>
        </row>
        <row r="157">
          <cell r="A157">
            <v>26999</v>
          </cell>
          <cell r="B157">
            <v>62</v>
          </cell>
          <cell r="C157">
            <v>28825</v>
          </cell>
          <cell r="D157">
            <v>60</v>
          </cell>
          <cell r="E157">
            <v>28825</v>
          </cell>
          <cell r="F157">
            <v>57</v>
          </cell>
          <cell r="G157">
            <v>30651</v>
          </cell>
          <cell r="H157">
            <v>55</v>
          </cell>
        </row>
        <row r="158">
          <cell r="A158">
            <v>27030</v>
          </cell>
          <cell r="B158">
            <v>62</v>
          </cell>
          <cell r="C158">
            <v>28856</v>
          </cell>
          <cell r="D158">
            <v>60</v>
          </cell>
          <cell r="E158">
            <v>28856</v>
          </cell>
          <cell r="F158">
            <v>57</v>
          </cell>
          <cell r="G158">
            <v>30682</v>
          </cell>
          <cell r="H158">
            <v>55</v>
          </cell>
        </row>
        <row r="159">
          <cell r="A159">
            <v>27061</v>
          </cell>
          <cell r="B159">
            <v>62</v>
          </cell>
          <cell r="C159">
            <v>28887</v>
          </cell>
          <cell r="D159">
            <v>60</v>
          </cell>
          <cell r="E159">
            <v>28887</v>
          </cell>
          <cell r="F159">
            <v>57</v>
          </cell>
          <cell r="G159">
            <v>30713</v>
          </cell>
          <cell r="H159">
            <v>55</v>
          </cell>
        </row>
        <row r="160">
          <cell r="A160">
            <v>27089</v>
          </cell>
          <cell r="B160">
            <v>62</v>
          </cell>
          <cell r="C160">
            <v>28915</v>
          </cell>
          <cell r="D160">
            <v>60</v>
          </cell>
          <cell r="E160">
            <v>28915</v>
          </cell>
          <cell r="F160">
            <v>57</v>
          </cell>
          <cell r="G160">
            <v>30742</v>
          </cell>
          <cell r="H160">
            <v>55</v>
          </cell>
        </row>
        <row r="161">
          <cell r="A161">
            <v>27120</v>
          </cell>
          <cell r="B161">
            <v>62</v>
          </cell>
          <cell r="C161">
            <v>28946</v>
          </cell>
          <cell r="D161">
            <v>60</v>
          </cell>
          <cell r="E161">
            <v>28946</v>
          </cell>
          <cell r="F161">
            <v>57</v>
          </cell>
          <cell r="G161">
            <v>30773</v>
          </cell>
          <cell r="H161">
            <v>55</v>
          </cell>
        </row>
        <row r="162">
          <cell r="A162">
            <v>27150</v>
          </cell>
          <cell r="B162">
            <v>62</v>
          </cell>
          <cell r="C162">
            <v>28976</v>
          </cell>
          <cell r="D162">
            <v>60</v>
          </cell>
          <cell r="E162">
            <v>28976</v>
          </cell>
          <cell r="F162">
            <v>57</v>
          </cell>
          <cell r="G162">
            <v>30803</v>
          </cell>
          <cell r="H162">
            <v>55</v>
          </cell>
        </row>
        <row r="163">
          <cell r="A163">
            <v>27181</v>
          </cell>
          <cell r="B163">
            <v>62</v>
          </cell>
          <cell r="C163">
            <v>29007</v>
          </cell>
          <cell r="D163">
            <v>60</v>
          </cell>
          <cell r="E163">
            <v>29007</v>
          </cell>
          <cell r="F163">
            <v>57</v>
          </cell>
          <cell r="G163">
            <v>30834</v>
          </cell>
          <cell r="H163">
            <v>55</v>
          </cell>
        </row>
        <row r="164">
          <cell r="A164">
            <v>27211</v>
          </cell>
          <cell r="B164">
            <v>62</v>
          </cell>
          <cell r="C164">
            <v>29037</v>
          </cell>
          <cell r="D164">
            <v>60</v>
          </cell>
          <cell r="E164">
            <v>29037</v>
          </cell>
          <cell r="F164">
            <v>57</v>
          </cell>
          <cell r="G164">
            <v>30864</v>
          </cell>
          <cell r="H164">
            <v>55</v>
          </cell>
        </row>
        <row r="165">
          <cell r="A165">
            <v>27242</v>
          </cell>
          <cell r="B165">
            <v>62</v>
          </cell>
          <cell r="C165">
            <v>29068</v>
          </cell>
          <cell r="D165">
            <v>60</v>
          </cell>
          <cell r="E165">
            <v>29068</v>
          </cell>
          <cell r="F165">
            <v>57</v>
          </cell>
          <cell r="G165">
            <v>30895</v>
          </cell>
          <cell r="H165">
            <v>55</v>
          </cell>
        </row>
        <row r="166">
          <cell r="A166">
            <v>27273</v>
          </cell>
          <cell r="B166">
            <v>62</v>
          </cell>
          <cell r="C166">
            <v>29099</v>
          </cell>
          <cell r="D166">
            <v>60</v>
          </cell>
          <cell r="E166">
            <v>29099</v>
          </cell>
          <cell r="F166">
            <v>57</v>
          </cell>
          <cell r="G166">
            <v>30926</v>
          </cell>
          <cell r="H166">
            <v>55</v>
          </cell>
        </row>
        <row r="167">
          <cell r="A167">
            <v>27303</v>
          </cell>
          <cell r="B167">
            <v>62</v>
          </cell>
          <cell r="C167">
            <v>29129</v>
          </cell>
          <cell r="D167">
            <v>60</v>
          </cell>
          <cell r="E167">
            <v>29129</v>
          </cell>
          <cell r="F167">
            <v>57</v>
          </cell>
          <cell r="G167">
            <v>30956</v>
          </cell>
          <cell r="H167">
            <v>55</v>
          </cell>
        </row>
        <row r="168">
          <cell r="A168">
            <v>27334</v>
          </cell>
          <cell r="B168">
            <v>62</v>
          </cell>
          <cell r="C168">
            <v>29160</v>
          </cell>
          <cell r="D168">
            <v>60</v>
          </cell>
          <cell r="E168">
            <v>29160</v>
          </cell>
          <cell r="F168">
            <v>57</v>
          </cell>
          <cell r="G168">
            <v>30987</v>
          </cell>
          <cell r="H168">
            <v>55</v>
          </cell>
        </row>
        <row r="169">
          <cell r="A169">
            <v>27364</v>
          </cell>
          <cell r="B169">
            <v>62</v>
          </cell>
          <cell r="C169">
            <v>29190</v>
          </cell>
          <cell r="D169">
            <v>60</v>
          </cell>
          <cell r="E169">
            <v>29190</v>
          </cell>
          <cell r="F169">
            <v>57</v>
          </cell>
          <cell r="G169">
            <v>31017</v>
          </cell>
          <cell r="H169">
            <v>55</v>
          </cell>
        </row>
        <row r="170">
          <cell r="A170">
            <v>27395</v>
          </cell>
          <cell r="B170">
            <v>62</v>
          </cell>
          <cell r="C170">
            <v>29221</v>
          </cell>
          <cell r="D170">
            <v>60</v>
          </cell>
          <cell r="E170">
            <v>29221</v>
          </cell>
          <cell r="F170">
            <v>57</v>
          </cell>
          <cell r="G170">
            <v>31048</v>
          </cell>
          <cell r="H170">
            <v>55</v>
          </cell>
        </row>
        <row r="171">
          <cell r="A171">
            <v>27426</v>
          </cell>
          <cell r="B171">
            <v>62</v>
          </cell>
          <cell r="C171">
            <v>29252</v>
          </cell>
          <cell r="D171">
            <v>60</v>
          </cell>
          <cell r="E171">
            <v>29252</v>
          </cell>
          <cell r="F171">
            <v>57</v>
          </cell>
          <cell r="G171">
            <v>31079</v>
          </cell>
          <cell r="H171">
            <v>55</v>
          </cell>
        </row>
        <row r="172">
          <cell r="A172">
            <v>27454</v>
          </cell>
          <cell r="B172">
            <v>62</v>
          </cell>
          <cell r="C172">
            <v>29281</v>
          </cell>
          <cell r="D172">
            <v>60</v>
          </cell>
          <cell r="E172">
            <v>29281</v>
          </cell>
          <cell r="F172">
            <v>57</v>
          </cell>
          <cell r="G172">
            <v>31107</v>
          </cell>
          <cell r="H172">
            <v>55</v>
          </cell>
        </row>
        <row r="173">
          <cell r="A173">
            <v>27485</v>
          </cell>
          <cell r="B173">
            <v>62</v>
          </cell>
          <cell r="C173">
            <v>29312</v>
          </cell>
          <cell r="D173">
            <v>60</v>
          </cell>
          <cell r="E173">
            <v>29312</v>
          </cell>
          <cell r="F173">
            <v>57</v>
          </cell>
          <cell r="G173">
            <v>31138</v>
          </cell>
          <cell r="H173">
            <v>55</v>
          </cell>
        </row>
        <row r="174">
          <cell r="A174">
            <v>27515</v>
          </cell>
          <cell r="B174">
            <v>62</v>
          </cell>
          <cell r="C174">
            <v>29342</v>
          </cell>
          <cell r="D174">
            <v>60</v>
          </cell>
          <cell r="E174">
            <v>29342</v>
          </cell>
          <cell r="F174">
            <v>57</v>
          </cell>
          <cell r="G174">
            <v>31168</v>
          </cell>
          <cell r="H174">
            <v>55</v>
          </cell>
        </row>
        <row r="175">
          <cell r="A175">
            <v>27546</v>
          </cell>
          <cell r="B175">
            <v>62</v>
          </cell>
          <cell r="C175">
            <v>29373</v>
          </cell>
          <cell r="D175">
            <v>60</v>
          </cell>
          <cell r="E175">
            <v>29373</v>
          </cell>
          <cell r="F175">
            <v>57</v>
          </cell>
          <cell r="G175">
            <v>31199</v>
          </cell>
          <cell r="H175">
            <v>55</v>
          </cell>
        </row>
        <row r="176">
          <cell r="A176">
            <v>27576</v>
          </cell>
          <cell r="B176">
            <v>62</v>
          </cell>
          <cell r="C176">
            <v>29403</v>
          </cell>
          <cell r="D176">
            <v>60</v>
          </cell>
          <cell r="E176">
            <v>29403</v>
          </cell>
          <cell r="F176">
            <v>57</v>
          </cell>
          <cell r="G176">
            <v>31229</v>
          </cell>
          <cell r="H176">
            <v>55</v>
          </cell>
        </row>
        <row r="177">
          <cell r="A177">
            <v>27607</v>
          </cell>
          <cell r="B177">
            <v>62</v>
          </cell>
          <cell r="C177">
            <v>29434</v>
          </cell>
          <cell r="D177">
            <v>60</v>
          </cell>
          <cell r="E177">
            <v>29434</v>
          </cell>
          <cell r="F177">
            <v>57</v>
          </cell>
          <cell r="G177">
            <v>31260</v>
          </cell>
          <cell r="H177">
            <v>55</v>
          </cell>
        </row>
        <row r="178">
          <cell r="A178">
            <v>27638</v>
          </cell>
          <cell r="B178">
            <v>62</v>
          </cell>
          <cell r="C178">
            <v>29465</v>
          </cell>
          <cell r="D178">
            <v>60</v>
          </cell>
          <cell r="E178">
            <v>29465</v>
          </cell>
          <cell r="F178">
            <v>57</v>
          </cell>
          <cell r="G178">
            <v>31291</v>
          </cell>
          <cell r="H178">
            <v>55</v>
          </cell>
        </row>
        <row r="179">
          <cell r="A179">
            <v>27668</v>
          </cell>
          <cell r="B179">
            <v>62</v>
          </cell>
          <cell r="C179">
            <v>29495</v>
          </cell>
          <cell r="D179">
            <v>60</v>
          </cell>
          <cell r="E179">
            <v>29495</v>
          </cell>
          <cell r="F179">
            <v>57</v>
          </cell>
          <cell r="G179">
            <v>31321</v>
          </cell>
          <cell r="H179">
            <v>55</v>
          </cell>
        </row>
        <row r="180">
          <cell r="A180">
            <v>27699</v>
          </cell>
          <cell r="B180">
            <v>62</v>
          </cell>
          <cell r="C180">
            <v>29526</v>
          </cell>
          <cell r="D180">
            <v>60</v>
          </cell>
          <cell r="E180">
            <v>29526</v>
          </cell>
          <cell r="F180">
            <v>57</v>
          </cell>
          <cell r="G180">
            <v>31352</v>
          </cell>
          <cell r="H180">
            <v>55</v>
          </cell>
        </row>
        <row r="181">
          <cell r="A181">
            <v>27729</v>
          </cell>
          <cell r="B181">
            <v>62</v>
          </cell>
          <cell r="C181">
            <v>29556</v>
          </cell>
          <cell r="D181">
            <v>60</v>
          </cell>
          <cell r="E181">
            <v>29556</v>
          </cell>
          <cell r="F181">
            <v>57</v>
          </cell>
          <cell r="G181">
            <v>31382</v>
          </cell>
          <cell r="H181">
            <v>55</v>
          </cell>
        </row>
        <row r="182">
          <cell r="A182">
            <v>27760</v>
          </cell>
          <cell r="B182">
            <v>62</v>
          </cell>
          <cell r="C182">
            <v>29587</v>
          </cell>
          <cell r="D182">
            <v>60</v>
          </cell>
          <cell r="E182">
            <v>29587</v>
          </cell>
          <cell r="F182">
            <v>57</v>
          </cell>
          <cell r="G182">
            <v>31413</v>
          </cell>
          <cell r="H182">
            <v>55</v>
          </cell>
        </row>
        <row r="183">
          <cell r="A183">
            <v>27791</v>
          </cell>
          <cell r="B183">
            <v>62</v>
          </cell>
          <cell r="C183">
            <v>29618</v>
          </cell>
          <cell r="D183">
            <v>60</v>
          </cell>
          <cell r="E183">
            <v>29618</v>
          </cell>
          <cell r="F183">
            <v>57</v>
          </cell>
          <cell r="G183">
            <v>31444</v>
          </cell>
          <cell r="H183">
            <v>55</v>
          </cell>
        </row>
        <row r="184">
          <cell r="A184">
            <v>27820</v>
          </cell>
          <cell r="B184">
            <v>62</v>
          </cell>
          <cell r="C184">
            <v>29646</v>
          </cell>
          <cell r="D184">
            <v>60</v>
          </cell>
          <cell r="E184">
            <v>29646</v>
          </cell>
          <cell r="F184">
            <v>57</v>
          </cell>
          <cell r="G184">
            <v>31472</v>
          </cell>
          <cell r="H184">
            <v>55</v>
          </cell>
        </row>
        <row r="185">
          <cell r="A185">
            <v>27851</v>
          </cell>
          <cell r="B185">
            <v>62</v>
          </cell>
          <cell r="C185">
            <v>29677</v>
          </cell>
          <cell r="D185">
            <v>60</v>
          </cell>
          <cell r="E185">
            <v>29677</v>
          </cell>
          <cell r="F185">
            <v>57</v>
          </cell>
          <cell r="G185">
            <v>31503</v>
          </cell>
          <cell r="H185">
            <v>55</v>
          </cell>
        </row>
        <row r="186">
          <cell r="A186">
            <v>27881</v>
          </cell>
          <cell r="B186">
            <v>62</v>
          </cell>
          <cell r="C186">
            <v>29707</v>
          </cell>
          <cell r="D186">
            <v>60</v>
          </cell>
          <cell r="E186">
            <v>29707</v>
          </cell>
          <cell r="F186">
            <v>57</v>
          </cell>
          <cell r="G186">
            <v>31533</v>
          </cell>
          <cell r="H186">
            <v>55</v>
          </cell>
        </row>
        <row r="187">
          <cell r="A187">
            <v>27912</v>
          </cell>
          <cell r="B187">
            <v>62</v>
          </cell>
          <cell r="C187">
            <v>29738</v>
          </cell>
          <cell r="D187">
            <v>60</v>
          </cell>
          <cell r="E187">
            <v>29738</v>
          </cell>
          <cell r="F187">
            <v>57</v>
          </cell>
          <cell r="G187">
            <v>31564</v>
          </cell>
          <cell r="H187">
            <v>55</v>
          </cell>
        </row>
        <row r="188">
          <cell r="A188">
            <v>27942</v>
          </cell>
          <cell r="B188">
            <v>62</v>
          </cell>
          <cell r="C188">
            <v>29768</v>
          </cell>
          <cell r="D188">
            <v>60</v>
          </cell>
          <cell r="E188">
            <v>29768</v>
          </cell>
          <cell r="F188">
            <v>57</v>
          </cell>
          <cell r="G188">
            <v>31594</v>
          </cell>
          <cell r="H188">
            <v>55</v>
          </cell>
        </row>
        <row r="189">
          <cell r="A189">
            <v>27973</v>
          </cell>
          <cell r="B189">
            <v>62</v>
          </cell>
          <cell r="C189">
            <v>29799</v>
          </cell>
          <cell r="D189">
            <v>60</v>
          </cell>
          <cell r="E189">
            <v>29799</v>
          </cell>
          <cell r="F189">
            <v>57</v>
          </cell>
          <cell r="G189">
            <v>31625</v>
          </cell>
          <cell r="H189">
            <v>55</v>
          </cell>
        </row>
        <row r="190">
          <cell r="A190">
            <v>28004</v>
          </cell>
          <cell r="B190">
            <v>62</v>
          </cell>
          <cell r="C190">
            <v>29830</v>
          </cell>
          <cell r="D190">
            <v>60</v>
          </cell>
          <cell r="E190">
            <v>29830</v>
          </cell>
          <cell r="F190">
            <v>57</v>
          </cell>
          <cell r="G190">
            <v>31656</v>
          </cell>
          <cell r="H190">
            <v>55</v>
          </cell>
        </row>
        <row r="191">
          <cell r="A191">
            <v>28034</v>
          </cell>
          <cell r="B191">
            <v>62</v>
          </cell>
          <cell r="C191">
            <v>29860</v>
          </cell>
          <cell r="D191">
            <v>60</v>
          </cell>
          <cell r="E191">
            <v>29860</v>
          </cell>
          <cell r="F191">
            <v>57</v>
          </cell>
          <cell r="G191">
            <v>31686</v>
          </cell>
          <cell r="H191">
            <v>55</v>
          </cell>
        </row>
        <row r="192">
          <cell r="A192">
            <v>28065</v>
          </cell>
          <cell r="B192">
            <v>62</v>
          </cell>
          <cell r="C192">
            <v>29891</v>
          </cell>
          <cell r="D192">
            <v>60</v>
          </cell>
          <cell r="E192">
            <v>29891</v>
          </cell>
          <cell r="F192">
            <v>57</v>
          </cell>
          <cell r="G192">
            <v>31717</v>
          </cell>
          <cell r="H192">
            <v>55</v>
          </cell>
        </row>
        <row r="193">
          <cell r="A193">
            <v>28095</v>
          </cell>
          <cell r="B193">
            <v>62</v>
          </cell>
          <cell r="C193">
            <v>29921</v>
          </cell>
          <cell r="D193">
            <v>60</v>
          </cell>
          <cell r="E193">
            <v>29921</v>
          </cell>
          <cell r="F193">
            <v>57</v>
          </cell>
          <cell r="G193">
            <v>31747</v>
          </cell>
          <cell r="H193">
            <v>55</v>
          </cell>
        </row>
        <row r="194">
          <cell r="A194">
            <v>28126</v>
          </cell>
          <cell r="B194">
            <v>62</v>
          </cell>
          <cell r="C194">
            <v>29952</v>
          </cell>
          <cell r="D194">
            <v>60</v>
          </cell>
          <cell r="E194">
            <v>29952</v>
          </cell>
          <cell r="F194">
            <v>57</v>
          </cell>
          <cell r="G194">
            <v>31778</v>
          </cell>
          <cell r="H194">
            <v>55</v>
          </cell>
        </row>
        <row r="195">
          <cell r="A195">
            <v>28157</v>
          </cell>
          <cell r="B195">
            <v>62</v>
          </cell>
          <cell r="C195">
            <v>29983</v>
          </cell>
          <cell r="D195">
            <v>60</v>
          </cell>
          <cell r="E195">
            <v>29983</v>
          </cell>
          <cell r="F195">
            <v>57</v>
          </cell>
          <cell r="G195">
            <v>31809</v>
          </cell>
          <cell r="H195">
            <v>55</v>
          </cell>
        </row>
        <row r="196">
          <cell r="A196">
            <v>28185</v>
          </cell>
          <cell r="B196">
            <v>62</v>
          </cell>
          <cell r="C196">
            <v>30011</v>
          </cell>
          <cell r="D196">
            <v>60</v>
          </cell>
          <cell r="E196">
            <v>30011</v>
          </cell>
          <cell r="F196">
            <v>57</v>
          </cell>
          <cell r="G196">
            <v>31837</v>
          </cell>
          <cell r="H196">
            <v>55</v>
          </cell>
        </row>
        <row r="197">
          <cell r="A197">
            <v>28216</v>
          </cell>
          <cell r="B197">
            <v>62</v>
          </cell>
          <cell r="C197">
            <v>30042</v>
          </cell>
          <cell r="D197">
            <v>60</v>
          </cell>
          <cell r="E197">
            <v>30042</v>
          </cell>
          <cell r="F197">
            <v>57</v>
          </cell>
          <cell r="G197">
            <v>31868</v>
          </cell>
          <cell r="H197">
            <v>55</v>
          </cell>
        </row>
        <row r="198">
          <cell r="A198">
            <v>28246</v>
          </cell>
          <cell r="B198">
            <v>62</v>
          </cell>
          <cell r="C198">
            <v>30072</v>
          </cell>
          <cell r="D198">
            <v>60</v>
          </cell>
          <cell r="E198">
            <v>30072</v>
          </cell>
          <cell r="F198">
            <v>57</v>
          </cell>
          <cell r="G198">
            <v>31898</v>
          </cell>
          <cell r="H198">
            <v>55</v>
          </cell>
        </row>
        <row r="199">
          <cell r="A199">
            <v>28277</v>
          </cell>
          <cell r="B199">
            <v>62</v>
          </cell>
          <cell r="C199">
            <v>30103</v>
          </cell>
          <cell r="D199">
            <v>60</v>
          </cell>
          <cell r="E199">
            <v>30103</v>
          </cell>
          <cell r="F199">
            <v>57</v>
          </cell>
          <cell r="G199">
            <v>31929</v>
          </cell>
          <cell r="H199">
            <v>55</v>
          </cell>
        </row>
        <row r="200">
          <cell r="A200">
            <v>28307</v>
          </cell>
          <cell r="B200">
            <v>62</v>
          </cell>
          <cell r="C200">
            <v>30133</v>
          </cell>
          <cell r="D200">
            <v>60</v>
          </cell>
          <cell r="E200">
            <v>30133</v>
          </cell>
          <cell r="F200">
            <v>57</v>
          </cell>
          <cell r="G200">
            <v>31959</v>
          </cell>
          <cell r="H200">
            <v>55</v>
          </cell>
        </row>
        <row r="201">
          <cell r="A201">
            <v>28338</v>
          </cell>
          <cell r="B201">
            <v>62</v>
          </cell>
          <cell r="C201">
            <v>30164</v>
          </cell>
          <cell r="D201">
            <v>60</v>
          </cell>
          <cell r="E201">
            <v>30164</v>
          </cell>
          <cell r="F201">
            <v>57</v>
          </cell>
          <cell r="G201">
            <v>31990</v>
          </cell>
          <cell r="H201">
            <v>55</v>
          </cell>
        </row>
        <row r="202">
          <cell r="A202">
            <v>28369</v>
          </cell>
          <cell r="B202">
            <v>62</v>
          </cell>
          <cell r="C202">
            <v>30195</v>
          </cell>
          <cell r="D202">
            <v>60</v>
          </cell>
          <cell r="E202">
            <v>30195</v>
          </cell>
          <cell r="F202">
            <v>57</v>
          </cell>
          <cell r="G202">
            <v>32021</v>
          </cell>
          <cell r="H202">
            <v>55</v>
          </cell>
        </row>
        <row r="203">
          <cell r="A203">
            <v>28399</v>
          </cell>
          <cell r="B203">
            <v>62</v>
          </cell>
          <cell r="C203">
            <v>30225</v>
          </cell>
          <cell r="D203">
            <v>60</v>
          </cell>
          <cell r="E203">
            <v>30225</v>
          </cell>
          <cell r="F203">
            <v>57</v>
          </cell>
          <cell r="G203">
            <v>32051</v>
          </cell>
          <cell r="H203">
            <v>55</v>
          </cell>
        </row>
        <row r="204">
          <cell r="A204">
            <v>28430</v>
          </cell>
          <cell r="B204">
            <v>62</v>
          </cell>
          <cell r="C204">
            <v>30256</v>
          </cell>
          <cell r="D204">
            <v>60</v>
          </cell>
          <cell r="E204">
            <v>30256</v>
          </cell>
          <cell r="F204">
            <v>57</v>
          </cell>
          <cell r="G204">
            <v>32082</v>
          </cell>
          <cell r="H204">
            <v>55</v>
          </cell>
        </row>
        <row r="205">
          <cell r="A205">
            <v>28460</v>
          </cell>
          <cell r="B205">
            <v>62</v>
          </cell>
          <cell r="C205">
            <v>30286</v>
          </cell>
          <cell r="D205">
            <v>60</v>
          </cell>
          <cell r="E205">
            <v>30286</v>
          </cell>
          <cell r="F205">
            <v>57</v>
          </cell>
          <cell r="G205">
            <v>32112</v>
          </cell>
          <cell r="H205">
            <v>55</v>
          </cell>
        </row>
        <row r="206">
          <cell r="A206">
            <v>28491</v>
          </cell>
          <cell r="B206">
            <v>62</v>
          </cell>
          <cell r="C206">
            <v>30317</v>
          </cell>
          <cell r="D206">
            <v>60</v>
          </cell>
          <cell r="E206">
            <v>30317</v>
          </cell>
          <cell r="F206">
            <v>57</v>
          </cell>
          <cell r="G206">
            <v>32143</v>
          </cell>
          <cell r="H206">
            <v>55</v>
          </cell>
        </row>
        <row r="207">
          <cell r="A207">
            <v>28522</v>
          </cell>
          <cell r="B207">
            <v>62</v>
          </cell>
          <cell r="C207">
            <v>30348</v>
          </cell>
          <cell r="D207">
            <v>60</v>
          </cell>
          <cell r="E207">
            <v>30348</v>
          </cell>
          <cell r="F207">
            <v>57</v>
          </cell>
          <cell r="G207">
            <v>32174</v>
          </cell>
          <cell r="H207">
            <v>55</v>
          </cell>
        </row>
        <row r="208">
          <cell r="A208">
            <v>28550</v>
          </cell>
          <cell r="B208">
            <v>62</v>
          </cell>
          <cell r="C208">
            <v>30376</v>
          </cell>
          <cell r="D208">
            <v>60</v>
          </cell>
          <cell r="E208">
            <v>30376</v>
          </cell>
          <cell r="F208">
            <v>57</v>
          </cell>
          <cell r="G208">
            <v>32203</v>
          </cell>
          <cell r="H208">
            <v>55</v>
          </cell>
        </row>
        <row r="209">
          <cell r="A209">
            <v>28581</v>
          </cell>
          <cell r="B209">
            <v>62</v>
          </cell>
          <cell r="C209">
            <v>30407</v>
          </cell>
          <cell r="D209">
            <v>60</v>
          </cell>
          <cell r="E209">
            <v>30407</v>
          </cell>
          <cell r="F209">
            <v>57</v>
          </cell>
          <cell r="G209">
            <v>32234</v>
          </cell>
          <cell r="H209">
            <v>55</v>
          </cell>
        </row>
        <row r="210">
          <cell r="A210">
            <v>28611</v>
          </cell>
          <cell r="B210">
            <v>62</v>
          </cell>
          <cell r="C210">
            <v>30437</v>
          </cell>
          <cell r="D210">
            <v>60</v>
          </cell>
          <cell r="E210">
            <v>30437</v>
          </cell>
          <cell r="F210">
            <v>57</v>
          </cell>
          <cell r="G210">
            <v>32264</v>
          </cell>
          <cell r="H210">
            <v>55</v>
          </cell>
        </row>
        <row r="211">
          <cell r="A211">
            <v>28642</v>
          </cell>
          <cell r="B211">
            <v>62</v>
          </cell>
          <cell r="C211">
            <v>30468</v>
          </cell>
          <cell r="D211">
            <v>60</v>
          </cell>
          <cell r="E211">
            <v>30468</v>
          </cell>
          <cell r="F211">
            <v>57</v>
          </cell>
          <cell r="G211">
            <v>32295</v>
          </cell>
          <cell r="H211">
            <v>55</v>
          </cell>
        </row>
        <row r="212">
          <cell r="A212">
            <v>28672</v>
          </cell>
          <cell r="B212">
            <v>62</v>
          </cell>
          <cell r="C212">
            <v>30498</v>
          </cell>
          <cell r="D212">
            <v>60</v>
          </cell>
          <cell r="E212">
            <v>30498</v>
          </cell>
          <cell r="F212">
            <v>57</v>
          </cell>
          <cell r="G212">
            <v>32325</v>
          </cell>
          <cell r="H212">
            <v>55</v>
          </cell>
        </row>
        <row r="213">
          <cell r="A213">
            <v>28703</v>
          </cell>
          <cell r="B213">
            <v>62</v>
          </cell>
          <cell r="C213">
            <v>30529</v>
          </cell>
          <cell r="D213">
            <v>60</v>
          </cell>
          <cell r="E213">
            <v>30529</v>
          </cell>
          <cell r="F213">
            <v>57</v>
          </cell>
          <cell r="G213">
            <v>32356</v>
          </cell>
          <cell r="H213">
            <v>55</v>
          </cell>
        </row>
        <row r="214">
          <cell r="A214">
            <v>28734</v>
          </cell>
          <cell r="B214">
            <v>62</v>
          </cell>
          <cell r="C214">
            <v>30560</v>
          </cell>
          <cell r="D214">
            <v>60</v>
          </cell>
          <cell r="E214">
            <v>30560</v>
          </cell>
          <cell r="F214">
            <v>57</v>
          </cell>
          <cell r="G214">
            <v>32387</v>
          </cell>
          <cell r="H214">
            <v>55</v>
          </cell>
        </row>
        <row r="215">
          <cell r="A215">
            <v>28764</v>
          </cell>
          <cell r="B215">
            <v>62</v>
          </cell>
          <cell r="C215">
            <v>30590</v>
          </cell>
          <cell r="D215">
            <v>60</v>
          </cell>
          <cell r="E215">
            <v>30590</v>
          </cell>
          <cell r="F215">
            <v>57</v>
          </cell>
          <cell r="G215">
            <v>32417</v>
          </cell>
          <cell r="H215">
            <v>55</v>
          </cell>
        </row>
        <row r="216">
          <cell r="A216">
            <v>28795</v>
          </cell>
          <cell r="B216">
            <v>62</v>
          </cell>
          <cell r="C216">
            <v>30621</v>
          </cell>
          <cell r="D216">
            <v>60</v>
          </cell>
          <cell r="E216">
            <v>30621</v>
          </cell>
          <cell r="F216">
            <v>57</v>
          </cell>
          <cell r="G216">
            <v>32448</v>
          </cell>
          <cell r="H216">
            <v>55</v>
          </cell>
        </row>
        <row r="217">
          <cell r="A217">
            <v>28825</v>
          </cell>
          <cell r="B217">
            <v>62</v>
          </cell>
          <cell r="C217">
            <v>30651</v>
          </cell>
          <cell r="D217">
            <v>60</v>
          </cell>
          <cell r="E217">
            <v>30651</v>
          </cell>
          <cell r="F217">
            <v>57</v>
          </cell>
          <cell r="G217">
            <v>32478</v>
          </cell>
          <cell r="H217">
            <v>55</v>
          </cell>
        </row>
        <row r="218">
          <cell r="A218">
            <v>28856</v>
          </cell>
          <cell r="B218">
            <v>62</v>
          </cell>
          <cell r="C218">
            <v>30682</v>
          </cell>
          <cell r="D218">
            <v>60</v>
          </cell>
          <cell r="E218">
            <v>30682</v>
          </cell>
          <cell r="F218">
            <v>57</v>
          </cell>
          <cell r="G218">
            <v>32509</v>
          </cell>
          <cell r="H218">
            <v>55</v>
          </cell>
        </row>
        <row r="219">
          <cell r="A219">
            <v>28887</v>
          </cell>
          <cell r="B219">
            <v>62</v>
          </cell>
          <cell r="C219">
            <v>30713</v>
          </cell>
          <cell r="D219">
            <v>60</v>
          </cell>
          <cell r="E219">
            <v>30713</v>
          </cell>
          <cell r="F219">
            <v>57</v>
          </cell>
          <cell r="G219">
            <v>32540</v>
          </cell>
          <cell r="H219">
            <v>55</v>
          </cell>
        </row>
        <row r="220">
          <cell r="A220">
            <v>28915</v>
          </cell>
          <cell r="B220">
            <v>62</v>
          </cell>
          <cell r="C220">
            <v>30742</v>
          </cell>
          <cell r="D220">
            <v>60</v>
          </cell>
          <cell r="E220">
            <v>30742</v>
          </cell>
          <cell r="F220">
            <v>57</v>
          </cell>
          <cell r="G220">
            <v>32568</v>
          </cell>
          <cell r="H220">
            <v>55</v>
          </cell>
        </row>
        <row r="221">
          <cell r="A221">
            <v>28946</v>
          </cell>
          <cell r="B221">
            <v>62</v>
          </cell>
          <cell r="C221">
            <v>30773</v>
          </cell>
          <cell r="D221">
            <v>60</v>
          </cell>
          <cell r="E221">
            <v>30773</v>
          </cell>
          <cell r="F221">
            <v>57</v>
          </cell>
          <cell r="G221">
            <v>32599</v>
          </cell>
          <cell r="H221">
            <v>55</v>
          </cell>
        </row>
        <row r="222">
          <cell r="A222">
            <v>28976</v>
          </cell>
          <cell r="B222">
            <v>62</v>
          </cell>
          <cell r="C222">
            <v>30803</v>
          </cell>
          <cell r="D222">
            <v>60</v>
          </cell>
          <cell r="E222">
            <v>30803</v>
          </cell>
          <cell r="F222">
            <v>57</v>
          </cell>
          <cell r="G222">
            <v>32629</v>
          </cell>
          <cell r="H222">
            <v>55</v>
          </cell>
        </row>
        <row r="223">
          <cell r="A223">
            <v>29007</v>
          </cell>
          <cell r="B223">
            <v>62</v>
          </cell>
          <cell r="C223">
            <v>30834</v>
          </cell>
          <cell r="D223">
            <v>60</v>
          </cell>
          <cell r="E223">
            <v>30834</v>
          </cell>
          <cell r="F223">
            <v>57</v>
          </cell>
          <cell r="G223">
            <v>32660</v>
          </cell>
          <cell r="H223">
            <v>55</v>
          </cell>
        </row>
        <row r="224">
          <cell r="A224">
            <v>29037</v>
          </cell>
          <cell r="B224">
            <v>62</v>
          </cell>
          <cell r="C224">
            <v>30864</v>
          </cell>
          <cell r="D224">
            <v>60</v>
          </cell>
          <cell r="E224">
            <v>30864</v>
          </cell>
          <cell r="F224">
            <v>57</v>
          </cell>
          <cell r="G224">
            <v>32690</v>
          </cell>
          <cell r="H224">
            <v>55</v>
          </cell>
        </row>
        <row r="225">
          <cell r="A225">
            <v>29068</v>
          </cell>
          <cell r="B225">
            <v>62</v>
          </cell>
          <cell r="C225">
            <v>30895</v>
          </cell>
          <cell r="D225">
            <v>60</v>
          </cell>
          <cell r="E225">
            <v>30895</v>
          </cell>
          <cell r="F225">
            <v>57</v>
          </cell>
          <cell r="G225">
            <v>32721</v>
          </cell>
          <cell r="H225">
            <v>55</v>
          </cell>
        </row>
        <row r="226">
          <cell r="A226">
            <v>29099</v>
          </cell>
          <cell r="B226">
            <v>62</v>
          </cell>
          <cell r="C226">
            <v>30926</v>
          </cell>
          <cell r="D226">
            <v>60</v>
          </cell>
          <cell r="E226">
            <v>30926</v>
          </cell>
          <cell r="F226">
            <v>57</v>
          </cell>
          <cell r="G226">
            <v>32752</v>
          </cell>
          <cell r="H226">
            <v>55</v>
          </cell>
        </row>
        <row r="227">
          <cell r="A227">
            <v>29129</v>
          </cell>
          <cell r="B227">
            <v>62</v>
          </cell>
          <cell r="C227">
            <v>30956</v>
          </cell>
          <cell r="D227">
            <v>60</v>
          </cell>
          <cell r="E227">
            <v>30956</v>
          </cell>
          <cell r="F227">
            <v>57</v>
          </cell>
          <cell r="G227">
            <v>32782</v>
          </cell>
          <cell r="H227">
            <v>55</v>
          </cell>
        </row>
        <row r="228">
          <cell r="A228">
            <v>29160</v>
          </cell>
          <cell r="B228">
            <v>62</v>
          </cell>
          <cell r="C228">
            <v>30987</v>
          </cell>
          <cell r="D228">
            <v>60</v>
          </cell>
          <cell r="E228">
            <v>30987</v>
          </cell>
          <cell r="F228">
            <v>57</v>
          </cell>
          <cell r="G228">
            <v>32813</v>
          </cell>
          <cell r="H228">
            <v>55</v>
          </cell>
        </row>
        <row r="229">
          <cell r="A229">
            <v>29190</v>
          </cell>
          <cell r="B229">
            <v>62</v>
          </cell>
          <cell r="C229">
            <v>31017</v>
          </cell>
          <cell r="D229">
            <v>60</v>
          </cell>
          <cell r="E229">
            <v>31017</v>
          </cell>
          <cell r="F229">
            <v>57</v>
          </cell>
          <cell r="G229">
            <v>32843</v>
          </cell>
          <cell r="H229">
            <v>55</v>
          </cell>
        </row>
        <row r="230">
          <cell r="A230">
            <v>29221</v>
          </cell>
          <cell r="B230">
            <v>62</v>
          </cell>
          <cell r="C230">
            <v>31048</v>
          </cell>
          <cell r="D230">
            <v>60</v>
          </cell>
          <cell r="E230">
            <v>31048</v>
          </cell>
          <cell r="F230">
            <v>57</v>
          </cell>
          <cell r="G230">
            <v>32874</v>
          </cell>
          <cell r="H230">
            <v>55</v>
          </cell>
        </row>
        <row r="231">
          <cell r="A231">
            <v>29252</v>
          </cell>
          <cell r="B231">
            <v>62</v>
          </cell>
          <cell r="C231">
            <v>31079</v>
          </cell>
          <cell r="D231">
            <v>60</v>
          </cell>
          <cell r="E231">
            <v>31079</v>
          </cell>
          <cell r="F231">
            <v>57</v>
          </cell>
          <cell r="G231">
            <v>32905</v>
          </cell>
          <cell r="H231">
            <v>55</v>
          </cell>
        </row>
        <row r="232">
          <cell r="A232">
            <v>29281</v>
          </cell>
          <cell r="B232">
            <v>62</v>
          </cell>
          <cell r="C232">
            <v>31107</v>
          </cell>
          <cell r="D232">
            <v>60</v>
          </cell>
          <cell r="E232">
            <v>31107</v>
          </cell>
          <cell r="F232">
            <v>57</v>
          </cell>
          <cell r="G232">
            <v>32933</v>
          </cell>
          <cell r="H232">
            <v>55</v>
          </cell>
        </row>
        <row r="233">
          <cell r="A233">
            <v>29312</v>
          </cell>
          <cell r="B233">
            <v>62</v>
          </cell>
          <cell r="C233">
            <v>31138</v>
          </cell>
          <cell r="D233">
            <v>60</v>
          </cell>
          <cell r="E233">
            <v>31138</v>
          </cell>
          <cell r="F233">
            <v>57</v>
          </cell>
          <cell r="G233">
            <v>32964</v>
          </cell>
          <cell r="H233">
            <v>55</v>
          </cell>
        </row>
        <row r="234">
          <cell r="A234">
            <v>29342</v>
          </cell>
          <cell r="B234">
            <v>62</v>
          </cell>
          <cell r="C234">
            <v>31168</v>
          </cell>
          <cell r="D234">
            <v>60</v>
          </cell>
          <cell r="E234">
            <v>31168</v>
          </cell>
          <cell r="F234">
            <v>57</v>
          </cell>
          <cell r="G234">
            <v>32994</v>
          </cell>
          <cell r="H234">
            <v>55</v>
          </cell>
        </row>
        <row r="235">
          <cell r="A235">
            <v>29373</v>
          </cell>
          <cell r="B235">
            <v>62</v>
          </cell>
          <cell r="C235">
            <v>31199</v>
          </cell>
          <cell r="D235">
            <v>60</v>
          </cell>
          <cell r="E235">
            <v>31199</v>
          </cell>
          <cell r="F235">
            <v>57</v>
          </cell>
          <cell r="G235">
            <v>33025</v>
          </cell>
          <cell r="H235">
            <v>55</v>
          </cell>
        </row>
        <row r="236">
          <cell r="A236">
            <v>29403</v>
          </cell>
          <cell r="B236">
            <v>62</v>
          </cell>
          <cell r="C236">
            <v>31229</v>
          </cell>
          <cell r="D236">
            <v>60</v>
          </cell>
          <cell r="E236">
            <v>31229</v>
          </cell>
          <cell r="F236">
            <v>57</v>
          </cell>
          <cell r="G236">
            <v>33055</v>
          </cell>
          <cell r="H236">
            <v>55</v>
          </cell>
        </row>
        <row r="237">
          <cell r="A237">
            <v>29434</v>
          </cell>
          <cell r="B237">
            <v>62</v>
          </cell>
          <cell r="C237">
            <v>31260</v>
          </cell>
          <cell r="D237">
            <v>60</v>
          </cell>
          <cell r="E237">
            <v>31260</v>
          </cell>
          <cell r="F237">
            <v>57</v>
          </cell>
          <cell r="G237">
            <v>33086</v>
          </cell>
          <cell r="H237">
            <v>55</v>
          </cell>
        </row>
        <row r="238">
          <cell r="A238">
            <v>29465</v>
          </cell>
          <cell r="B238">
            <v>62</v>
          </cell>
          <cell r="C238">
            <v>31291</v>
          </cell>
          <cell r="D238">
            <v>60</v>
          </cell>
          <cell r="E238">
            <v>31291</v>
          </cell>
          <cell r="F238">
            <v>57</v>
          </cell>
          <cell r="G238">
            <v>33117</v>
          </cell>
          <cell r="H238">
            <v>55</v>
          </cell>
        </row>
        <row r="239">
          <cell r="A239">
            <v>29495</v>
          </cell>
          <cell r="B239">
            <v>62</v>
          </cell>
          <cell r="C239">
            <v>31321</v>
          </cell>
          <cell r="D239">
            <v>60</v>
          </cell>
          <cell r="E239">
            <v>31321</v>
          </cell>
          <cell r="F239">
            <v>57</v>
          </cell>
          <cell r="G239">
            <v>33147</v>
          </cell>
          <cell r="H239">
            <v>55</v>
          </cell>
        </row>
        <row r="240">
          <cell r="A240">
            <v>29526</v>
          </cell>
          <cell r="B240">
            <v>62</v>
          </cell>
          <cell r="C240">
            <v>31352</v>
          </cell>
          <cell r="D240">
            <v>60</v>
          </cell>
          <cell r="E240">
            <v>31352</v>
          </cell>
          <cell r="F240">
            <v>57</v>
          </cell>
          <cell r="G240">
            <v>33178</v>
          </cell>
          <cell r="H240">
            <v>55</v>
          </cell>
        </row>
        <row r="241">
          <cell r="A241">
            <v>29556</v>
          </cell>
          <cell r="B241">
            <v>62</v>
          </cell>
          <cell r="C241">
            <v>31382</v>
          </cell>
          <cell r="D241">
            <v>60</v>
          </cell>
          <cell r="E241">
            <v>31382</v>
          </cell>
          <cell r="F241">
            <v>57</v>
          </cell>
          <cell r="G241">
            <v>33208</v>
          </cell>
          <cell r="H241">
            <v>55</v>
          </cell>
        </row>
        <row r="242">
          <cell r="A242">
            <v>29587</v>
          </cell>
          <cell r="B242">
            <v>62</v>
          </cell>
          <cell r="C242">
            <v>31413</v>
          </cell>
          <cell r="D242">
            <v>60</v>
          </cell>
          <cell r="E242">
            <v>31413</v>
          </cell>
          <cell r="F242">
            <v>57</v>
          </cell>
          <cell r="G242">
            <v>33239</v>
          </cell>
          <cell r="H242">
            <v>55</v>
          </cell>
        </row>
        <row r="243">
          <cell r="A243">
            <v>29618</v>
          </cell>
          <cell r="B243">
            <v>62</v>
          </cell>
          <cell r="C243">
            <v>31444</v>
          </cell>
          <cell r="D243">
            <v>60</v>
          </cell>
          <cell r="E243">
            <v>31444</v>
          </cell>
          <cell r="F243">
            <v>57</v>
          </cell>
          <cell r="G243">
            <v>33270</v>
          </cell>
          <cell r="H243">
            <v>55</v>
          </cell>
        </row>
        <row r="244">
          <cell r="A244">
            <v>29646</v>
          </cell>
          <cell r="B244">
            <v>62</v>
          </cell>
          <cell r="C244">
            <v>31472</v>
          </cell>
          <cell r="D244">
            <v>60</v>
          </cell>
          <cell r="E244">
            <v>31472</v>
          </cell>
          <cell r="F244">
            <v>57</v>
          </cell>
          <cell r="G244">
            <v>33298</v>
          </cell>
          <cell r="H244">
            <v>55</v>
          </cell>
        </row>
        <row r="245">
          <cell r="A245">
            <v>29677</v>
          </cell>
          <cell r="B245">
            <v>62</v>
          </cell>
          <cell r="C245">
            <v>31503</v>
          </cell>
          <cell r="D245">
            <v>60</v>
          </cell>
          <cell r="E245">
            <v>31503</v>
          </cell>
          <cell r="F245">
            <v>57</v>
          </cell>
          <cell r="G245">
            <v>33329</v>
          </cell>
          <cell r="H245">
            <v>55</v>
          </cell>
        </row>
        <row r="246">
          <cell r="A246">
            <v>29707</v>
          </cell>
          <cell r="B246">
            <v>62</v>
          </cell>
          <cell r="C246">
            <v>31533</v>
          </cell>
          <cell r="D246">
            <v>60</v>
          </cell>
          <cell r="E246">
            <v>31533</v>
          </cell>
          <cell r="F246">
            <v>57</v>
          </cell>
          <cell r="G246">
            <v>33359</v>
          </cell>
          <cell r="H246">
            <v>55</v>
          </cell>
        </row>
        <row r="247">
          <cell r="A247">
            <v>29738</v>
          </cell>
          <cell r="B247">
            <v>62</v>
          </cell>
          <cell r="C247">
            <v>31564</v>
          </cell>
          <cell r="D247">
            <v>60</v>
          </cell>
          <cell r="E247">
            <v>31564</v>
          </cell>
          <cell r="F247">
            <v>57</v>
          </cell>
          <cell r="G247">
            <v>33390</v>
          </cell>
          <cell r="H247">
            <v>55</v>
          </cell>
        </row>
        <row r="248">
          <cell r="A248">
            <v>29768</v>
          </cell>
          <cell r="B248">
            <v>62</v>
          </cell>
          <cell r="C248">
            <v>31594</v>
          </cell>
          <cell r="D248">
            <v>60</v>
          </cell>
          <cell r="E248">
            <v>31594</v>
          </cell>
          <cell r="F248">
            <v>57</v>
          </cell>
          <cell r="G248">
            <v>33420</v>
          </cell>
          <cell r="H248">
            <v>55</v>
          </cell>
        </row>
        <row r="249">
          <cell r="A249">
            <v>29799</v>
          </cell>
          <cell r="B249">
            <v>62</v>
          </cell>
          <cell r="C249">
            <v>31625</v>
          </cell>
          <cell r="D249">
            <v>60</v>
          </cell>
          <cell r="E249">
            <v>31625</v>
          </cell>
          <cell r="F249">
            <v>57</v>
          </cell>
          <cell r="G249">
            <v>33451</v>
          </cell>
          <cell r="H249">
            <v>55</v>
          </cell>
        </row>
        <row r="250">
          <cell r="A250">
            <v>29830</v>
          </cell>
          <cell r="B250">
            <v>62</v>
          </cell>
          <cell r="C250">
            <v>31656</v>
          </cell>
          <cell r="D250">
            <v>60</v>
          </cell>
          <cell r="E250">
            <v>31656</v>
          </cell>
          <cell r="F250">
            <v>57</v>
          </cell>
          <cell r="G250">
            <v>33482</v>
          </cell>
          <cell r="H250">
            <v>55</v>
          </cell>
        </row>
        <row r="251">
          <cell r="A251">
            <v>29860</v>
          </cell>
          <cell r="B251">
            <v>62</v>
          </cell>
          <cell r="C251">
            <v>31686</v>
          </cell>
          <cell r="D251">
            <v>60</v>
          </cell>
          <cell r="E251">
            <v>31686</v>
          </cell>
          <cell r="F251">
            <v>57</v>
          </cell>
          <cell r="G251">
            <v>33512</v>
          </cell>
          <cell r="H251">
            <v>55</v>
          </cell>
        </row>
        <row r="252">
          <cell r="A252">
            <v>29891</v>
          </cell>
          <cell r="B252">
            <v>62</v>
          </cell>
          <cell r="C252">
            <v>31717</v>
          </cell>
          <cell r="D252">
            <v>60</v>
          </cell>
          <cell r="E252">
            <v>31717</v>
          </cell>
          <cell r="F252">
            <v>57</v>
          </cell>
          <cell r="G252">
            <v>33543</v>
          </cell>
          <cell r="H252">
            <v>55</v>
          </cell>
        </row>
        <row r="253">
          <cell r="A253">
            <v>29921</v>
          </cell>
          <cell r="B253">
            <v>62</v>
          </cell>
          <cell r="C253">
            <v>31747</v>
          </cell>
          <cell r="D253">
            <v>60</v>
          </cell>
          <cell r="E253">
            <v>31747</v>
          </cell>
          <cell r="F253">
            <v>57</v>
          </cell>
          <cell r="G253">
            <v>33573</v>
          </cell>
          <cell r="H253">
            <v>55</v>
          </cell>
        </row>
        <row r="254">
          <cell r="A254">
            <v>29952</v>
          </cell>
          <cell r="B254">
            <v>62</v>
          </cell>
          <cell r="C254">
            <v>31778</v>
          </cell>
          <cell r="D254">
            <v>60</v>
          </cell>
          <cell r="E254">
            <v>31778</v>
          </cell>
          <cell r="F254">
            <v>57</v>
          </cell>
          <cell r="G254">
            <v>33604</v>
          </cell>
          <cell r="H254">
            <v>55</v>
          </cell>
        </row>
        <row r="255">
          <cell r="A255">
            <v>29983</v>
          </cell>
          <cell r="B255">
            <v>62</v>
          </cell>
          <cell r="C255">
            <v>31809</v>
          </cell>
          <cell r="D255">
            <v>60</v>
          </cell>
          <cell r="E255">
            <v>31809</v>
          </cell>
          <cell r="F255">
            <v>57</v>
          </cell>
          <cell r="G255">
            <v>33635</v>
          </cell>
          <cell r="H255">
            <v>55</v>
          </cell>
        </row>
        <row r="256">
          <cell r="A256">
            <v>30011</v>
          </cell>
          <cell r="B256">
            <v>62</v>
          </cell>
          <cell r="C256">
            <v>31837</v>
          </cell>
          <cell r="D256">
            <v>60</v>
          </cell>
          <cell r="E256">
            <v>31837</v>
          </cell>
          <cell r="F256">
            <v>57</v>
          </cell>
          <cell r="G256">
            <v>33664</v>
          </cell>
          <cell r="H256">
            <v>55</v>
          </cell>
        </row>
        <row r="257">
          <cell r="A257">
            <v>30042</v>
          </cell>
          <cell r="B257">
            <v>62</v>
          </cell>
          <cell r="C257">
            <v>31868</v>
          </cell>
          <cell r="D257">
            <v>60</v>
          </cell>
          <cell r="E257">
            <v>31868</v>
          </cell>
          <cell r="F257">
            <v>57</v>
          </cell>
          <cell r="G257">
            <v>33695</v>
          </cell>
          <cell r="H257">
            <v>55</v>
          </cell>
        </row>
        <row r="258">
          <cell r="A258">
            <v>30072</v>
          </cell>
          <cell r="B258">
            <v>62</v>
          </cell>
          <cell r="C258">
            <v>31898</v>
          </cell>
          <cell r="D258">
            <v>60</v>
          </cell>
          <cell r="E258">
            <v>31898</v>
          </cell>
          <cell r="F258">
            <v>57</v>
          </cell>
          <cell r="G258">
            <v>33725</v>
          </cell>
          <cell r="H258">
            <v>55</v>
          </cell>
        </row>
        <row r="259">
          <cell r="A259">
            <v>30103</v>
          </cell>
          <cell r="B259">
            <v>62</v>
          </cell>
          <cell r="C259">
            <v>31929</v>
          </cell>
          <cell r="D259">
            <v>60</v>
          </cell>
          <cell r="E259">
            <v>31929</v>
          </cell>
          <cell r="F259">
            <v>57</v>
          </cell>
          <cell r="G259">
            <v>33756</v>
          </cell>
          <cell r="H259">
            <v>55</v>
          </cell>
        </row>
        <row r="260">
          <cell r="A260">
            <v>30133</v>
          </cell>
          <cell r="B260">
            <v>62</v>
          </cell>
          <cell r="C260">
            <v>31959</v>
          </cell>
          <cell r="D260">
            <v>60</v>
          </cell>
          <cell r="E260">
            <v>31959</v>
          </cell>
          <cell r="F260">
            <v>57</v>
          </cell>
          <cell r="G260">
            <v>33786</v>
          </cell>
          <cell r="H260">
            <v>55</v>
          </cell>
        </row>
        <row r="261">
          <cell r="A261">
            <v>30164</v>
          </cell>
          <cell r="B261">
            <v>62</v>
          </cell>
          <cell r="C261">
            <v>31990</v>
          </cell>
          <cell r="D261">
            <v>60</v>
          </cell>
          <cell r="E261">
            <v>31990</v>
          </cell>
          <cell r="F261">
            <v>57</v>
          </cell>
          <cell r="G261">
            <v>33817</v>
          </cell>
          <cell r="H261">
            <v>55</v>
          </cell>
        </row>
        <row r="262">
          <cell r="A262">
            <v>30195</v>
          </cell>
          <cell r="B262">
            <v>62</v>
          </cell>
          <cell r="C262">
            <v>32021</v>
          </cell>
          <cell r="D262">
            <v>60</v>
          </cell>
          <cell r="E262">
            <v>32021</v>
          </cell>
          <cell r="F262">
            <v>57</v>
          </cell>
          <cell r="G262">
            <v>33848</v>
          </cell>
          <cell r="H262">
            <v>55</v>
          </cell>
        </row>
        <row r="263">
          <cell r="A263">
            <v>30225</v>
          </cell>
          <cell r="B263">
            <v>62</v>
          </cell>
          <cell r="C263">
            <v>32051</v>
          </cell>
          <cell r="D263">
            <v>60</v>
          </cell>
          <cell r="E263">
            <v>32051</v>
          </cell>
          <cell r="F263">
            <v>57</v>
          </cell>
          <cell r="G263">
            <v>33878</v>
          </cell>
          <cell r="H263">
            <v>55</v>
          </cell>
        </row>
        <row r="264">
          <cell r="A264">
            <v>30256</v>
          </cell>
          <cell r="B264">
            <v>62</v>
          </cell>
          <cell r="C264">
            <v>32082</v>
          </cell>
          <cell r="D264">
            <v>60</v>
          </cell>
          <cell r="E264">
            <v>32082</v>
          </cell>
          <cell r="F264">
            <v>57</v>
          </cell>
          <cell r="G264">
            <v>33909</v>
          </cell>
          <cell r="H264">
            <v>55</v>
          </cell>
        </row>
        <row r="265">
          <cell r="A265">
            <v>30286</v>
          </cell>
          <cell r="B265">
            <v>62</v>
          </cell>
          <cell r="C265">
            <v>32112</v>
          </cell>
          <cell r="D265">
            <v>60</v>
          </cell>
          <cell r="E265">
            <v>32112</v>
          </cell>
          <cell r="F265">
            <v>57</v>
          </cell>
          <cell r="G265">
            <v>33939</v>
          </cell>
          <cell r="H265">
            <v>55</v>
          </cell>
        </row>
        <row r="266">
          <cell r="A266">
            <v>30317</v>
          </cell>
          <cell r="B266">
            <v>62</v>
          </cell>
          <cell r="C266">
            <v>32143</v>
          </cell>
          <cell r="D266">
            <v>60</v>
          </cell>
          <cell r="E266">
            <v>32143</v>
          </cell>
          <cell r="F266">
            <v>57</v>
          </cell>
          <cell r="G266">
            <v>33970</v>
          </cell>
          <cell r="H266">
            <v>55</v>
          </cell>
        </row>
        <row r="267">
          <cell r="A267">
            <v>30348</v>
          </cell>
          <cell r="B267">
            <v>62</v>
          </cell>
          <cell r="C267">
            <v>32174</v>
          </cell>
          <cell r="D267">
            <v>60</v>
          </cell>
          <cell r="E267">
            <v>32174</v>
          </cell>
          <cell r="F267">
            <v>57</v>
          </cell>
          <cell r="G267">
            <v>34001</v>
          </cell>
          <cell r="H267">
            <v>55</v>
          </cell>
        </row>
        <row r="268">
          <cell r="A268">
            <v>30376</v>
          </cell>
          <cell r="B268">
            <v>62</v>
          </cell>
          <cell r="C268">
            <v>32203</v>
          </cell>
          <cell r="D268">
            <v>60</v>
          </cell>
          <cell r="E268">
            <v>32203</v>
          </cell>
          <cell r="F268">
            <v>57</v>
          </cell>
          <cell r="G268">
            <v>34029</v>
          </cell>
          <cell r="H268">
            <v>55</v>
          </cell>
        </row>
        <row r="269">
          <cell r="A269">
            <v>30407</v>
          </cell>
          <cell r="B269">
            <v>62</v>
          </cell>
          <cell r="C269">
            <v>32234</v>
          </cell>
          <cell r="D269">
            <v>60</v>
          </cell>
          <cell r="E269">
            <v>32234</v>
          </cell>
          <cell r="F269">
            <v>57</v>
          </cell>
          <cell r="G269">
            <v>34060</v>
          </cell>
          <cell r="H269">
            <v>55</v>
          </cell>
        </row>
        <row r="270">
          <cell r="A270">
            <v>30437</v>
          </cell>
          <cell r="B270">
            <v>62</v>
          </cell>
          <cell r="C270">
            <v>32264</v>
          </cell>
          <cell r="D270">
            <v>60</v>
          </cell>
          <cell r="E270">
            <v>32264</v>
          </cell>
          <cell r="F270">
            <v>57</v>
          </cell>
          <cell r="G270">
            <v>34090</v>
          </cell>
          <cell r="H270">
            <v>55</v>
          </cell>
        </row>
        <row r="271">
          <cell r="A271">
            <v>30468</v>
          </cell>
          <cell r="B271">
            <v>62</v>
          </cell>
          <cell r="C271">
            <v>32295</v>
          </cell>
          <cell r="D271">
            <v>60</v>
          </cell>
          <cell r="E271">
            <v>32295</v>
          </cell>
          <cell r="F271">
            <v>57</v>
          </cell>
          <cell r="G271">
            <v>34121</v>
          </cell>
          <cell r="H271">
            <v>55</v>
          </cell>
        </row>
        <row r="272">
          <cell r="A272">
            <v>30498</v>
          </cell>
          <cell r="B272">
            <v>62</v>
          </cell>
          <cell r="C272">
            <v>32325</v>
          </cell>
          <cell r="D272">
            <v>60</v>
          </cell>
          <cell r="E272">
            <v>32325</v>
          </cell>
          <cell r="F272">
            <v>57</v>
          </cell>
          <cell r="G272">
            <v>34151</v>
          </cell>
          <cell r="H272">
            <v>55</v>
          </cell>
        </row>
        <row r="273">
          <cell r="A273">
            <v>30529</v>
          </cell>
          <cell r="B273">
            <v>62</v>
          </cell>
          <cell r="C273">
            <v>32356</v>
          </cell>
          <cell r="D273">
            <v>60</v>
          </cell>
          <cell r="E273">
            <v>32356</v>
          </cell>
          <cell r="F273">
            <v>57</v>
          </cell>
          <cell r="G273">
            <v>34182</v>
          </cell>
          <cell r="H273">
            <v>55</v>
          </cell>
        </row>
        <row r="274">
          <cell r="A274">
            <v>30560</v>
          </cell>
          <cell r="B274">
            <v>62</v>
          </cell>
          <cell r="C274">
            <v>32387</v>
          </cell>
          <cell r="D274">
            <v>60</v>
          </cell>
          <cell r="E274">
            <v>32387</v>
          </cell>
          <cell r="F274">
            <v>57</v>
          </cell>
          <cell r="G274">
            <v>34213</v>
          </cell>
          <cell r="H274">
            <v>55</v>
          </cell>
        </row>
        <row r="275">
          <cell r="A275">
            <v>30590</v>
          </cell>
          <cell r="B275">
            <v>62</v>
          </cell>
          <cell r="C275">
            <v>32417</v>
          </cell>
          <cell r="D275">
            <v>60</v>
          </cell>
          <cell r="E275">
            <v>32417</v>
          </cell>
          <cell r="F275">
            <v>57</v>
          </cell>
          <cell r="G275">
            <v>34243</v>
          </cell>
          <cell r="H275">
            <v>55</v>
          </cell>
        </row>
        <row r="276">
          <cell r="A276">
            <v>30621</v>
          </cell>
          <cell r="B276">
            <v>62</v>
          </cell>
          <cell r="C276">
            <v>32448</v>
          </cell>
          <cell r="D276">
            <v>60</v>
          </cell>
          <cell r="E276">
            <v>32448</v>
          </cell>
          <cell r="F276">
            <v>57</v>
          </cell>
          <cell r="G276">
            <v>34274</v>
          </cell>
          <cell r="H276">
            <v>55</v>
          </cell>
        </row>
        <row r="277">
          <cell r="A277">
            <v>30651</v>
          </cell>
          <cell r="B277">
            <v>62</v>
          </cell>
          <cell r="C277">
            <v>32478</v>
          </cell>
          <cell r="D277">
            <v>60</v>
          </cell>
          <cell r="E277">
            <v>32478</v>
          </cell>
          <cell r="F277">
            <v>57</v>
          </cell>
          <cell r="G277">
            <v>34304</v>
          </cell>
          <cell r="H277">
            <v>55</v>
          </cell>
        </row>
        <row r="278">
          <cell r="A278">
            <v>30682</v>
          </cell>
          <cell r="B278">
            <v>62</v>
          </cell>
          <cell r="C278">
            <v>32509</v>
          </cell>
          <cell r="D278">
            <v>60</v>
          </cell>
          <cell r="E278">
            <v>32509</v>
          </cell>
          <cell r="F278">
            <v>57</v>
          </cell>
          <cell r="G278">
            <v>34335</v>
          </cell>
          <cell r="H278">
            <v>55</v>
          </cell>
        </row>
        <row r="279">
          <cell r="A279">
            <v>30713</v>
          </cell>
          <cell r="B279">
            <v>62</v>
          </cell>
          <cell r="C279">
            <v>32540</v>
          </cell>
          <cell r="D279">
            <v>60</v>
          </cell>
          <cell r="E279">
            <v>32540</v>
          </cell>
          <cell r="F279">
            <v>57</v>
          </cell>
          <cell r="G279">
            <v>34366</v>
          </cell>
          <cell r="H279">
            <v>55</v>
          </cell>
        </row>
        <row r="280">
          <cell r="A280">
            <v>30742</v>
          </cell>
          <cell r="B280">
            <v>62</v>
          </cell>
          <cell r="C280">
            <v>32568</v>
          </cell>
          <cell r="D280">
            <v>60</v>
          </cell>
          <cell r="E280">
            <v>32568</v>
          </cell>
          <cell r="F280">
            <v>57</v>
          </cell>
          <cell r="G280">
            <v>34394</v>
          </cell>
          <cell r="H280">
            <v>55</v>
          </cell>
        </row>
        <row r="281">
          <cell r="A281">
            <v>30773</v>
          </cell>
          <cell r="B281">
            <v>62</v>
          </cell>
          <cell r="C281">
            <v>32599</v>
          </cell>
          <cell r="D281">
            <v>60</v>
          </cell>
          <cell r="E281">
            <v>32599</v>
          </cell>
          <cell r="F281">
            <v>57</v>
          </cell>
          <cell r="G281">
            <v>34425</v>
          </cell>
          <cell r="H281">
            <v>55</v>
          </cell>
        </row>
        <row r="282">
          <cell r="A282">
            <v>30803</v>
          </cell>
          <cell r="B282">
            <v>62</v>
          </cell>
          <cell r="C282">
            <v>32629</v>
          </cell>
          <cell r="D282">
            <v>60</v>
          </cell>
          <cell r="E282">
            <v>32629</v>
          </cell>
          <cell r="F282">
            <v>57</v>
          </cell>
          <cell r="G282">
            <v>34455</v>
          </cell>
          <cell r="H282">
            <v>55</v>
          </cell>
        </row>
        <row r="283">
          <cell r="A283">
            <v>30834</v>
          </cell>
          <cell r="B283">
            <v>62</v>
          </cell>
          <cell r="C283">
            <v>32660</v>
          </cell>
          <cell r="D283">
            <v>60</v>
          </cell>
          <cell r="E283">
            <v>32660</v>
          </cell>
          <cell r="F283">
            <v>57</v>
          </cell>
          <cell r="G283">
            <v>34486</v>
          </cell>
          <cell r="H283">
            <v>55</v>
          </cell>
        </row>
        <row r="284">
          <cell r="A284">
            <v>30864</v>
          </cell>
          <cell r="B284">
            <v>62</v>
          </cell>
          <cell r="C284">
            <v>32690</v>
          </cell>
          <cell r="D284">
            <v>60</v>
          </cell>
          <cell r="E284">
            <v>32690</v>
          </cell>
          <cell r="F284">
            <v>57</v>
          </cell>
          <cell r="G284">
            <v>34516</v>
          </cell>
          <cell r="H284">
            <v>55</v>
          </cell>
        </row>
        <row r="285">
          <cell r="A285">
            <v>30895</v>
          </cell>
          <cell r="B285">
            <v>62</v>
          </cell>
          <cell r="C285">
            <v>32721</v>
          </cell>
          <cell r="D285">
            <v>60</v>
          </cell>
          <cell r="E285">
            <v>32721</v>
          </cell>
          <cell r="F285">
            <v>57</v>
          </cell>
          <cell r="G285">
            <v>34547</v>
          </cell>
          <cell r="H285">
            <v>55</v>
          </cell>
        </row>
        <row r="286">
          <cell r="A286">
            <v>30926</v>
          </cell>
          <cell r="B286">
            <v>62</v>
          </cell>
          <cell r="C286">
            <v>32752</v>
          </cell>
          <cell r="D286">
            <v>60</v>
          </cell>
          <cell r="E286">
            <v>32752</v>
          </cell>
          <cell r="F286">
            <v>57</v>
          </cell>
          <cell r="G286">
            <v>34578</v>
          </cell>
          <cell r="H286">
            <v>55</v>
          </cell>
        </row>
        <row r="287">
          <cell r="A287">
            <v>30956</v>
          </cell>
          <cell r="B287">
            <v>62</v>
          </cell>
          <cell r="C287">
            <v>32782</v>
          </cell>
          <cell r="D287">
            <v>60</v>
          </cell>
          <cell r="E287">
            <v>32782</v>
          </cell>
          <cell r="F287">
            <v>57</v>
          </cell>
          <cell r="G287">
            <v>34608</v>
          </cell>
          <cell r="H287">
            <v>55</v>
          </cell>
        </row>
        <row r="288">
          <cell r="A288">
            <v>30987</v>
          </cell>
          <cell r="B288">
            <v>62</v>
          </cell>
          <cell r="C288">
            <v>32813</v>
          </cell>
          <cell r="D288">
            <v>60</v>
          </cell>
          <cell r="E288">
            <v>32813</v>
          </cell>
          <cell r="F288">
            <v>57</v>
          </cell>
          <cell r="G288">
            <v>34639</v>
          </cell>
          <cell r="H288">
            <v>55</v>
          </cell>
        </row>
        <row r="289">
          <cell r="A289">
            <v>31017</v>
          </cell>
          <cell r="B289">
            <v>62</v>
          </cell>
          <cell r="C289">
            <v>32843</v>
          </cell>
          <cell r="D289">
            <v>60</v>
          </cell>
          <cell r="E289">
            <v>32843</v>
          </cell>
          <cell r="F289">
            <v>57</v>
          </cell>
          <cell r="G289">
            <v>34669</v>
          </cell>
          <cell r="H289">
            <v>55</v>
          </cell>
        </row>
        <row r="290">
          <cell r="A290">
            <v>31048</v>
          </cell>
          <cell r="B290">
            <v>62</v>
          </cell>
          <cell r="C290">
            <v>32874</v>
          </cell>
          <cell r="D290">
            <v>60</v>
          </cell>
          <cell r="E290">
            <v>32874</v>
          </cell>
          <cell r="F290">
            <v>57</v>
          </cell>
          <cell r="G290">
            <v>34700</v>
          </cell>
          <cell r="H290">
            <v>55</v>
          </cell>
        </row>
        <row r="291">
          <cell r="A291">
            <v>31079</v>
          </cell>
          <cell r="B291">
            <v>62</v>
          </cell>
          <cell r="C291">
            <v>32905</v>
          </cell>
          <cell r="D291">
            <v>60</v>
          </cell>
          <cell r="E291">
            <v>32905</v>
          </cell>
          <cell r="F291">
            <v>57</v>
          </cell>
          <cell r="G291">
            <v>34731</v>
          </cell>
          <cell r="H291">
            <v>55</v>
          </cell>
        </row>
        <row r="292">
          <cell r="A292">
            <v>31107</v>
          </cell>
          <cell r="B292">
            <v>62</v>
          </cell>
          <cell r="C292">
            <v>32933</v>
          </cell>
          <cell r="D292">
            <v>60</v>
          </cell>
          <cell r="E292">
            <v>32933</v>
          </cell>
          <cell r="F292">
            <v>57</v>
          </cell>
          <cell r="G292">
            <v>34759</v>
          </cell>
          <cell r="H292">
            <v>55</v>
          </cell>
        </row>
        <row r="293">
          <cell r="A293">
            <v>31138</v>
          </cell>
          <cell r="B293">
            <v>62</v>
          </cell>
          <cell r="C293">
            <v>32964</v>
          </cell>
          <cell r="D293">
            <v>60</v>
          </cell>
          <cell r="E293">
            <v>32964</v>
          </cell>
          <cell r="F293">
            <v>57</v>
          </cell>
          <cell r="G293">
            <v>34790</v>
          </cell>
          <cell r="H293">
            <v>55</v>
          </cell>
        </row>
        <row r="294">
          <cell r="A294">
            <v>31168</v>
          </cell>
          <cell r="B294">
            <v>62</v>
          </cell>
          <cell r="C294">
            <v>32994</v>
          </cell>
          <cell r="D294">
            <v>60</v>
          </cell>
          <cell r="E294">
            <v>32994</v>
          </cell>
          <cell r="F294">
            <v>57</v>
          </cell>
          <cell r="G294">
            <v>34820</v>
          </cell>
          <cell r="H294">
            <v>55</v>
          </cell>
        </row>
        <row r="295">
          <cell r="A295">
            <v>31199</v>
          </cell>
          <cell r="B295">
            <v>62</v>
          </cell>
          <cell r="C295">
            <v>33025</v>
          </cell>
          <cell r="D295">
            <v>60</v>
          </cell>
          <cell r="E295">
            <v>33025</v>
          </cell>
          <cell r="F295">
            <v>57</v>
          </cell>
          <cell r="G295">
            <v>34851</v>
          </cell>
          <cell r="H295">
            <v>55</v>
          </cell>
        </row>
        <row r="296">
          <cell r="A296">
            <v>31229</v>
          </cell>
          <cell r="B296">
            <v>62</v>
          </cell>
          <cell r="C296">
            <v>33055</v>
          </cell>
          <cell r="D296">
            <v>60</v>
          </cell>
          <cell r="E296">
            <v>33055</v>
          </cell>
          <cell r="F296">
            <v>57</v>
          </cell>
          <cell r="G296">
            <v>34881</v>
          </cell>
          <cell r="H296">
            <v>55</v>
          </cell>
        </row>
        <row r="297">
          <cell r="A297">
            <v>31260</v>
          </cell>
          <cell r="B297">
            <v>62</v>
          </cell>
          <cell r="C297">
            <v>33086</v>
          </cell>
          <cell r="D297">
            <v>60</v>
          </cell>
          <cell r="E297">
            <v>33086</v>
          </cell>
          <cell r="F297">
            <v>57</v>
          </cell>
          <cell r="G297">
            <v>34912</v>
          </cell>
          <cell r="H297">
            <v>55</v>
          </cell>
        </row>
        <row r="298">
          <cell r="A298">
            <v>31291</v>
          </cell>
          <cell r="B298">
            <v>62</v>
          </cell>
          <cell r="C298">
            <v>33117</v>
          </cell>
          <cell r="D298">
            <v>60</v>
          </cell>
          <cell r="E298">
            <v>33117</v>
          </cell>
          <cell r="F298">
            <v>57</v>
          </cell>
          <cell r="G298">
            <v>34943</v>
          </cell>
          <cell r="H298">
            <v>55</v>
          </cell>
        </row>
        <row r="299">
          <cell r="A299">
            <v>31321</v>
          </cell>
          <cell r="B299">
            <v>62</v>
          </cell>
          <cell r="C299">
            <v>33147</v>
          </cell>
          <cell r="D299">
            <v>60</v>
          </cell>
          <cell r="E299">
            <v>33147</v>
          </cell>
          <cell r="F299">
            <v>57</v>
          </cell>
          <cell r="G299">
            <v>34973</v>
          </cell>
          <cell r="H299">
            <v>55</v>
          </cell>
        </row>
        <row r="300">
          <cell r="A300">
            <v>31352</v>
          </cell>
          <cell r="B300">
            <v>62</v>
          </cell>
          <cell r="C300">
            <v>33178</v>
          </cell>
          <cell r="D300">
            <v>60</v>
          </cell>
          <cell r="E300">
            <v>33178</v>
          </cell>
          <cell r="F300">
            <v>57</v>
          </cell>
          <cell r="G300">
            <v>35004</v>
          </cell>
          <cell r="H300">
            <v>55</v>
          </cell>
        </row>
        <row r="301">
          <cell r="A301">
            <v>31382</v>
          </cell>
          <cell r="B301">
            <v>62</v>
          </cell>
          <cell r="C301">
            <v>33208</v>
          </cell>
          <cell r="D301">
            <v>60</v>
          </cell>
          <cell r="E301">
            <v>33208</v>
          </cell>
          <cell r="F301">
            <v>57</v>
          </cell>
          <cell r="G301">
            <v>35034</v>
          </cell>
          <cell r="H301">
            <v>55</v>
          </cell>
        </row>
        <row r="302">
          <cell r="A302">
            <v>31413</v>
          </cell>
          <cell r="B302">
            <v>62</v>
          </cell>
          <cell r="C302">
            <v>33239</v>
          </cell>
          <cell r="D302">
            <v>60</v>
          </cell>
          <cell r="E302">
            <v>33239</v>
          </cell>
          <cell r="F302">
            <v>57</v>
          </cell>
          <cell r="G302">
            <v>35065</v>
          </cell>
          <cell r="H302">
            <v>55</v>
          </cell>
        </row>
        <row r="303">
          <cell r="A303">
            <v>31444</v>
          </cell>
          <cell r="B303">
            <v>62</v>
          </cell>
          <cell r="C303">
            <v>33270</v>
          </cell>
          <cell r="D303">
            <v>60</v>
          </cell>
          <cell r="E303">
            <v>33270</v>
          </cell>
          <cell r="F303">
            <v>57</v>
          </cell>
          <cell r="G303">
            <v>35096</v>
          </cell>
          <cell r="H303">
            <v>55</v>
          </cell>
        </row>
        <row r="304">
          <cell r="A304">
            <v>31472</v>
          </cell>
          <cell r="B304">
            <v>62</v>
          </cell>
          <cell r="C304">
            <v>33298</v>
          </cell>
          <cell r="D304">
            <v>60</v>
          </cell>
          <cell r="E304">
            <v>33298</v>
          </cell>
          <cell r="F304">
            <v>57</v>
          </cell>
          <cell r="G304">
            <v>35125</v>
          </cell>
          <cell r="H304">
            <v>55</v>
          </cell>
        </row>
        <row r="305">
          <cell r="A305">
            <v>31503</v>
          </cell>
          <cell r="B305">
            <v>62</v>
          </cell>
          <cell r="C305">
            <v>33329</v>
          </cell>
          <cell r="D305">
            <v>60</v>
          </cell>
          <cell r="E305">
            <v>33329</v>
          </cell>
          <cell r="F305">
            <v>57</v>
          </cell>
          <cell r="G305">
            <v>35156</v>
          </cell>
          <cell r="H305">
            <v>55</v>
          </cell>
        </row>
        <row r="306">
          <cell r="A306">
            <v>31533</v>
          </cell>
          <cell r="B306">
            <v>62</v>
          </cell>
          <cell r="C306">
            <v>33359</v>
          </cell>
          <cell r="D306">
            <v>60</v>
          </cell>
          <cell r="E306">
            <v>33359</v>
          </cell>
          <cell r="F306">
            <v>57</v>
          </cell>
          <cell r="G306">
            <v>35186</v>
          </cell>
          <cell r="H306">
            <v>55</v>
          </cell>
        </row>
        <row r="307">
          <cell r="A307">
            <v>31564</v>
          </cell>
          <cell r="B307">
            <v>62</v>
          </cell>
          <cell r="C307">
            <v>33390</v>
          </cell>
          <cell r="D307">
            <v>60</v>
          </cell>
          <cell r="E307">
            <v>33390</v>
          </cell>
          <cell r="F307">
            <v>57</v>
          </cell>
          <cell r="G307">
            <v>35217</v>
          </cell>
          <cell r="H307">
            <v>55</v>
          </cell>
        </row>
        <row r="308">
          <cell r="A308">
            <v>31594</v>
          </cell>
          <cell r="B308">
            <v>62</v>
          </cell>
          <cell r="C308">
            <v>33420</v>
          </cell>
          <cell r="D308">
            <v>60</v>
          </cell>
          <cell r="E308">
            <v>33420</v>
          </cell>
          <cell r="F308">
            <v>57</v>
          </cell>
          <cell r="G308">
            <v>35247</v>
          </cell>
          <cell r="H308">
            <v>55</v>
          </cell>
        </row>
        <row r="309">
          <cell r="A309">
            <v>31625</v>
          </cell>
          <cell r="B309">
            <v>62</v>
          </cell>
          <cell r="C309">
            <v>33451</v>
          </cell>
          <cell r="D309">
            <v>60</v>
          </cell>
          <cell r="E309">
            <v>33451</v>
          </cell>
          <cell r="F309">
            <v>57</v>
          </cell>
          <cell r="G309">
            <v>35278</v>
          </cell>
          <cell r="H309">
            <v>55</v>
          </cell>
        </row>
        <row r="310">
          <cell r="A310">
            <v>31656</v>
          </cell>
          <cell r="B310">
            <v>62</v>
          </cell>
          <cell r="C310">
            <v>33482</v>
          </cell>
          <cell r="D310">
            <v>60</v>
          </cell>
          <cell r="E310">
            <v>33482</v>
          </cell>
          <cell r="F310">
            <v>57</v>
          </cell>
          <cell r="G310">
            <v>35309</v>
          </cell>
          <cell r="H310">
            <v>55</v>
          </cell>
        </row>
        <row r="311">
          <cell r="A311">
            <v>31686</v>
          </cell>
          <cell r="B311">
            <v>62</v>
          </cell>
          <cell r="C311">
            <v>33512</v>
          </cell>
          <cell r="D311">
            <v>60</v>
          </cell>
          <cell r="E311">
            <v>33512</v>
          </cell>
          <cell r="F311">
            <v>57</v>
          </cell>
          <cell r="G311">
            <v>35339</v>
          </cell>
          <cell r="H311">
            <v>55</v>
          </cell>
        </row>
        <row r="312">
          <cell r="A312">
            <v>31717</v>
          </cell>
          <cell r="B312">
            <v>62</v>
          </cell>
          <cell r="C312">
            <v>33543</v>
          </cell>
          <cell r="D312">
            <v>60</v>
          </cell>
          <cell r="E312">
            <v>33543</v>
          </cell>
          <cell r="F312">
            <v>57</v>
          </cell>
          <cell r="G312">
            <v>35370</v>
          </cell>
          <cell r="H312">
            <v>55</v>
          </cell>
        </row>
        <row r="313">
          <cell r="A313">
            <v>31747</v>
          </cell>
          <cell r="B313">
            <v>62</v>
          </cell>
          <cell r="C313">
            <v>33573</v>
          </cell>
          <cell r="D313">
            <v>60</v>
          </cell>
          <cell r="E313">
            <v>33573</v>
          </cell>
          <cell r="F313">
            <v>57</v>
          </cell>
          <cell r="G313">
            <v>35400</v>
          </cell>
          <cell r="H313">
            <v>55</v>
          </cell>
        </row>
        <row r="314">
          <cell r="A314">
            <v>31778</v>
          </cell>
          <cell r="B314">
            <v>62</v>
          </cell>
          <cell r="C314">
            <v>33604</v>
          </cell>
          <cell r="D314">
            <v>60</v>
          </cell>
          <cell r="E314">
            <v>33604</v>
          </cell>
          <cell r="F314">
            <v>57</v>
          </cell>
          <cell r="G314">
            <v>35431</v>
          </cell>
          <cell r="H314">
            <v>55</v>
          </cell>
        </row>
        <row r="315">
          <cell r="A315">
            <v>31809</v>
          </cell>
          <cell r="B315">
            <v>62</v>
          </cell>
          <cell r="C315">
            <v>33635</v>
          </cell>
          <cell r="D315">
            <v>60</v>
          </cell>
          <cell r="E315">
            <v>33635</v>
          </cell>
          <cell r="F315">
            <v>57</v>
          </cell>
          <cell r="G315">
            <v>35462</v>
          </cell>
          <cell r="H315">
            <v>55</v>
          </cell>
        </row>
        <row r="316">
          <cell r="A316">
            <v>31837</v>
          </cell>
          <cell r="B316">
            <v>62</v>
          </cell>
          <cell r="C316">
            <v>33664</v>
          </cell>
          <cell r="D316">
            <v>60</v>
          </cell>
          <cell r="E316">
            <v>33664</v>
          </cell>
          <cell r="F316">
            <v>57</v>
          </cell>
          <cell r="G316">
            <v>35490</v>
          </cell>
          <cell r="H316">
            <v>55</v>
          </cell>
        </row>
        <row r="317">
          <cell r="A317">
            <v>31868</v>
          </cell>
          <cell r="B317">
            <v>62</v>
          </cell>
          <cell r="C317">
            <v>33695</v>
          </cell>
          <cell r="D317">
            <v>60</v>
          </cell>
          <cell r="E317">
            <v>33695</v>
          </cell>
          <cell r="F317">
            <v>57</v>
          </cell>
          <cell r="G317">
            <v>35521</v>
          </cell>
          <cell r="H317">
            <v>55</v>
          </cell>
        </row>
        <row r="318">
          <cell r="A318">
            <v>31898</v>
          </cell>
          <cell r="B318">
            <v>62</v>
          </cell>
          <cell r="C318">
            <v>33725</v>
          </cell>
          <cell r="D318">
            <v>60</v>
          </cell>
          <cell r="E318">
            <v>33725</v>
          </cell>
          <cell r="F318">
            <v>57</v>
          </cell>
          <cell r="G318">
            <v>35551</v>
          </cell>
          <cell r="H318">
            <v>55</v>
          </cell>
        </row>
        <row r="319">
          <cell r="A319">
            <v>31929</v>
          </cell>
          <cell r="B319">
            <v>62</v>
          </cell>
          <cell r="C319">
            <v>33756</v>
          </cell>
          <cell r="D319">
            <v>60</v>
          </cell>
          <cell r="E319">
            <v>33756</v>
          </cell>
          <cell r="F319">
            <v>57</v>
          </cell>
          <cell r="G319">
            <v>35582</v>
          </cell>
          <cell r="H319">
            <v>55</v>
          </cell>
        </row>
        <row r="320">
          <cell r="A320">
            <v>31959</v>
          </cell>
          <cell r="B320">
            <v>62</v>
          </cell>
          <cell r="C320">
            <v>33786</v>
          </cell>
          <cell r="D320">
            <v>60</v>
          </cell>
          <cell r="E320">
            <v>33786</v>
          </cell>
          <cell r="F320">
            <v>57</v>
          </cell>
          <cell r="G320">
            <v>35612</v>
          </cell>
          <cell r="H320">
            <v>55</v>
          </cell>
        </row>
        <row r="321">
          <cell r="A321">
            <v>31990</v>
          </cell>
          <cell r="B321">
            <v>62</v>
          </cell>
          <cell r="C321">
            <v>33817</v>
          </cell>
          <cell r="D321">
            <v>60</v>
          </cell>
          <cell r="E321">
            <v>33817</v>
          </cell>
          <cell r="F321">
            <v>57</v>
          </cell>
          <cell r="G321">
            <v>35643</v>
          </cell>
          <cell r="H321">
            <v>55</v>
          </cell>
        </row>
        <row r="322">
          <cell r="A322">
            <v>32021</v>
          </cell>
          <cell r="B322">
            <v>62</v>
          </cell>
          <cell r="C322">
            <v>33848</v>
          </cell>
          <cell r="D322">
            <v>60</v>
          </cell>
          <cell r="E322">
            <v>33848</v>
          </cell>
          <cell r="F322">
            <v>57</v>
          </cell>
          <cell r="G322">
            <v>35674</v>
          </cell>
          <cell r="H322">
            <v>55</v>
          </cell>
        </row>
        <row r="323">
          <cell r="A323">
            <v>32051</v>
          </cell>
          <cell r="B323">
            <v>62</v>
          </cell>
          <cell r="C323">
            <v>33878</v>
          </cell>
          <cell r="D323">
            <v>60</v>
          </cell>
          <cell r="E323">
            <v>33878</v>
          </cell>
          <cell r="F323">
            <v>57</v>
          </cell>
          <cell r="G323">
            <v>35704</v>
          </cell>
          <cell r="H323">
            <v>55</v>
          </cell>
        </row>
        <row r="324">
          <cell r="A324">
            <v>32082</v>
          </cell>
          <cell r="B324">
            <v>62</v>
          </cell>
          <cell r="C324">
            <v>33909</v>
          </cell>
          <cell r="D324">
            <v>60</v>
          </cell>
          <cell r="E324">
            <v>33909</v>
          </cell>
          <cell r="F324">
            <v>57</v>
          </cell>
          <cell r="G324">
            <v>35735</v>
          </cell>
          <cell r="H324">
            <v>55</v>
          </cell>
        </row>
        <row r="325">
          <cell r="A325">
            <v>32112</v>
          </cell>
          <cell r="B325">
            <v>62</v>
          </cell>
          <cell r="C325">
            <v>33939</v>
          </cell>
          <cell r="D325">
            <v>60</v>
          </cell>
          <cell r="E325">
            <v>33939</v>
          </cell>
          <cell r="F325">
            <v>57</v>
          </cell>
          <cell r="G325">
            <v>35765</v>
          </cell>
          <cell r="H325">
            <v>55</v>
          </cell>
        </row>
        <row r="326">
          <cell r="A326">
            <v>32143</v>
          </cell>
          <cell r="B326">
            <v>62</v>
          </cell>
          <cell r="C326">
            <v>33970</v>
          </cell>
          <cell r="D326">
            <v>60</v>
          </cell>
          <cell r="E326">
            <v>33970</v>
          </cell>
          <cell r="F326">
            <v>57</v>
          </cell>
          <cell r="G326">
            <v>35796</v>
          </cell>
          <cell r="H326">
            <v>55</v>
          </cell>
        </row>
        <row r="327">
          <cell r="A327">
            <v>32174</v>
          </cell>
          <cell r="B327">
            <v>62</v>
          </cell>
          <cell r="C327">
            <v>34001</v>
          </cell>
          <cell r="D327">
            <v>60</v>
          </cell>
          <cell r="E327">
            <v>34001</v>
          </cell>
          <cell r="F327">
            <v>57</v>
          </cell>
          <cell r="G327">
            <v>35827</v>
          </cell>
          <cell r="H327">
            <v>55</v>
          </cell>
        </row>
        <row r="328">
          <cell r="A328">
            <v>32203</v>
          </cell>
          <cell r="B328">
            <v>62</v>
          </cell>
          <cell r="C328">
            <v>34029</v>
          </cell>
          <cell r="D328">
            <v>60</v>
          </cell>
          <cell r="E328">
            <v>34029</v>
          </cell>
          <cell r="F328">
            <v>57</v>
          </cell>
          <cell r="G328">
            <v>35855</v>
          </cell>
          <cell r="H328">
            <v>55</v>
          </cell>
        </row>
        <row r="329">
          <cell r="A329">
            <v>32234</v>
          </cell>
          <cell r="B329">
            <v>62</v>
          </cell>
          <cell r="C329">
            <v>34060</v>
          </cell>
          <cell r="D329">
            <v>60</v>
          </cell>
          <cell r="E329">
            <v>34060</v>
          </cell>
          <cell r="F329">
            <v>57</v>
          </cell>
          <cell r="G329">
            <v>35886</v>
          </cell>
          <cell r="H329">
            <v>55</v>
          </cell>
        </row>
        <row r="330">
          <cell r="A330">
            <v>32264</v>
          </cell>
          <cell r="B330">
            <v>62</v>
          </cell>
          <cell r="C330">
            <v>34090</v>
          </cell>
          <cell r="D330">
            <v>60</v>
          </cell>
          <cell r="E330">
            <v>34090</v>
          </cell>
          <cell r="F330">
            <v>57</v>
          </cell>
          <cell r="G330">
            <v>35916</v>
          </cell>
          <cell r="H330">
            <v>55</v>
          </cell>
        </row>
        <row r="331">
          <cell r="A331">
            <v>32295</v>
          </cell>
          <cell r="B331">
            <v>62</v>
          </cell>
          <cell r="C331">
            <v>34121</v>
          </cell>
          <cell r="D331">
            <v>60</v>
          </cell>
          <cell r="E331">
            <v>34121</v>
          </cell>
          <cell r="F331">
            <v>57</v>
          </cell>
          <cell r="G331">
            <v>35947</v>
          </cell>
          <cell r="H331">
            <v>55</v>
          </cell>
        </row>
        <row r="332">
          <cell r="A332">
            <v>32325</v>
          </cell>
          <cell r="B332">
            <v>62</v>
          </cell>
          <cell r="C332">
            <v>34151</v>
          </cell>
          <cell r="D332">
            <v>60</v>
          </cell>
          <cell r="E332">
            <v>34151</v>
          </cell>
          <cell r="F332">
            <v>57</v>
          </cell>
          <cell r="G332">
            <v>35977</v>
          </cell>
          <cell r="H332">
            <v>55</v>
          </cell>
        </row>
        <row r="333">
          <cell r="A333">
            <v>32356</v>
          </cell>
          <cell r="B333">
            <v>62</v>
          </cell>
          <cell r="C333">
            <v>34182</v>
          </cell>
          <cell r="D333">
            <v>60</v>
          </cell>
          <cell r="E333">
            <v>34182</v>
          </cell>
          <cell r="F333">
            <v>57</v>
          </cell>
          <cell r="G333">
            <v>36008</v>
          </cell>
          <cell r="H333">
            <v>55</v>
          </cell>
        </row>
        <row r="334">
          <cell r="A334">
            <v>32387</v>
          </cell>
          <cell r="B334">
            <v>62</v>
          </cell>
          <cell r="C334">
            <v>34213</v>
          </cell>
          <cell r="D334">
            <v>60</v>
          </cell>
          <cell r="E334">
            <v>34213</v>
          </cell>
          <cell r="F334">
            <v>57</v>
          </cell>
          <cell r="G334">
            <v>36039</v>
          </cell>
          <cell r="H334">
            <v>55</v>
          </cell>
        </row>
        <row r="335">
          <cell r="A335">
            <v>32417</v>
          </cell>
          <cell r="B335">
            <v>62</v>
          </cell>
          <cell r="C335">
            <v>34243</v>
          </cell>
          <cell r="D335">
            <v>60</v>
          </cell>
          <cell r="E335">
            <v>34243</v>
          </cell>
          <cell r="F335">
            <v>57</v>
          </cell>
          <cell r="G335">
            <v>36069</v>
          </cell>
          <cell r="H335">
            <v>55</v>
          </cell>
        </row>
        <row r="336">
          <cell r="A336">
            <v>32448</v>
          </cell>
          <cell r="B336">
            <v>62</v>
          </cell>
          <cell r="C336">
            <v>34274</v>
          </cell>
          <cell r="D336">
            <v>60</v>
          </cell>
          <cell r="E336">
            <v>34274</v>
          </cell>
          <cell r="F336">
            <v>57</v>
          </cell>
          <cell r="G336">
            <v>36100</v>
          </cell>
          <cell r="H336">
            <v>55</v>
          </cell>
        </row>
        <row r="337">
          <cell r="A337">
            <v>32478</v>
          </cell>
          <cell r="B337">
            <v>62</v>
          </cell>
          <cell r="C337">
            <v>34304</v>
          </cell>
          <cell r="D337">
            <v>60</v>
          </cell>
          <cell r="E337">
            <v>34304</v>
          </cell>
          <cell r="F337">
            <v>57</v>
          </cell>
          <cell r="G337">
            <v>36130</v>
          </cell>
          <cell r="H337">
            <v>55</v>
          </cell>
        </row>
        <row r="338">
          <cell r="A338">
            <v>32509</v>
          </cell>
          <cell r="B338">
            <v>62</v>
          </cell>
          <cell r="C338">
            <v>34335</v>
          </cell>
          <cell r="D338">
            <v>60</v>
          </cell>
          <cell r="E338">
            <v>34335</v>
          </cell>
          <cell r="F338">
            <v>57</v>
          </cell>
          <cell r="G338">
            <v>36161</v>
          </cell>
          <cell r="H338">
            <v>55</v>
          </cell>
        </row>
        <row r="339">
          <cell r="A339">
            <v>32540</v>
          </cell>
          <cell r="B339">
            <v>62</v>
          </cell>
          <cell r="C339">
            <v>34366</v>
          </cell>
          <cell r="D339">
            <v>60</v>
          </cell>
          <cell r="E339">
            <v>34366</v>
          </cell>
          <cell r="F339">
            <v>57</v>
          </cell>
          <cell r="G339">
            <v>36192</v>
          </cell>
          <cell r="H339">
            <v>55</v>
          </cell>
        </row>
        <row r="340">
          <cell r="A340">
            <v>32568</v>
          </cell>
          <cell r="B340">
            <v>62</v>
          </cell>
          <cell r="C340">
            <v>34394</v>
          </cell>
          <cell r="D340">
            <v>60</v>
          </cell>
          <cell r="E340">
            <v>34394</v>
          </cell>
          <cell r="F340">
            <v>57</v>
          </cell>
          <cell r="G340">
            <v>36220</v>
          </cell>
          <cell r="H340">
            <v>55</v>
          </cell>
        </row>
        <row r="341">
          <cell r="A341">
            <v>32599</v>
          </cell>
          <cell r="B341">
            <v>62</v>
          </cell>
          <cell r="C341">
            <v>34425</v>
          </cell>
          <cell r="D341">
            <v>60</v>
          </cell>
          <cell r="E341">
            <v>34425</v>
          </cell>
          <cell r="F341">
            <v>57</v>
          </cell>
          <cell r="G341">
            <v>36251</v>
          </cell>
          <cell r="H341">
            <v>55</v>
          </cell>
        </row>
        <row r="342">
          <cell r="A342">
            <v>32629</v>
          </cell>
          <cell r="B342">
            <v>62</v>
          </cell>
          <cell r="C342">
            <v>34455</v>
          </cell>
          <cell r="D342">
            <v>60</v>
          </cell>
          <cell r="E342">
            <v>34455</v>
          </cell>
          <cell r="F342">
            <v>57</v>
          </cell>
          <cell r="G342">
            <v>36281</v>
          </cell>
          <cell r="H342">
            <v>55</v>
          </cell>
        </row>
        <row r="343">
          <cell r="A343">
            <v>32660</v>
          </cell>
          <cell r="B343">
            <v>62</v>
          </cell>
          <cell r="C343">
            <v>34486</v>
          </cell>
          <cell r="D343">
            <v>60</v>
          </cell>
          <cell r="E343">
            <v>34486</v>
          </cell>
          <cell r="F343">
            <v>57</v>
          </cell>
          <cell r="G343">
            <v>36312</v>
          </cell>
          <cell r="H343">
            <v>55</v>
          </cell>
        </row>
        <row r="344">
          <cell r="A344">
            <v>32690</v>
          </cell>
          <cell r="B344">
            <v>62</v>
          </cell>
          <cell r="C344">
            <v>34516</v>
          </cell>
          <cell r="D344">
            <v>60</v>
          </cell>
          <cell r="E344">
            <v>34516</v>
          </cell>
          <cell r="F344">
            <v>57</v>
          </cell>
          <cell r="G344">
            <v>36342</v>
          </cell>
          <cell r="H344">
            <v>55</v>
          </cell>
        </row>
        <row r="345">
          <cell r="A345">
            <v>32721</v>
          </cell>
          <cell r="B345">
            <v>62</v>
          </cell>
          <cell r="C345">
            <v>34547</v>
          </cell>
          <cell r="D345">
            <v>60</v>
          </cell>
          <cell r="E345">
            <v>34547</v>
          </cell>
          <cell r="F345">
            <v>57</v>
          </cell>
          <cell r="G345">
            <v>36373</v>
          </cell>
          <cell r="H345">
            <v>55</v>
          </cell>
        </row>
        <row r="346">
          <cell r="A346">
            <v>32752</v>
          </cell>
          <cell r="B346">
            <v>62</v>
          </cell>
          <cell r="C346">
            <v>34578</v>
          </cell>
          <cell r="D346">
            <v>60</v>
          </cell>
          <cell r="E346">
            <v>34578</v>
          </cell>
          <cell r="F346">
            <v>57</v>
          </cell>
          <cell r="G346">
            <v>36404</v>
          </cell>
          <cell r="H346">
            <v>55</v>
          </cell>
        </row>
        <row r="347">
          <cell r="A347">
            <v>32782</v>
          </cell>
          <cell r="B347">
            <v>62</v>
          </cell>
          <cell r="C347">
            <v>34608</v>
          </cell>
          <cell r="D347">
            <v>60</v>
          </cell>
          <cell r="E347">
            <v>34608</v>
          </cell>
          <cell r="F347">
            <v>57</v>
          </cell>
          <cell r="G347">
            <v>36434</v>
          </cell>
          <cell r="H347">
            <v>55</v>
          </cell>
        </row>
        <row r="348">
          <cell r="A348">
            <v>32813</v>
          </cell>
          <cell r="B348">
            <v>62</v>
          </cell>
          <cell r="C348">
            <v>34639</v>
          </cell>
          <cell r="D348">
            <v>60</v>
          </cell>
          <cell r="E348">
            <v>34639</v>
          </cell>
          <cell r="F348">
            <v>57</v>
          </cell>
          <cell r="G348">
            <v>36465</v>
          </cell>
          <cell r="H348">
            <v>55</v>
          </cell>
        </row>
        <row r="349">
          <cell r="A349">
            <v>32843</v>
          </cell>
          <cell r="B349">
            <v>62</v>
          </cell>
          <cell r="C349">
            <v>34669</v>
          </cell>
          <cell r="D349">
            <v>60</v>
          </cell>
          <cell r="E349">
            <v>34669</v>
          </cell>
          <cell r="F349">
            <v>57</v>
          </cell>
          <cell r="G349">
            <v>36495</v>
          </cell>
          <cell r="H349">
            <v>55</v>
          </cell>
        </row>
        <row r="350">
          <cell r="A350">
            <v>32874</v>
          </cell>
          <cell r="B350">
            <v>62</v>
          </cell>
          <cell r="C350">
            <v>34700</v>
          </cell>
          <cell r="D350">
            <v>60</v>
          </cell>
          <cell r="E350">
            <v>34700</v>
          </cell>
          <cell r="F350">
            <v>57</v>
          </cell>
          <cell r="G350">
            <v>36526</v>
          </cell>
          <cell r="H350">
            <v>55</v>
          </cell>
        </row>
        <row r="351">
          <cell r="A351">
            <v>32905</v>
          </cell>
          <cell r="B351">
            <v>62</v>
          </cell>
          <cell r="C351">
            <v>34731</v>
          </cell>
          <cell r="D351">
            <v>60</v>
          </cell>
          <cell r="E351">
            <v>34731</v>
          </cell>
          <cell r="F351">
            <v>57</v>
          </cell>
          <cell r="G351">
            <v>36557</v>
          </cell>
          <cell r="H351">
            <v>55</v>
          </cell>
        </row>
        <row r="352">
          <cell r="A352">
            <v>32933</v>
          </cell>
          <cell r="B352">
            <v>62</v>
          </cell>
          <cell r="C352">
            <v>34759</v>
          </cell>
          <cell r="D352">
            <v>60</v>
          </cell>
          <cell r="E352">
            <v>34759</v>
          </cell>
          <cell r="F352">
            <v>57</v>
          </cell>
          <cell r="G352">
            <v>36586</v>
          </cell>
          <cell r="H352">
            <v>55</v>
          </cell>
        </row>
        <row r="353">
          <cell r="A353">
            <v>32964</v>
          </cell>
          <cell r="B353">
            <v>62</v>
          </cell>
          <cell r="C353">
            <v>34790</v>
          </cell>
          <cell r="D353">
            <v>60</v>
          </cell>
          <cell r="E353">
            <v>34790</v>
          </cell>
          <cell r="F353">
            <v>57</v>
          </cell>
          <cell r="G353">
            <v>36617</v>
          </cell>
          <cell r="H353">
            <v>55</v>
          </cell>
        </row>
        <row r="354">
          <cell r="A354">
            <v>32994</v>
          </cell>
          <cell r="B354">
            <v>62</v>
          </cell>
          <cell r="C354">
            <v>34820</v>
          </cell>
          <cell r="D354">
            <v>60</v>
          </cell>
          <cell r="E354">
            <v>34820</v>
          </cell>
          <cell r="F354">
            <v>57</v>
          </cell>
          <cell r="G354">
            <v>36647</v>
          </cell>
          <cell r="H354">
            <v>55</v>
          </cell>
        </row>
        <row r="355">
          <cell r="A355">
            <v>33025</v>
          </cell>
          <cell r="B355">
            <v>62</v>
          </cell>
          <cell r="C355">
            <v>34851</v>
          </cell>
          <cell r="D355">
            <v>60</v>
          </cell>
          <cell r="E355">
            <v>34851</v>
          </cell>
          <cell r="F355">
            <v>57</v>
          </cell>
          <cell r="G355">
            <v>36678</v>
          </cell>
          <cell r="H355">
            <v>55</v>
          </cell>
        </row>
        <row r="356">
          <cell r="A356">
            <v>33055</v>
          </cell>
          <cell r="B356">
            <v>62</v>
          </cell>
          <cell r="C356">
            <v>34881</v>
          </cell>
          <cell r="D356">
            <v>60</v>
          </cell>
          <cell r="E356">
            <v>34881</v>
          </cell>
          <cell r="F356">
            <v>57</v>
          </cell>
          <cell r="G356">
            <v>36708</v>
          </cell>
          <cell r="H356">
            <v>55</v>
          </cell>
        </row>
        <row r="357">
          <cell r="A357">
            <v>33086</v>
          </cell>
          <cell r="B357">
            <v>62</v>
          </cell>
          <cell r="C357">
            <v>34912</v>
          </cell>
          <cell r="D357">
            <v>60</v>
          </cell>
          <cell r="E357">
            <v>34912</v>
          </cell>
          <cell r="F357">
            <v>57</v>
          </cell>
          <cell r="G357">
            <v>36739</v>
          </cell>
          <cell r="H357">
            <v>55</v>
          </cell>
        </row>
        <row r="358">
          <cell r="A358">
            <v>33117</v>
          </cell>
          <cell r="B358">
            <v>62</v>
          </cell>
          <cell r="C358">
            <v>34943</v>
          </cell>
          <cell r="D358">
            <v>60</v>
          </cell>
          <cell r="E358">
            <v>34943</v>
          </cell>
          <cell r="F358">
            <v>57</v>
          </cell>
          <cell r="G358">
            <v>36770</v>
          </cell>
          <cell r="H358">
            <v>55</v>
          </cell>
        </row>
        <row r="359">
          <cell r="A359">
            <v>33147</v>
          </cell>
          <cell r="B359">
            <v>62</v>
          </cell>
          <cell r="C359">
            <v>34973</v>
          </cell>
          <cell r="D359">
            <v>60</v>
          </cell>
          <cell r="E359">
            <v>34973</v>
          </cell>
          <cell r="F359">
            <v>57</v>
          </cell>
          <cell r="G359">
            <v>36800</v>
          </cell>
          <cell r="H359">
            <v>55</v>
          </cell>
        </row>
        <row r="360">
          <cell r="A360">
            <v>33178</v>
          </cell>
          <cell r="B360">
            <v>62</v>
          </cell>
          <cell r="C360">
            <v>35004</v>
          </cell>
          <cell r="D360">
            <v>60</v>
          </cell>
          <cell r="E360">
            <v>35004</v>
          </cell>
          <cell r="F360">
            <v>57</v>
          </cell>
          <cell r="G360">
            <v>36831</v>
          </cell>
          <cell r="H360">
            <v>55</v>
          </cell>
        </row>
        <row r="361">
          <cell r="A361">
            <v>33208</v>
          </cell>
          <cell r="B361">
            <v>62</v>
          </cell>
          <cell r="C361">
            <v>35034</v>
          </cell>
          <cell r="D361">
            <v>60</v>
          </cell>
          <cell r="E361">
            <v>35034</v>
          </cell>
          <cell r="F361">
            <v>57</v>
          </cell>
          <cell r="G361">
            <v>36861</v>
          </cell>
          <cell r="H361">
            <v>55</v>
          </cell>
        </row>
        <row r="362">
          <cell r="A362">
            <v>33239</v>
          </cell>
          <cell r="B362">
            <v>62</v>
          </cell>
          <cell r="C362">
            <v>35065</v>
          </cell>
          <cell r="D362">
            <v>60</v>
          </cell>
          <cell r="E362">
            <v>35065</v>
          </cell>
          <cell r="F362">
            <v>57</v>
          </cell>
          <cell r="G362">
            <v>36892</v>
          </cell>
          <cell r="H362">
            <v>55</v>
          </cell>
        </row>
        <row r="363">
          <cell r="A363">
            <v>33270</v>
          </cell>
          <cell r="B363">
            <v>62</v>
          </cell>
          <cell r="C363">
            <v>35096</v>
          </cell>
          <cell r="D363">
            <v>60</v>
          </cell>
          <cell r="E363">
            <v>35096</v>
          </cell>
          <cell r="F363">
            <v>57</v>
          </cell>
          <cell r="G363">
            <v>36923</v>
          </cell>
          <cell r="H363">
            <v>55</v>
          </cell>
        </row>
        <row r="364">
          <cell r="A364">
            <v>33298</v>
          </cell>
          <cell r="B364">
            <v>62</v>
          </cell>
          <cell r="C364">
            <v>35125</v>
          </cell>
          <cell r="D364">
            <v>60</v>
          </cell>
          <cell r="E364">
            <v>35125</v>
          </cell>
          <cell r="F364">
            <v>57</v>
          </cell>
          <cell r="G364">
            <v>36951</v>
          </cell>
          <cell r="H364">
            <v>55</v>
          </cell>
        </row>
        <row r="365">
          <cell r="A365">
            <v>33329</v>
          </cell>
          <cell r="B365">
            <v>62</v>
          </cell>
          <cell r="C365">
            <v>35156</v>
          </cell>
          <cell r="D365">
            <v>60</v>
          </cell>
          <cell r="E365">
            <v>35156</v>
          </cell>
          <cell r="F365">
            <v>57</v>
          </cell>
          <cell r="G365">
            <v>36982</v>
          </cell>
          <cell r="H365">
            <v>55</v>
          </cell>
        </row>
        <row r="366">
          <cell r="A366">
            <v>33359</v>
          </cell>
          <cell r="B366">
            <v>62</v>
          </cell>
          <cell r="C366">
            <v>35186</v>
          </cell>
          <cell r="D366">
            <v>60</v>
          </cell>
          <cell r="E366">
            <v>35186</v>
          </cell>
          <cell r="F366">
            <v>57</v>
          </cell>
          <cell r="G366">
            <v>37012</v>
          </cell>
          <cell r="H366">
            <v>55</v>
          </cell>
        </row>
        <row r="367">
          <cell r="A367">
            <v>33390</v>
          </cell>
          <cell r="B367">
            <v>62</v>
          </cell>
          <cell r="C367">
            <v>35217</v>
          </cell>
          <cell r="D367">
            <v>60</v>
          </cell>
          <cell r="E367">
            <v>35217</v>
          </cell>
          <cell r="F367">
            <v>57</v>
          </cell>
          <cell r="G367">
            <v>37043</v>
          </cell>
          <cell r="H367">
            <v>55</v>
          </cell>
        </row>
        <row r="368">
          <cell r="A368">
            <v>33420</v>
          </cell>
          <cell r="B368">
            <v>62</v>
          </cell>
          <cell r="C368">
            <v>35247</v>
          </cell>
          <cell r="D368">
            <v>60</v>
          </cell>
          <cell r="E368">
            <v>35247</v>
          </cell>
          <cell r="F368">
            <v>57</v>
          </cell>
          <cell r="G368">
            <v>37073</v>
          </cell>
          <cell r="H368">
            <v>55</v>
          </cell>
        </row>
        <row r="369">
          <cell r="A369">
            <v>33451</v>
          </cell>
          <cell r="B369">
            <v>62</v>
          </cell>
          <cell r="C369">
            <v>35278</v>
          </cell>
          <cell r="D369">
            <v>60</v>
          </cell>
          <cell r="E369">
            <v>35278</v>
          </cell>
          <cell r="F369">
            <v>57</v>
          </cell>
          <cell r="G369">
            <v>37104</v>
          </cell>
          <cell r="H369">
            <v>55</v>
          </cell>
        </row>
        <row r="370">
          <cell r="A370">
            <v>33482</v>
          </cell>
          <cell r="B370">
            <v>62</v>
          </cell>
          <cell r="C370">
            <v>35309</v>
          </cell>
          <cell r="D370">
            <v>60</v>
          </cell>
          <cell r="E370">
            <v>35309</v>
          </cell>
          <cell r="F370">
            <v>57</v>
          </cell>
          <cell r="G370">
            <v>37135</v>
          </cell>
          <cell r="H370">
            <v>55</v>
          </cell>
        </row>
        <row r="371">
          <cell r="A371">
            <v>33512</v>
          </cell>
          <cell r="B371">
            <v>62</v>
          </cell>
          <cell r="C371">
            <v>35339</v>
          </cell>
          <cell r="D371">
            <v>60</v>
          </cell>
          <cell r="E371">
            <v>35339</v>
          </cell>
          <cell r="F371">
            <v>57</v>
          </cell>
          <cell r="G371">
            <v>37165</v>
          </cell>
          <cell r="H371">
            <v>55</v>
          </cell>
        </row>
        <row r="372">
          <cell r="A372">
            <v>33543</v>
          </cell>
          <cell r="B372">
            <v>62</v>
          </cell>
          <cell r="C372">
            <v>35370</v>
          </cell>
          <cell r="D372">
            <v>60</v>
          </cell>
          <cell r="E372">
            <v>35370</v>
          </cell>
          <cell r="F372">
            <v>57</v>
          </cell>
          <cell r="G372">
            <v>37196</v>
          </cell>
          <cell r="H372">
            <v>55</v>
          </cell>
        </row>
        <row r="373">
          <cell r="A373">
            <v>33573</v>
          </cell>
          <cell r="B373">
            <v>62</v>
          </cell>
          <cell r="C373">
            <v>35400</v>
          </cell>
          <cell r="D373">
            <v>60</v>
          </cell>
          <cell r="E373">
            <v>35400</v>
          </cell>
          <cell r="F373">
            <v>57</v>
          </cell>
          <cell r="G373">
            <v>37226</v>
          </cell>
          <cell r="H373">
            <v>55</v>
          </cell>
        </row>
        <row r="374">
          <cell r="A374">
            <v>33604</v>
          </cell>
          <cell r="B374">
            <v>62</v>
          </cell>
          <cell r="C374">
            <v>35431</v>
          </cell>
          <cell r="D374">
            <v>60</v>
          </cell>
          <cell r="E374">
            <v>35431</v>
          </cell>
          <cell r="F374">
            <v>57</v>
          </cell>
          <cell r="G374">
            <v>37257</v>
          </cell>
          <cell r="H374">
            <v>55</v>
          </cell>
        </row>
        <row r="375">
          <cell r="A375">
            <v>33635</v>
          </cell>
          <cell r="B375">
            <v>62</v>
          </cell>
          <cell r="C375">
            <v>35462</v>
          </cell>
          <cell r="D375">
            <v>60</v>
          </cell>
          <cell r="E375">
            <v>35462</v>
          </cell>
          <cell r="F375">
            <v>57</v>
          </cell>
          <cell r="G375">
            <v>37288</v>
          </cell>
          <cell r="H375">
            <v>55</v>
          </cell>
        </row>
        <row r="376">
          <cell r="A376">
            <v>33664</v>
          </cell>
          <cell r="B376">
            <v>62</v>
          </cell>
          <cell r="C376">
            <v>35490</v>
          </cell>
          <cell r="D376">
            <v>60</v>
          </cell>
          <cell r="E376">
            <v>35490</v>
          </cell>
          <cell r="F376">
            <v>57</v>
          </cell>
          <cell r="G376">
            <v>37316</v>
          </cell>
          <cell r="H376">
            <v>55</v>
          </cell>
        </row>
        <row r="377">
          <cell r="A377">
            <v>33695</v>
          </cell>
          <cell r="B377">
            <v>62</v>
          </cell>
          <cell r="C377">
            <v>35521</v>
          </cell>
          <cell r="D377">
            <v>60</v>
          </cell>
          <cell r="E377">
            <v>35521</v>
          </cell>
          <cell r="F377">
            <v>57</v>
          </cell>
          <cell r="G377">
            <v>37347</v>
          </cell>
          <cell r="H377">
            <v>55</v>
          </cell>
        </row>
        <row r="378">
          <cell r="A378">
            <v>33725</v>
          </cell>
          <cell r="B378">
            <v>62</v>
          </cell>
          <cell r="C378">
            <v>35551</v>
          </cell>
          <cell r="D378">
            <v>60</v>
          </cell>
          <cell r="E378">
            <v>35551</v>
          </cell>
          <cell r="F378">
            <v>57</v>
          </cell>
          <cell r="G378">
            <v>37377</v>
          </cell>
          <cell r="H378">
            <v>55</v>
          </cell>
        </row>
        <row r="379">
          <cell r="A379">
            <v>33756</v>
          </cell>
          <cell r="B379">
            <v>62</v>
          </cell>
          <cell r="C379">
            <v>35582</v>
          </cell>
          <cell r="D379">
            <v>60</v>
          </cell>
          <cell r="E379">
            <v>35582</v>
          </cell>
          <cell r="F379">
            <v>57</v>
          </cell>
          <cell r="G379">
            <v>37408</v>
          </cell>
          <cell r="H379">
            <v>55</v>
          </cell>
        </row>
        <row r="380">
          <cell r="A380">
            <v>33786</v>
          </cell>
          <cell r="B380">
            <v>62</v>
          </cell>
          <cell r="C380">
            <v>35612</v>
          </cell>
          <cell r="D380">
            <v>60</v>
          </cell>
          <cell r="E380">
            <v>35612</v>
          </cell>
          <cell r="F380">
            <v>57</v>
          </cell>
          <cell r="G380">
            <v>37438</v>
          </cell>
          <cell r="H380">
            <v>55</v>
          </cell>
        </row>
        <row r="381">
          <cell r="A381">
            <v>33817</v>
          </cell>
          <cell r="B381">
            <v>62</v>
          </cell>
          <cell r="C381">
            <v>35643</v>
          </cell>
          <cell r="D381">
            <v>60</v>
          </cell>
          <cell r="E381">
            <v>35643</v>
          </cell>
          <cell r="F381">
            <v>57</v>
          </cell>
          <cell r="G381">
            <v>37469</v>
          </cell>
          <cell r="H381">
            <v>55</v>
          </cell>
        </row>
        <row r="382">
          <cell r="A382">
            <v>33848</v>
          </cell>
          <cell r="B382">
            <v>62</v>
          </cell>
          <cell r="C382">
            <v>35674</v>
          </cell>
          <cell r="D382">
            <v>60</v>
          </cell>
          <cell r="E382">
            <v>35674</v>
          </cell>
          <cell r="F382">
            <v>57</v>
          </cell>
          <cell r="G382">
            <v>37500</v>
          </cell>
          <cell r="H382">
            <v>55</v>
          </cell>
        </row>
        <row r="383">
          <cell r="A383">
            <v>33878</v>
          </cell>
          <cell r="B383">
            <v>62</v>
          </cell>
          <cell r="C383">
            <v>35704</v>
          </cell>
          <cell r="D383">
            <v>60</v>
          </cell>
          <cell r="E383">
            <v>35704</v>
          </cell>
          <cell r="F383">
            <v>57</v>
          </cell>
          <cell r="G383">
            <v>37530</v>
          </cell>
          <cell r="H383">
            <v>55</v>
          </cell>
        </row>
        <row r="384">
          <cell r="A384">
            <v>33909</v>
          </cell>
          <cell r="B384">
            <v>62</v>
          </cell>
          <cell r="C384">
            <v>35735</v>
          </cell>
          <cell r="D384">
            <v>60</v>
          </cell>
          <cell r="E384">
            <v>35735</v>
          </cell>
          <cell r="F384">
            <v>57</v>
          </cell>
          <cell r="G384">
            <v>37561</v>
          </cell>
          <cell r="H384">
            <v>55</v>
          </cell>
        </row>
        <row r="385">
          <cell r="A385">
            <v>33939</v>
          </cell>
          <cell r="B385">
            <v>62</v>
          </cell>
          <cell r="C385">
            <v>35765</v>
          </cell>
          <cell r="D385">
            <v>60</v>
          </cell>
          <cell r="E385">
            <v>35765</v>
          </cell>
          <cell r="F385">
            <v>57</v>
          </cell>
          <cell r="G385">
            <v>37591</v>
          </cell>
          <cell r="H385">
            <v>55</v>
          </cell>
        </row>
        <row r="386">
          <cell r="A386">
            <v>33970</v>
          </cell>
          <cell r="B386">
            <v>62</v>
          </cell>
          <cell r="C386">
            <v>35796</v>
          </cell>
          <cell r="D386">
            <v>60</v>
          </cell>
          <cell r="E386">
            <v>35796</v>
          </cell>
          <cell r="F386">
            <v>57</v>
          </cell>
          <cell r="G386">
            <v>37622</v>
          </cell>
          <cell r="H386">
            <v>55</v>
          </cell>
        </row>
        <row r="387">
          <cell r="A387">
            <v>34001</v>
          </cell>
          <cell r="B387">
            <v>62</v>
          </cell>
          <cell r="C387">
            <v>35827</v>
          </cell>
          <cell r="D387">
            <v>60</v>
          </cell>
          <cell r="E387">
            <v>35827</v>
          </cell>
          <cell r="F387">
            <v>57</v>
          </cell>
          <cell r="G387">
            <v>37653</v>
          </cell>
          <cell r="H387">
            <v>55</v>
          </cell>
        </row>
        <row r="388">
          <cell r="A388">
            <v>34029</v>
          </cell>
          <cell r="B388">
            <v>62</v>
          </cell>
          <cell r="C388">
            <v>35855</v>
          </cell>
          <cell r="D388">
            <v>60</v>
          </cell>
          <cell r="E388">
            <v>35855</v>
          </cell>
          <cell r="F388">
            <v>57</v>
          </cell>
          <cell r="G388">
            <v>37681</v>
          </cell>
          <cell r="H388">
            <v>55</v>
          </cell>
        </row>
        <row r="389">
          <cell r="A389">
            <v>34060</v>
          </cell>
          <cell r="B389">
            <v>62</v>
          </cell>
          <cell r="C389">
            <v>35886</v>
          </cell>
          <cell r="D389">
            <v>60</v>
          </cell>
          <cell r="E389">
            <v>35886</v>
          </cell>
          <cell r="F389">
            <v>57</v>
          </cell>
          <cell r="G389">
            <v>37712</v>
          </cell>
          <cell r="H389">
            <v>55</v>
          </cell>
        </row>
        <row r="390">
          <cell r="A390">
            <v>34090</v>
          </cell>
          <cell r="B390">
            <v>62</v>
          </cell>
          <cell r="C390">
            <v>35916</v>
          </cell>
          <cell r="D390">
            <v>60</v>
          </cell>
          <cell r="E390">
            <v>35916</v>
          </cell>
          <cell r="F390">
            <v>57</v>
          </cell>
          <cell r="G390">
            <v>37742</v>
          </cell>
          <cell r="H390">
            <v>55</v>
          </cell>
        </row>
        <row r="391">
          <cell r="A391">
            <v>34121</v>
          </cell>
          <cell r="B391">
            <v>62</v>
          </cell>
          <cell r="C391">
            <v>35947</v>
          </cell>
          <cell r="D391">
            <v>60</v>
          </cell>
          <cell r="E391">
            <v>35947</v>
          </cell>
          <cell r="F391">
            <v>57</v>
          </cell>
          <cell r="G391">
            <v>37773</v>
          </cell>
          <cell r="H391">
            <v>55</v>
          </cell>
        </row>
        <row r="392">
          <cell r="A392">
            <v>34151</v>
          </cell>
          <cell r="B392">
            <v>62</v>
          </cell>
          <cell r="C392">
            <v>35977</v>
          </cell>
          <cell r="D392">
            <v>60</v>
          </cell>
          <cell r="E392">
            <v>35977</v>
          </cell>
          <cell r="F392">
            <v>57</v>
          </cell>
          <cell r="G392">
            <v>37803</v>
          </cell>
          <cell r="H392">
            <v>55</v>
          </cell>
        </row>
        <row r="393">
          <cell r="A393">
            <v>34182</v>
          </cell>
          <cell r="B393">
            <v>62</v>
          </cell>
          <cell r="C393">
            <v>36008</v>
          </cell>
          <cell r="D393">
            <v>60</v>
          </cell>
          <cell r="E393">
            <v>36008</v>
          </cell>
          <cell r="F393">
            <v>57</v>
          </cell>
          <cell r="G393">
            <v>37834</v>
          </cell>
          <cell r="H393">
            <v>55</v>
          </cell>
        </row>
        <row r="394">
          <cell r="A394">
            <v>34213</v>
          </cell>
          <cell r="B394">
            <v>62</v>
          </cell>
          <cell r="C394">
            <v>36039</v>
          </cell>
          <cell r="D394">
            <v>60</v>
          </cell>
          <cell r="E394">
            <v>36039</v>
          </cell>
          <cell r="F394">
            <v>57</v>
          </cell>
          <cell r="G394">
            <v>37865</v>
          </cell>
          <cell r="H394">
            <v>55</v>
          </cell>
        </row>
        <row r="395">
          <cell r="A395">
            <v>34243</v>
          </cell>
          <cell r="B395">
            <v>62</v>
          </cell>
          <cell r="C395">
            <v>36069</v>
          </cell>
          <cell r="D395">
            <v>60</v>
          </cell>
          <cell r="E395">
            <v>36069</v>
          </cell>
          <cell r="F395">
            <v>57</v>
          </cell>
          <cell r="G395">
            <v>37895</v>
          </cell>
          <cell r="H395">
            <v>55</v>
          </cell>
        </row>
        <row r="396">
          <cell r="A396">
            <v>34274</v>
          </cell>
          <cell r="B396">
            <v>62</v>
          </cell>
          <cell r="C396">
            <v>36100</v>
          </cell>
          <cell r="D396">
            <v>60</v>
          </cell>
          <cell r="E396">
            <v>36100</v>
          </cell>
          <cell r="F396">
            <v>57</v>
          </cell>
          <cell r="G396">
            <v>37926</v>
          </cell>
          <cell r="H396">
            <v>55</v>
          </cell>
        </row>
        <row r="397">
          <cell r="A397">
            <v>34304</v>
          </cell>
          <cell r="B397">
            <v>62</v>
          </cell>
          <cell r="C397">
            <v>36130</v>
          </cell>
          <cell r="D397">
            <v>60</v>
          </cell>
          <cell r="E397">
            <v>36130</v>
          </cell>
          <cell r="F397">
            <v>57</v>
          </cell>
          <cell r="G397">
            <v>37956</v>
          </cell>
          <cell r="H397">
            <v>55</v>
          </cell>
        </row>
        <row r="398">
          <cell r="A398">
            <v>34335</v>
          </cell>
          <cell r="B398">
            <v>62</v>
          </cell>
          <cell r="C398">
            <v>36161</v>
          </cell>
          <cell r="D398">
            <v>60</v>
          </cell>
          <cell r="E398">
            <v>36161</v>
          </cell>
          <cell r="F398">
            <v>57</v>
          </cell>
          <cell r="G398">
            <v>37987</v>
          </cell>
          <cell r="H398">
            <v>55</v>
          </cell>
        </row>
        <row r="399">
          <cell r="A399">
            <v>34366</v>
          </cell>
          <cell r="B399">
            <v>62</v>
          </cell>
          <cell r="C399">
            <v>36192</v>
          </cell>
          <cell r="D399">
            <v>60</v>
          </cell>
          <cell r="E399">
            <v>36192</v>
          </cell>
          <cell r="F399">
            <v>57</v>
          </cell>
          <cell r="G399">
            <v>38018</v>
          </cell>
          <cell r="H399">
            <v>55</v>
          </cell>
        </row>
        <row r="400">
          <cell r="A400">
            <v>34394</v>
          </cell>
          <cell r="B400">
            <v>62</v>
          </cell>
          <cell r="C400">
            <v>36220</v>
          </cell>
          <cell r="D400">
            <v>60</v>
          </cell>
          <cell r="E400">
            <v>36220</v>
          </cell>
          <cell r="F400">
            <v>57</v>
          </cell>
          <cell r="G400">
            <v>38047</v>
          </cell>
          <cell r="H400">
            <v>55</v>
          </cell>
        </row>
        <row r="401">
          <cell r="A401">
            <v>34425</v>
          </cell>
          <cell r="B401">
            <v>62</v>
          </cell>
          <cell r="C401">
            <v>36251</v>
          </cell>
          <cell r="D401">
            <v>60</v>
          </cell>
          <cell r="E401">
            <v>36251</v>
          </cell>
          <cell r="F401">
            <v>57</v>
          </cell>
          <cell r="G401">
            <v>38078</v>
          </cell>
          <cell r="H401">
            <v>55</v>
          </cell>
        </row>
        <row r="402">
          <cell r="A402">
            <v>34455</v>
          </cell>
          <cell r="B402">
            <v>62</v>
          </cell>
          <cell r="C402">
            <v>36281</v>
          </cell>
          <cell r="D402">
            <v>60</v>
          </cell>
          <cell r="E402">
            <v>36281</v>
          </cell>
          <cell r="F402">
            <v>57</v>
          </cell>
          <cell r="G402">
            <v>38108</v>
          </cell>
          <cell r="H402">
            <v>55</v>
          </cell>
        </row>
        <row r="403">
          <cell r="A403">
            <v>34486</v>
          </cell>
          <cell r="B403">
            <v>62</v>
          </cell>
          <cell r="C403">
            <v>36312</v>
          </cell>
          <cell r="D403">
            <v>60</v>
          </cell>
          <cell r="E403">
            <v>36312</v>
          </cell>
          <cell r="F403">
            <v>57</v>
          </cell>
          <cell r="G403">
            <v>38139</v>
          </cell>
          <cell r="H403">
            <v>55</v>
          </cell>
        </row>
        <row r="404">
          <cell r="A404">
            <v>34516</v>
          </cell>
          <cell r="B404">
            <v>62</v>
          </cell>
          <cell r="C404">
            <v>36342</v>
          </cell>
          <cell r="D404">
            <v>60</v>
          </cell>
          <cell r="E404">
            <v>36342</v>
          </cell>
          <cell r="F404">
            <v>57</v>
          </cell>
          <cell r="G404">
            <v>38169</v>
          </cell>
          <cell r="H404">
            <v>55</v>
          </cell>
        </row>
        <row r="405">
          <cell r="A405">
            <v>34547</v>
          </cell>
          <cell r="B405">
            <v>62</v>
          </cell>
          <cell r="C405">
            <v>36373</v>
          </cell>
          <cell r="D405">
            <v>60</v>
          </cell>
          <cell r="E405">
            <v>36373</v>
          </cell>
          <cell r="F405">
            <v>57</v>
          </cell>
          <cell r="G405">
            <v>38200</v>
          </cell>
          <cell r="H405">
            <v>55</v>
          </cell>
        </row>
        <row r="406">
          <cell r="A406">
            <v>34578</v>
          </cell>
          <cell r="B406">
            <v>62</v>
          </cell>
          <cell r="C406">
            <v>36404</v>
          </cell>
          <cell r="D406">
            <v>60</v>
          </cell>
          <cell r="E406">
            <v>36404</v>
          </cell>
          <cell r="F406">
            <v>57</v>
          </cell>
          <cell r="G406">
            <v>38231</v>
          </cell>
          <cell r="H406">
            <v>55</v>
          </cell>
        </row>
        <row r="407">
          <cell r="A407">
            <v>34608</v>
          </cell>
          <cell r="B407">
            <v>62</v>
          </cell>
          <cell r="C407">
            <v>36434</v>
          </cell>
          <cell r="D407">
            <v>60</v>
          </cell>
          <cell r="E407">
            <v>36434</v>
          </cell>
          <cell r="F407">
            <v>57</v>
          </cell>
          <cell r="G407">
            <v>38261</v>
          </cell>
          <cell r="H407">
            <v>55</v>
          </cell>
        </row>
        <row r="408">
          <cell r="A408">
            <v>34639</v>
          </cell>
          <cell r="B408">
            <v>62</v>
          </cell>
          <cell r="C408">
            <v>36465</v>
          </cell>
          <cell r="D408">
            <v>60</v>
          </cell>
          <cell r="E408">
            <v>36465</v>
          </cell>
          <cell r="F408">
            <v>57</v>
          </cell>
          <cell r="G408">
            <v>38292</v>
          </cell>
          <cell r="H408">
            <v>55</v>
          </cell>
        </row>
        <row r="409">
          <cell r="A409">
            <v>34669</v>
          </cell>
          <cell r="B409">
            <v>62</v>
          </cell>
          <cell r="C409">
            <v>36495</v>
          </cell>
          <cell r="D409">
            <v>60</v>
          </cell>
          <cell r="E409">
            <v>36495</v>
          </cell>
          <cell r="F409">
            <v>57</v>
          </cell>
          <cell r="G409">
            <v>38322</v>
          </cell>
          <cell r="H409">
            <v>55</v>
          </cell>
        </row>
        <row r="410">
          <cell r="A410">
            <v>34700</v>
          </cell>
          <cell r="B410">
            <v>62</v>
          </cell>
          <cell r="C410">
            <v>36526</v>
          </cell>
          <cell r="D410">
            <v>60</v>
          </cell>
          <cell r="E410">
            <v>36526</v>
          </cell>
          <cell r="F410">
            <v>57</v>
          </cell>
          <cell r="G410">
            <v>38353</v>
          </cell>
          <cell r="H410">
            <v>55</v>
          </cell>
        </row>
        <row r="411">
          <cell r="A411">
            <v>34731</v>
          </cell>
          <cell r="B411">
            <v>62</v>
          </cell>
          <cell r="C411">
            <v>36557</v>
          </cell>
          <cell r="D411">
            <v>60</v>
          </cell>
          <cell r="E411">
            <v>36557</v>
          </cell>
          <cell r="F411">
            <v>57</v>
          </cell>
          <cell r="G411">
            <v>38384</v>
          </cell>
          <cell r="H411">
            <v>55</v>
          </cell>
        </row>
        <row r="412">
          <cell r="A412">
            <v>34759</v>
          </cell>
          <cell r="B412">
            <v>62</v>
          </cell>
          <cell r="C412">
            <v>36586</v>
          </cell>
          <cell r="D412">
            <v>60</v>
          </cell>
          <cell r="E412">
            <v>36586</v>
          </cell>
          <cell r="F412">
            <v>57</v>
          </cell>
          <cell r="G412">
            <v>38412</v>
          </cell>
          <cell r="H412">
            <v>55</v>
          </cell>
        </row>
        <row r="413">
          <cell r="A413">
            <v>34790</v>
          </cell>
          <cell r="B413">
            <v>62</v>
          </cell>
          <cell r="C413">
            <v>36617</v>
          </cell>
          <cell r="D413">
            <v>60</v>
          </cell>
          <cell r="E413">
            <v>36617</v>
          </cell>
          <cell r="F413">
            <v>57</v>
          </cell>
          <cell r="G413">
            <v>38443</v>
          </cell>
          <cell r="H413">
            <v>55</v>
          </cell>
        </row>
        <row r="414">
          <cell r="A414">
            <v>34820</v>
          </cell>
          <cell r="B414">
            <v>62</v>
          </cell>
          <cell r="C414">
            <v>36647</v>
          </cell>
          <cell r="D414">
            <v>60</v>
          </cell>
          <cell r="E414">
            <v>36647</v>
          </cell>
          <cell r="F414">
            <v>57</v>
          </cell>
          <cell r="G414">
            <v>38473</v>
          </cell>
          <cell r="H414">
            <v>55</v>
          </cell>
        </row>
        <row r="415">
          <cell r="A415">
            <v>34851</v>
          </cell>
          <cell r="B415">
            <v>62</v>
          </cell>
          <cell r="C415">
            <v>36678</v>
          </cell>
          <cell r="D415">
            <v>60</v>
          </cell>
          <cell r="E415">
            <v>36678</v>
          </cell>
          <cell r="F415">
            <v>57</v>
          </cell>
          <cell r="G415">
            <v>38504</v>
          </cell>
          <cell r="H415">
            <v>55</v>
          </cell>
        </row>
        <row r="416">
          <cell r="A416">
            <v>34881</v>
          </cell>
          <cell r="B416">
            <v>62</v>
          </cell>
          <cell r="C416">
            <v>36708</v>
          </cell>
          <cell r="D416">
            <v>60</v>
          </cell>
          <cell r="E416">
            <v>36708</v>
          </cell>
          <cell r="F416">
            <v>57</v>
          </cell>
          <cell r="G416">
            <v>38534</v>
          </cell>
          <cell r="H416">
            <v>55</v>
          </cell>
        </row>
        <row r="417">
          <cell r="A417">
            <v>34912</v>
          </cell>
          <cell r="B417">
            <v>62</v>
          </cell>
          <cell r="C417">
            <v>36739</v>
          </cell>
          <cell r="D417">
            <v>60</v>
          </cell>
          <cell r="E417">
            <v>36739</v>
          </cell>
          <cell r="F417">
            <v>57</v>
          </cell>
          <cell r="G417">
            <v>38565</v>
          </cell>
          <cell r="H417">
            <v>55</v>
          </cell>
        </row>
        <row r="418">
          <cell r="A418">
            <v>34943</v>
          </cell>
          <cell r="B418">
            <v>62</v>
          </cell>
          <cell r="C418">
            <v>36770</v>
          </cell>
          <cell r="D418">
            <v>60</v>
          </cell>
          <cell r="E418">
            <v>36770</v>
          </cell>
          <cell r="F418">
            <v>57</v>
          </cell>
          <cell r="G418">
            <v>38596</v>
          </cell>
          <cell r="H418">
            <v>55</v>
          </cell>
        </row>
        <row r="419">
          <cell r="A419">
            <v>34973</v>
          </cell>
          <cell r="B419">
            <v>62</v>
          </cell>
          <cell r="C419">
            <v>36800</v>
          </cell>
          <cell r="D419">
            <v>60</v>
          </cell>
          <cell r="E419">
            <v>36800</v>
          </cell>
          <cell r="F419">
            <v>57</v>
          </cell>
          <cell r="G419">
            <v>38626</v>
          </cell>
          <cell r="H419">
            <v>55</v>
          </cell>
        </row>
        <row r="420">
          <cell r="A420">
            <v>35004</v>
          </cell>
          <cell r="B420">
            <v>62</v>
          </cell>
          <cell r="C420">
            <v>36831</v>
          </cell>
          <cell r="D420">
            <v>60</v>
          </cell>
          <cell r="E420">
            <v>36831</v>
          </cell>
          <cell r="F420">
            <v>57</v>
          </cell>
          <cell r="G420">
            <v>38657</v>
          </cell>
          <cell r="H420">
            <v>55</v>
          </cell>
        </row>
        <row r="421">
          <cell r="A421">
            <v>35034</v>
          </cell>
          <cell r="B421">
            <v>62</v>
          </cell>
          <cell r="C421">
            <v>36861</v>
          </cell>
          <cell r="D421">
            <v>60</v>
          </cell>
          <cell r="E421">
            <v>36861</v>
          </cell>
          <cell r="F421">
            <v>57</v>
          </cell>
          <cell r="G421">
            <v>38687</v>
          </cell>
          <cell r="H421">
            <v>55</v>
          </cell>
        </row>
        <row r="422">
          <cell r="A422">
            <v>35065</v>
          </cell>
          <cell r="B422">
            <v>62</v>
          </cell>
          <cell r="C422">
            <v>36892</v>
          </cell>
          <cell r="D422">
            <v>60</v>
          </cell>
          <cell r="E422">
            <v>36892</v>
          </cell>
          <cell r="F422">
            <v>57</v>
          </cell>
          <cell r="G422">
            <v>38718</v>
          </cell>
          <cell r="H422">
            <v>55</v>
          </cell>
        </row>
        <row r="423">
          <cell r="A423">
            <v>35096</v>
          </cell>
          <cell r="B423">
            <v>62</v>
          </cell>
          <cell r="C423">
            <v>36923</v>
          </cell>
          <cell r="D423">
            <v>60</v>
          </cell>
          <cell r="E423">
            <v>36923</v>
          </cell>
          <cell r="F423">
            <v>57</v>
          </cell>
          <cell r="G423">
            <v>38749</v>
          </cell>
          <cell r="H423">
            <v>55</v>
          </cell>
        </row>
        <row r="424">
          <cell r="A424">
            <v>35125</v>
          </cell>
          <cell r="B424">
            <v>62</v>
          </cell>
          <cell r="C424">
            <v>36951</v>
          </cell>
          <cell r="D424">
            <v>60</v>
          </cell>
          <cell r="E424">
            <v>36951</v>
          </cell>
          <cell r="F424">
            <v>57</v>
          </cell>
          <cell r="G424">
            <v>38777</v>
          </cell>
          <cell r="H424">
            <v>55</v>
          </cell>
        </row>
        <row r="425">
          <cell r="A425">
            <v>35156</v>
          </cell>
          <cell r="B425">
            <v>62</v>
          </cell>
          <cell r="C425">
            <v>36982</v>
          </cell>
          <cell r="D425">
            <v>60</v>
          </cell>
          <cell r="E425">
            <v>36982</v>
          </cell>
          <cell r="F425">
            <v>57</v>
          </cell>
          <cell r="G425">
            <v>38808</v>
          </cell>
          <cell r="H425">
            <v>55</v>
          </cell>
        </row>
        <row r="426">
          <cell r="A426">
            <v>35186</v>
          </cell>
          <cell r="B426">
            <v>62</v>
          </cell>
          <cell r="C426">
            <v>37012</v>
          </cell>
          <cell r="D426">
            <v>60</v>
          </cell>
          <cell r="E426">
            <v>37012</v>
          </cell>
          <cell r="F426">
            <v>57</v>
          </cell>
          <cell r="G426">
            <v>38838</v>
          </cell>
          <cell r="H426">
            <v>55</v>
          </cell>
        </row>
        <row r="427">
          <cell r="A427">
            <v>35217</v>
          </cell>
          <cell r="B427">
            <v>62</v>
          </cell>
          <cell r="C427">
            <v>37043</v>
          </cell>
          <cell r="D427">
            <v>60</v>
          </cell>
          <cell r="E427">
            <v>37043</v>
          </cell>
          <cell r="F427">
            <v>57</v>
          </cell>
          <cell r="G427">
            <v>38869</v>
          </cell>
          <cell r="H427">
            <v>55</v>
          </cell>
        </row>
        <row r="428">
          <cell r="A428">
            <v>35247</v>
          </cell>
          <cell r="B428">
            <v>62</v>
          </cell>
          <cell r="C428">
            <v>37073</v>
          </cell>
          <cell r="D428">
            <v>60</v>
          </cell>
          <cell r="E428">
            <v>37073</v>
          </cell>
          <cell r="F428">
            <v>57</v>
          </cell>
          <cell r="G428">
            <v>38899</v>
          </cell>
          <cell r="H428">
            <v>55</v>
          </cell>
        </row>
        <row r="429">
          <cell r="A429">
            <v>35278</v>
          </cell>
          <cell r="B429">
            <v>62</v>
          </cell>
          <cell r="C429">
            <v>37104</v>
          </cell>
          <cell r="D429">
            <v>60</v>
          </cell>
          <cell r="E429">
            <v>37104</v>
          </cell>
          <cell r="F429">
            <v>57</v>
          </cell>
          <cell r="G429">
            <v>38930</v>
          </cell>
          <cell r="H429">
            <v>55</v>
          </cell>
        </row>
        <row r="430">
          <cell r="A430">
            <v>35309</v>
          </cell>
          <cell r="B430">
            <v>62</v>
          </cell>
          <cell r="C430">
            <v>37135</v>
          </cell>
          <cell r="D430">
            <v>60</v>
          </cell>
          <cell r="E430">
            <v>37135</v>
          </cell>
          <cell r="F430">
            <v>57</v>
          </cell>
          <cell r="G430">
            <v>38961</v>
          </cell>
          <cell r="H430">
            <v>55</v>
          </cell>
        </row>
        <row r="431">
          <cell r="A431">
            <v>35339</v>
          </cell>
          <cell r="B431">
            <v>62</v>
          </cell>
          <cell r="C431">
            <v>37165</v>
          </cell>
          <cell r="D431">
            <v>60</v>
          </cell>
          <cell r="E431">
            <v>37165</v>
          </cell>
          <cell r="F431">
            <v>57</v>
          </cell>
          <cell r="G431">
            <v>38991</v>
          </cell>
          <cell r="H431">
            <v>55</v>
          </cell>
        </row>
        <row r="432">
          <cell r="A432">
            <v>35370</v>
          </cell>
          <cell r="B432">
            <v>62</v>
          </cell>
          <cell r="C432">
            <v>37196</v>
          </cell>
          <cell r="D432">
            <v>60</v>
          </cell>
          <cell r="E432">
            <v>37196</v>
          </cell>
          <cell r="F432">
            <v>57</v>
          </cell>
          <cell r="G432">
            <v>39022</v>
          </cell>
          <cell r="H432">
            <v>55</v>
          </cell>
        </row>
        <row r="433">
          <cell r="A433">
            <v>35400</v>
          </cell>
          <cell r="B433">
            <v>62</v>
          </cell>
          <cell r="C433">
            <v>37226</v>
          </cell>
          <cell r="D433">
            <v>60</v>
          </cell>
          <cell r="E433">
            <v>37226</v>
          </cell>
          <cell r="F433">
            <v>57</v>
          </cell>
          <cell r="G433">
            <v>39052</v>
          </cell>
          <cell r="H433">
            <v>55</v>
          </cell>
        </row>
        <row r="434">
          <cell r="A434">
            <v>35431</v>
          </cell>
          <cell r="B434">
            <v>62</v>
          </cell>
          <cell r="C434">
            <v>37257</v>
          </cell>
          <cell r="D434">
            <v>60</v>
          </cell>
          <cell r="E434">
            <v>37257</v>
          </cell>
          <cell r="F434">
            <v>57</v>
          </cell>
          <cell r="G434">
            <v>39083</v>
          </cell>
          <cell r="H434">
            <v>55</v>
          </cell>
        </row>
        <row r="435">
          <cell r="A435">
            <v>35462</v>
          </cell>
          <cell r="B435">
            <v>62</v>
          </cell>
          <cell r="C435">
            <v>37288</v>
          </cell>
          <cell r="D435">
            <v>60</v>
          </cell>
          <cell r="E435">
            <v>37288</v>
          </cell>
          <cell r="F435">
            <v>57</v>
          </cell>
          <cell r="G435">
            <v>39114</v>
          </cell>
          <cell r="H435">
            <v>55</v>
          </cell>
        </row>
        <row r="436">
          <cell r="A436">
            <v>35490</v>
          </cell>
          <cell r="B436">
            <v>62</v>
          </cell>
          <cell r="C436">
            <v>37316</v>
          </cell>
          <cell r="D436">
            <v>60</v>
          </cell>
          <cell r="E436">
            <v>37316</v>
          </cell>
          <cell r="F436">
            <v>57</v>
          </cell>
          <cell r="G436">
            <v>39142</v>
          </cell>
          <cell r="H436">
            <v>55</v>
          </cell>
        </row>
        <row r="437">
          <cell r="A437">
            <v>35521</v>
          </cell>
          <cell r="B437">
            <v>62</v>
          </cell>
          <cell r="C437">
            <v>37347</v>
          </cell>
          <cell r="D437">
            <v>60</v>
          </cell>
          <cell r="E437">
            <v>37347</v>
          </cell>
          <cell r="F437">
            <v>57</v>
          </cell>
          <cell r="G437">
            <v>39173</v>
          </cell>
          <cell r="H437">
            <v>55</v>
          </cell>
        </row>
        <row r="438">
          <cell r="A438">
            <v>35551</v>
          </cell>
          <cell r="B438">
            <v>62</v>
          </cell>
          <cell r="C438">
            <v>37377</v>
          </cell>
          <cell r="D438">
            <v>60</v>
          </cell>
          <cell r="E438">
            <v>37377</v>
          </cell>
          <cell r="F438">
            <v>57</v>
          </cell>
          <cell r="G438">
            <v>39203</v>
          </cell>
          <cell r="H438">
            <v>55</v>
          </cell>
        </row>
        <row r="439">
          <cell r="A439">
            <v>35582</v>
          </cell>
          <cell r="B439">
            <v>62</v>
          </cell>
          <cell r="C439">
            <v>37408</v>
          </cell>
          <cell r="D439">
            <v>60</v>
          </cell>
          <cell r="E439">
            <v>37408</v>
          </cell>
          <cell r="F439">
            <v>57</v>
          </cell>
          <cell r="G439">
            <v>39234</v>
          </cell>
          <cell r="H439">
            <v>55</v>
          </cell>
        </row>
        <row r="440">
          <cell r="A440">
            <v>35612</v>
          </cell>
          <cell r="B440">
            <v>62</v>
          </cell>
          <cell r="C440">
            <v>37438</v>
          </cell>
          <cell r="D440">
            <v>60</v>
          </cell>
          <cell r="E440">
            <v>37438</v>
          </cell>
          <cell r="F440">
            <v>57</v>
          </cell>
          <cell r="G440">
            <v>39264</v>
          </cell>
          <cell r="H440">
            <v>55</v>
          </cell>
        </row>
        <row r="441">
          <cell r="A441">
            <v>35643</v>
          </cell>
          <cell r="B441">
            <v>62</v>
          </cell>
          <cell r="C441">
            <v>37469</v>
          </cell>
          <cell r="D441">
            <v>60</v>
          </cell>
          <cell r="E441">
            <v>37469</v>
          </cell>
          <cell r="F441">
            <v>57</v>
          </cell>
          <cell r="G441">
            <v>39295</v>
          </cell>
          <cell r="H441">
            <v>55</v>
          </cell>
        </row>
        <row r="442">
          <cell r="A442">
            <v>35674</v>
          </cell>
          <cell r="B442">
            <v>62</v>
          </cell>
          <cell r="C442">
            <v>37500</v>
          </cell>
          <cell r="D442">
            <v>60</v>
          </cell>
          <cell r="E442">
            <v>37500</v>
          </cell>
          <cell r="F442">
            <v>57</v>
          </cell>
          <cell r="G442">
            <v>39326</v>
          </cell>
          <cell r="H442">
            <v>55</v>
          </cell>
        </row>
        <row r="443">
          <cell r="A443">
            <v>35704</v>
          </cell>
          <cell r="B443">
            <v>62</v>
          </cell>
          <cell r="C443">
            <v>37530</v>
          </cell>
          <cell r="D443">
            <v>60</v>
          </cell>
          <cell r="E443">
            <v>37530</v>
          </cell>
          <cell r="F443">
            <v>57</v>
          </cell>
          <cell r="G443">
            <v>39356</v>
          </cell>
          <cell r="H443">
            <v>55</v>
          </cell>
        </row>
        <row r="444">
          <cell r="A444">
            <v>35735</v>
          </cell>
          <cell r="B444">
            <v>62</v>
          </cell>
          <cell r="C444">
            <v>37561</v>
          </cell>
          <cell r="D444">
            <v>60</v>
          </cell>
          <cell r="E444">
            <v>37561</v>
          </cell>
          <cell r="F444">
            <v>57</v>
          </cell>
          <cell r="G444">
            <v>39387</v>
          </cell>
          <cell r="H444">
            <v>55</v>
          </cell>
        </row>
        <row r="445">
          <cell r="A445">
            <v>35765</v>
          </cell>
          <cell r="B445">
            <v>62</v>
          </cell>
          <cell r="C445">
            <v>37591</v>
          </cell>
          <cell r="D445">
            <v>60</v>
          </cell>
          <cell r="E445">
            <v>37591</v>
          </cell>
          <cell r="F445">
            <v>57</v>
          </cell>
          <cell r="G445">
            <v>39417</v>
          </cell>
          <cell r="H445">
            <v>55</v>
          </cell>
        </row>
        <row r="446">
          <cell r="A446">
            <v>35796</v>
          </cell>
          <cell r="B446">
            <v>62</v>
          </cell>
          <cell r="C446">
            <v>37622</v>
          </cell>
          <cell r="D446">
            <v>60</v>
          </cell>
          <cell r="E446">
            <v>37622</v>
          </cell>
          <cell r="F446">
            <v>57</v>
          </cell>
          <cell r="G446">
            <v>39448</v>
          </cell>
          <cell r="H446">
            <v>55</v>
          </cell>
        </row>
        <row r="447">
          <cell r="A447">
            <v>35827</v>
          </cell>
          <cell r="B447">
            <v>62</v>
          </cell>
          <cell r="C447">
            <v>37653</v>
          </cell>
          <cell r="D447">
            <v>60</v>
          </cell>
          <cell r="E447">
            <v>37653</v>
          </cell>
          <cell r="F447">
            <v>57</v>
          </cell>
          <cell r="G447">
            <v>39479</v>
          </cell>
          <cell r="H447">
            <v>55</v>
          </cell>
        </row>
        <row r="448">
          <cell r="A448">
            <v>35855</v>
          </cell>
          <cell r="B448">
            <v>62</v>
          </cell>
          <cell r="C448">
            <v>37681</v>
          </cell>
          <cell r="D448">
            <v>60</v>
          </cell>
          <cell r="E448">
            <v>37681</v>
          </cell>
          <cell r="F448">
            <v>57</v>
          </cell>
          <cell r="G448">
            <v>39508</v>
          </cell>
          <cell r="H448">
            <v>55</v>
          </cell>
        </row>
        <row r="449">
          <cell r="A449">
            <v>35886</v>
          </cell>
          <cell r="B449">
            <v>62</v>
          </cell>
          <cell r="C449">
            <v>37712</v>
          </cell>
          <cell r="D449">
            <v>60</v>
          </cell>
          <cell r="E449">
            <v>37712</v>
          </cell>
          <cell r="F449">
            <v>57</v>
          </cell>
          <cell r="G449">
            <v>39539</v>
          </cell>
          <cell r="H449">
            <v>55</v>
          </cell>
        </row>
        <row r="450">
          <cell r="A450">
            <v>35916</v>
          </cell>
          <cell r="B450">
            <v>62</v>
          </cell>
          <cell r="C450">
            <v>37742</v>
          </cell>
          <cell r="D450">
            <v>60</v>
          </cell>
          <cell r="E450">
            <v>37742</v>
          </cell>
          <cell r="F450">
            <v>57</v>
          </cell>
          <cell r="G450">
            <v>39569</v>
          </cell>
          <cell r="H450">
            <v>55</v>
          </cell>
        </row>
        <row r="451">
          <cell r="A451">
            <v>35947</v>
          </cell>
          <cell r="B451">
            <v>62</v>
          </cell>
          <cell r="C451">
            <v>37773</v>
          </cell>
          <cell r="D451">
            <v>60</v>
          </cell>
          <cell r="E451">
            <v>37773</v>
          </cell>
          <cell r="F451">
            <v>57</v>
          </cell>
          <cell r="G451">
            <v>39600</v>
          </cell>
          <cell r="H451">
            <v>55</v>
          </cell>
        </row>
        <row r="452">
          <cell r="A452">
            <v>35977</v>
          </cell>
          <cell r="B452">
            <v>62</v>
          </cell>
          <cell r="C452">
            <v>37803</v>
          </cell>
          <cell r="D452">
            <v>60</v>
          </cell>
          <cell r="E452">
            <v>37803</v>
          </cell>
          <cell r="F452">
            <v>57</v>
          </cell>
          <cell r="G452">
            <v>39630</v>
          </cell>
          <cell r="H452">
            <v>55</v>
          </cell>
        </row>
        <row r="453">
          <cell r="A453">
            <v>36008</v>
          </cell>
          <cell r="B453">
            <v>62</v>
          </cell>
          <cell r="C453">
            <v>37834</v>
          </cell>
          <cell r="D453">
            <v>60</v>
          </cell>
          <cell r="E453">
            <v>37834</v>
          </cell>
          <cell r="F453">
            <v>57</v>
          </cell>
          <cell r="G453">
            <v>39661</v>
          </cell>
          <cell r="H453">
            <v>55</v>
          </cell>
        </row>
        <row r="454">
          <cell r="A454">
            <v>36039</v>
          </cell>
          <cell r="B454">
            <v>62</v>
          </cell>
          <cell r="C454">
            <v>37865</v>
          </cell>
          <cell r="D454">
            <v>60</v>
          </cell>
          <cell r="E454">
            <v>37865</v>
          </cell>
          <cell r="F454">
            <v>57</v>
          </cell>
          <cell r="G454">
            <v>39692</v>
          </cell>
          <cell r="H454">
            <v>55</v>
          </cell>
        </row>
        <row r="455">
          <cell r="A455">
            <v>36069</v>
          </cell>
          <cell r="B455">
            <v>62</v>
          </cell>
          <cell r="C455">
            <v>37895</v>
          </cell>
          <cell r="D455">
            <v>60</v>
          </cell>
          <cell r="E455">
            <v>37895</v>
          </cell>
          <cell r="F455">
            <v>57</v>
          </cell>
          <cell r="G455">
            <v>39722</v>
          </cell>
          <cell r="H455">
            <v>55</v>
          </cell>
        </row>
        <row r="456">
          <cell r="A456">
            <v>36100</v>
          </cell>
          <cell r="B456">
            <v>62</v>
          </cell>
          <cell r="C456">
            <v>37926</v>
          </cell>
          <cell r="D456">
            <v>60</v>
          </cell>
          <cell r="E456">
            <v>37926</v>
          </cell>
          <cell r="F456">
            <v>57</v>
          </cell>
          <cell r="G456">
            <v>39753</v>
          </cell>
          <cell r="H456">
            <v>55</v>
          </cell>
        </row>
        <row r="457">
          <cell r="A457">
            <v>36130</v>
          </cell>
          <cell r="B457">
            <v>62</v>
          </cell>
          <cell r="C457">
            <v>37956</v>
          </cell>
          <cell r="D457">
            <v>60</v>
          </cell>
          <cell r="E457">
            <v>37956</v>
          </cell>
          <cell r="F457">
            <v>57</v>
          </cell>
          <cell r="G457">
            <v>39783</v>
          </cell>
          <cell r="H457">
            <v>55</v>
          </cell>
        </row>
        <row r="458">
          <cell r="A458">
            <v>36161</v>
          </cell>
          <cell r="B458">
            <v>62</v>
          </cell>
          <cell r="C458">
            <v>37987</v>
          </cell>
          <cell r="D458">
            <v>60</v>
          </cell>
          <cell r="E458">
            <v>37987</v>
          </cell>
          <cell r="F458">
            <v>57</v>
          </cell>
          <cell r="G458">
            <v>39814</v>
          </cell>
          <cell r="H458">
            <v>55</v>
          </cell>
        </row>
        <row r="459">
          <cell r="A459">
            <v>36192</v>
          </cell>
          <cell r="B459">
            <v>62</v>
          </cell>
          <cell r="C459">
            <v>38018</v>
          </cell>
          <cell r="D459">
            <v>60</v>
          </cell>
          <cell r="E459">
            <v>38018</v>
          </cell>
          <cell r="F459">
            <v>57</v>
          </cell>
          <cell r="G459">
            <v>39845</v>
          </cell>
          <cell r="H459">
            <v>55</v>
          </cell>
        </row>
        <row r="460">
          <cell r="A460">
            <v>36220</v>
          </cell>
          <cell r="B460">
            <v>62</v>
          </cell>
          <cell r="C460">
            <v>38047</v>
          </cell>
          <cell r="D460">
            <v>60</v>
          </cell>
          <cell r="E460">
            <v>38047</v>
          </cell>
          <cell r="F460">
            <v>57</v>
          </cell>
          <cell r="G460">
            <v>39873</v>
          </cell>
          <cell r="H460">
            <v>55</v>
          </cell>
        </row>
        <row r="461">
          <cell r="A461">
            <v>36251</v>
          </cell>
          <cell r="B461">
            <v>62</v>
          </cell>
          <cell r="C461">
            <v>38078</v>
          </cell>
          <cell r="D461">
            <v>60</v>
          </cell>
          <cell r="E461">
            <v>38078</v>
          </cell>
          <cell r="F461">
            <v>57</v>
          </cell>
          <cell r="G461">
            <v>39904</v>
          </cell>
          <cell r="H461">
            <v>55</v>
          </cell>
        </row>
        <row r="462">
          <cell r="A462">
            <v>36281</v>
          </cell>
          <cell r="B462">
            <v>62</v>
          </cell>
          <cell r="C462">
            <v>38108</v>
          </cell>
          <cell r="D462">
            <v>60</v>
          </cell>
          <cell r="E462">
            <v>38108</v>
          </cell>
          <cell r="F462">
            <v>57</v>
          </cell>
          <cell r="G462">
            <v>39934</v>
          </cell>
          <cell r="H462">
            <v>55</v>
          </cell>
        </row>
        <row r="463">
          <cell r="A463">
            <v>36312</v>
          </cell>
          <cell r="B463">
            <v>62</v>
          </cell>
          <cell r="C463">
            <v>38139</v>
          </cell>
          <cell r="D463">
            <v>60</v>
          </cell>
          <cell r="E463">
            <v>38139</v>
          </cell>
          <cell r="F463">
            <v>57</v>
          </cell>
          <cell r="G463">
            <v>39965</v>
          </cell>
          <cell r="H463">
            <v>55</v>
          </cell>
        </row>
        <row r="464">
          <cell r="A464">
            <v>36342</v>
          </cell>
          <cell r="B464">
            <v>62</v>
          </cell>
          <cell r="C464">
            <v>38169</v>
          </cell>
          <cell r="D464">
            <v>60</v>
          </cell>
          <cell r="E464">
            <v>38169</v>
          </cell>
          <cell r="F464">
            <v>57</v>
          </cell>
          <cell r="G464">
            <v>39995</v>
          </cell>
          <cell r="H464">
            <v>55</v>
          </cell>
        </row>
        <row r="465">
          <cell r="A465">
            <v>36373</v>
          </cell>
          <cell r="B465">
            <v>62</v>
          </cell>
          <cell r="C465">
            <v>38200</v>
          </cell>
          <cell r="D465">
            <v>60</v>
          </cell>
          <cell r="E465">
            <v>38200</v>
          </cell>
          <cell r="F465">
            <v>57</v>
          </cell>
          <cell r="G465">
            <v>40026</v>
          </cell>
          <cell r="H465">
            <v>55</v>
          </cell>
        </row>
        <row r="466">
          <cell r="A466">
            <v>36404</v>
          </cell>
          <cell r="B466">
            <v>62</v>
          </cell>
          <cell r="C466">
            <v>38231</v>
          </cell>
          <cell r="D466">
            <v>60</v>
          </cell>
          <cell r="E466">
            <v>38231</v>
          </cell>
          <cell r="F466">
            <v>57</v>
          </cell>
          <cell r="G466">
            <v>40057</v>
          </cell>
          <cell r="H466">
            <v>55</v>
          </cell>
        </row>
        <row r="467">
          <cell r="A467">
            <v>36434</v>
          </cell>
          <cell r="B467">
            <v>62</v>
          </cell>
          <cell r="C467">
            <v>38261</v>
          </cell>
          <cell r="D467">
            <v>60</v>
          </cell>
          <cell r="E467">
            <v>38261</v>
          </cell>
          <cell r="F467">
            <v>57</v>
          </cell>
          <cell r="G467">
            <v>40087</v>
          </cell>
          <cell r="H467">
            <v>55</v>
          </cell>
        </row>
        <row r="468">
          <cell r="A468">
            <v>36465</v>
          </cell>
          <cell r="B468">
            <v>62</v>
          </cell>
          <cell r="C468">
            <v>38292</v>
          </cell>
          <cell r="D468">
            <v>60</v>
          </cell>
          <cell r="E468">
            <v>38292</v>
          </cell>
          <cell r="F468">
            <v>57</v>
          </cell>
          <cell r="G468">
            <v>40118</v>
          </cell>
          <cell r="H468">
            <v>55</v>
          </cell>
        </row>
        <row r="469">
          <cell r="A469">
            <v>36495</v>
          </cell>
          <cell r="B469">
            <v>62</v>
          </cell>
          <cell r="C469">
            <v>38322</v>
          </cell>
          <cell r="D469">
            <v>60</v>
          </cell>
          <cell r="E469">
            <v>38322</v>
          </cell>
          <cell r="F469">
            <v>57</v>
          </cell>
          <cell r="G469">
            <v>40148</v>
          </cell>
          <cell r="H469">
            <v>55</v>
          </cell>
        </row>
        <row r="470">
          <cell r="A470">
            <v>36526</v>
          </cell>
          <cell r="B470">
            <v>62</v>
          </cell>
          <cell r="C470">
            <v>38353</v>
          </cell>
          <cell r="D470">
            <v>60</v>
          </cell>
          <cell r="E470">
            <v>38353</v>
          </cell>
          <cell r="F470">
            <v>57</v>
          </cell>
          <cell r="G470">
            <v>40179</v>
          </cell>
          <cell r="H470">
            <v>55</v>
          </cell>
        </row>
        <row r="471">
          <cell r="A471">
            <v>36557</v>
          </cell>
          <cell r="B471">
            <v>62</v>
          </cell>
          <cell r="C471">
            <v>38384</v>
          </cell>
          <cell r="D471">
            <v>60</v>
          </cell>
          <cell r="E471">
            <v>38384</v>
          </cell>
          <cell r="F471">
            <v>57</v>
          </cell>
          <cell r="G471">
            <v>40210</v>
          </cell>
          <cell r="H471">
            <v>55</v>
          </cell>
        </row>
        <row r="472">
          <cell r="A472">
            <v>36586</v>
          </cell>
          <cell r="B472">
            <v>62</v>
          </cell>
          <cell r="C472">
            <v>38412</v>
          </cell>
          <cell r="D472">
            <v>60</v>
          </cell>
          <cell r="E472">
            <v>38412</v>
          </cell>
          <cell r="F472">
            <v>57</v>
          </cell>
          <cell r="G472">
            <v>40238</v>
          </cell>
          <cell r="H472">
            <v>55</v>
          </cell>
        </row>
        <row r="473">
          <cell r="A473">
            <v>36617</v>
          </cell>
          <cell r="B473">
            <v>62</v>
          </cell>
          <cell r="C473">
            <v>38443</v>
          </cell>
          <cell r="D473">
            <v>60</v>
          </cell>
          <cell r="E473">
            <v>38443</v>
          </cell>
          <cell r="F473">
            <v>57</v>
          </cell>
          <cell r="G473">
            <v>40269</v>
          </cell>
          <cell r="H473">
            <v>55</v>
          </cell>
        </row>
        <row r="474">
          <cell r="A474">
            <v>36647</v>
          </cell>
          <cell r="B474">
            <v>62</v>
          </cell>
          <cell r="C474">
            <v>38473</v>
          </cell>
          <cell r="D474">
            <v>60</v>
          </cell>
          <cell r="E474">
            <v>38473</v>
          </cell>
          <cell r="F474">
            <v>57</v>
          </cell>
          <cell r="G474">
            <v>40299</v>
          </cell>
          <cell r="H474">
            <v>55</v>
          </cell>
        </row>
        <row r="475">
          <cell r="A475">
            <v>36678</v>
          </cell>
          <cell r="B475">
            <v>62</v>
          </cell>
          <cell r="C475">
            <v>38504</v>
          </cell>
          <cell r="D475">
            <v>60</v>
          </cell>
          <cell r="E475">
            <v>38504</v>
          </cell>
          <cell r="F475">
            <v>57</v>
          </cell>
          <cell r="G475">
            <v>40330</v>
          </cell>
          <cell r="H475">
            <v>55</v>
          </cell>
        </row>
        <row r="476">
          <cell r="A476">
            <v>36708</v>
          </cell>
          <cell r="B476">
            <v>62</v>
          </cell>
          <cell r="C476">
            <v>38534</v>
          </cell>
          <cell r="D476">
            <v>60</v>
          </cell>
          <cell r="E476">
            <v>38534</v>
          </cell>
          <cell r="F476">
            <v>57</v>
          </cell>
          <cell r="G476">
            <v>40360</v>
          </cell>
          <cell r="H476">
            <v>55</v>
          </cell>
        </row>
        <row r="477">
          <cell r="A477">
            <v>36739</v>
          </cell>
          <cell r="B477">
            <v>62</v>
          </cell>
          <cell r="C477">
            <v>38565</v>
          </cell>
          <cell r="D477">
            <v>60</v>
          </cell>
          <cell r="E477">
            <v>38565</v>
          </cell>
          <cell r="F477">
            <v>57</v>
          </cell>
          <cell r="G477">
            <v>40391</v>
          </cell>
          <cell r="H477">
            <v>55</v>
          </cell>
        </row>
        <row r="478">
          <cell r="A478">
            <v>36770</v>
          </cell>
          <cell r="B478">
            <v>62</v>
          </cell>
          <cell r="C478">
            <v>38596</v>
          </cell>
          <cell r="D478">
            <v>60</v>
          </cell>
          <cell r="E478">
            <v>38596</v>
          </cell>
          <cell r="F478">
            <v>57</v>
          </cell>
          <cell r="G478">
            <v>40422</v>
          </cell>
          <cell r="H478">
            <v>55</v>
          </cell>
        </row>
        <row r="479">
          <cell r="A479">
            <v>36800</v>
          </cell>
          <cell r="B479">
            <v>62</v>
          </cell>
          <cell r="C479">
            <v>38626</v>
          </cell>
          <cell r="D479">
            <v>60</v>
          </cell>
          <cell r="E479">
            <v>38626</v>
          </cell>
          <cell r="F479">
            <v>57</v>
          </cell>
          <cell r="G479">
            <v>40452</v>
          </cell>
          <cell r="H479">
            <v>55</v>
          </cell>
        </row>
        <row r="480">
          <cell r="A480">
            <v>36831</v>
          </cell>
          <cell r="B480">
            <v>62</v>
          </cell>
          <cell r="C480">
            <v>38657</v>
          </cell>
          <cell r="D480">
            <v>60</v>
          </cell>
          <cell r="E480">
            <v>38657</v>
          </cell>
          <cell r="F480">
            <v>57</v>
          </cell>
          <cell r="G480">
            <v>40483</v>
          </cell>
          <cell r="H480">
            <v>55</v>
          </cell>
        </row>
        <row r="481">
          <cell r="A481">
            <v>36861</v>
          </cell>
          <cell r="B481">
            <v>62</v>
          </cell>
          <cell r="C481">
            <v>38687</v>
          </cell>
          <cell r="D481">
            <v>60</v>
          </cell>
          <cell r="E481">
            <v>38687</v>
          </cell>
          <cell r="F481">
            <v>57</v>
          </cell>
          <cell r="G481">
            <v>40513</v>
          </cell>
          <cell r="H481">
            <v>55</v>
          </cell>
        </row>
        <row r="482">
          <cell r="A482">
            <v>36892</v>
          </cell>
          <cell r="B482">
            <v>62</v>
          </cell>
          <cell r="C482">
            <v>38718</v>
          </cell>
          <cell r="D482">
            <v>60</v>
          </cell>
          <cell r="E482">
            <v>38718</v>
          </cell>
          <cell r="F482">
            <v>57</v>
          </cell>
          <cell r="G482">
            <v>40544</v>
          </cell>
          <cell r="H482">
            <v>55</v>
          </cell>
        </row>
        <row r="483">
          <cell r="A483">
            <v>36923</v>
          </cell>
          <cell r="B483">
            <v>62</v>
          </cell>
          <cell r="C483">
            <v>38749</v>
          </cell>
          <cell r="D483">
            <v>60</v>
          </cell>
          <cell r="E483">
            <v>38749</v>
          </cell>
          <cell r="F483">
            <v>57</v>
          </cell>
          <cell r="G483">
            <v>40575</v>
          </cell>
          <cell r="H483">
            <v>55</v>
          </cell>
        </row>
        <row r="484">
          <cell r="A484">
            <v>36951</v>
          </cell>
          <cell r="B484">
            <v>62</v>
          </cell>
          <cell r="C484">
            <v>38777</v>
          </cell>
          <cell r="D484">
            <v>60</v>
          </cell>
          <cell r="E484">
            <v>38777</v>
          </cell>
          <cell r="F484">
            <v>57</v>
          </cell>
          <cell r="G484">
            <v>40603</v>
          </cell>
          <cell r="H484">
            <v>55</v>
          </cell>
        </row>
        <row r="485">
          <cell r="A485">
            <v>36982</v>
          </cell>
          <cell r="B485">
            <v>62</v>
          </cell>
          <cell r="C485">
            <v>38808</v>
          </cell>
          <cell r="D485">
            <v>60</v>
          </cell>
          <cell r="E485">
            <v>38808</v>
          </cell>
          <cell r="F485">
            <v>57</v>
          </cell>
          <cell r="G485">
            <v>40634</v>
          </cell>
          <cell r="H485">
            <v>55</v>
          </cell>
        </row>
        <row r="486">
          <cell r="A486">
            <v>37012</v>
          </cell>
          <cell r="B486">
            <v>62</v>
          </cell>
          <cell r="C486">
            <v>38838</v>
          </cell>
          <cell r="D486">
            <v>60</v>
          </cell>
          <cell r="E486">
            <v>38838</v>
          </cell>
          <cell r="F486">
            <v>57</v>
          </cell>
          <cell r="G486">
            <v>40664</v>
          </cell>
          <cell r="H486">
            <v>55</v>
          </cell>
        </row>
        <row r="487">
          <cell r="A487">
            <v>37043</v>
          </cell>
          <cell r="B487">
            <v>62</v>
          </cell>
          <cell r="C487">
            <v>38869</v>
          </cell>
          <cell r="D487">
            <v>60</v>
          </cell>
          <cell r="E487">
            <v>38869</v>
          </cell>
          <cell r="F487">
            <v>57</v>
          </cell>
          <cell r="G487">
            <v>40695</v>
          </cell>
          <cell r="H487">
            <v>55</v>
          </cell>
        </row>
        <row r="488">
          <cell r="A488">
            <v>37073</v>
          </cell>
          <cell r="B488">
            <v>62</v>
          </cell>
          <cell r="C488">
            <v>38899</v>
          </cell>
          <cell r="D488">
            <v>60</v>
          </cell>
          <cell r="E488">
            <v>38899</v>
          </cell>
          <cell r="F488">
            <v>57</v>
          </cell>
          <cell r="G488">
            <v>40725</v>
          </cell>
          <cell r="H488">
            <v>55</v>
          </cell>
        </row>
        <row r="489">
          <cell r="A489">
            <v>37104</v>
          </cell>
          <cell r="B489">
            <v>62</v>
          </cell>
          <cell r="C489">
            <v>38930</v>
          </cell>
          <cell r="D489">
            <v>60</v>
          </cell>
          <cell r="E489">
            <v>38930</v>
          </cell>
          <cell r="F489">
            <v>57</v>
          </cell>
          <cell r="G489">
            <v>40756</v>
          </cell>
          <cell r="H489">
            <v>55</v>
          </cell>
        </row>
        <row r="490">
          <cell r="A490">
            <v>37135</v>
          </cell>
          <cell r="B490">
            <v>62</v>
          </cell>
          <cell r="C490">
            <v>38961</v>
          </cell>
          <cell r="D490">
            <v>60</v>
          </cell>
          <cell r="E490">
            <v>38961</v>
          </cell>
          <cell r="F490">
            <v>57</v>
          </cell>
          <cell r="G490">
            <v>40787</v>
          </cell>
          <cell r="H490">
            <v>55</v>
          </cell>
        </row>
        <row r="491">
          <cell r="A491">
            <v>37165</v>
          </cell>
          <cell r="B491">
            <v>62</v>
          </cell>
          <cell r="C491">
            <v>38991</v>
          </cell>
          <cell r="D491">
            <v>60</v>
          </cell>
          <cell r="E491">
            <v>38991</v>
          </cell>
          <cell r="F491">
            <v>57</v>
          </cell>
          <cell r="G491">
            <v>40817</v>
          </cell>
          <cell r="H491">
            <v>55</v>
          </cell>
        </row>
        <row r="492">
          <cell r="A492">
            <v>37196</v>
          </cell>
          <cell r="B492">
            <v>62</v>
          </cell>
          <cell r="C492">
            <v>39022</v>
          </cell>
          <cell r="D492">
            <v>60</v>
          </cell>
          <cell r="E492">
            <v>39022</v>
          </cell>
          <cell r="F492">
            <v>57</v>
          </cell>
          <cell r="G492">
            <v>40848</v>
          </cell>
          <cell r="H492">
            <v>55</v>
          </cell>
        </row>
        <row r="493">
          <cell r="A493">
            <v>37226</v>
          </cell>
          <cell r="B493">
            <v>62</v>
          </cell>
          <cell r="C493">
            <v>39052</v>
          </cell>
          <cell r="D493">
            <v>60</v>
          </cell>
          <cell r="E493">
            <v>39052</v>
          </cell>
          <cell r="F493">
            <v>57</v>
          </cell>
          <cell r="G493">
            <v>40878</v>
          </cell>
          <cell r="H493">
            <v>55</v>
          </cell>
        </row>
        <row r="494">
          <cell r="A494">
            <v>37257</v>
          </cell>
          <cell r="B494">
            <v>62</v>
          </cell>
          <cell r="C494">
            <v>39083</v>
          </cell>
          <cell r="D494">
            <v>60</v>
          </cell>
          <cell r="E494">
            <v>39083</v>
          </cell>
          <cell r="F494">
            <v>57</v>
          </cell>
          <cell r="G494">
            <v>40909</v>
          </cell>
          <cell r="H494">
            <v>55</v>
          </cell>
        </row>
        <row r="495">
          <cell r="A495">
            <v>37288</v>
          </cell>
          <cell r="B495">
            <v>62</v>
          </cell>
          <cell r="C495">
            <v>39114</v>
          </cell>
          <cell r="D495">
            <v>60</v>
          </cell>
          <cell r="E495">
            <v>39114</v>
          </cell>
          <cell r="F495">
            <v>57</v>
          </cell>
          <cell r="G495">
            <v>40940</v>
          </cell>
          <cell r="H495">
            <v>55</v>
          </cell>
        </row>
        <row r="496">
          <cell r="A496">
            <v>37316</v>
          </cell>
          <cell r="B496">
            <v>62</v>
          </cell>
          <cell r="C496">
            <v>39142</v>
          </cell>
          <cell r="D496">
            <v>60</v>
          </cell>
          <cell r="E496">
            <v>39142</v>
          </cell>
          <cell r="F496">
            <v>57</v>
          </cell>
          <cell r="G496">
            <v>40969</v>
          </cell>
          <cell r="H496">
            <v>55</v>
          </cell>
        </row>
        <row r="497">
          <cell r="A497">
            <v>37347</v>
          </cell>
          <cell r="B497">
            <v>62</v>
          </cell>
          <cell r="C497">
            <v>39173</v>
          </cell>
          <cell r="D497">
            <v>60</v>
          </cell>
          <cell r="E497">
            <v>39173</v>
          </cell>
          <cell r="F497">
            <v>57</v>
          </cell>
          <cell r="G497">
            <v>41000</v>
          </cell>
          <cell r="H497">
            <v>55</v>
          </cell>
        </row>
        <row r="498">
          <cell r="A498">
            <v>37377</v>
          </cell>
          <cell r="B498">
            <v>62</v>
          </cell>
          <cell r="C498">
            <v>39203</v>
          </cell>
          <cell r="D498">
            <v>60</v>
          </cell>
          <cell r="E498">
            <v>39203</v>
          </cell>
          <cell r="F498">
            <v>57</v>
          </cell>
          <cell r="G498">
            <v>41030</v>
          </cell>
          <cell r="H498">
            <v>55</v>
          </cell>
        </row>
        <row r="499">
          <cell r="A499">
            <v>37408</v>
          </cell>
          <cell r="B499">
            <v>62</v>
          </cell>
          <cell r="C499">
            <v>39234</v>
          </cell>
          <cell r="D499">
            <v>60</v>
          </cell>
          <cell r="E499">
            <v>39234</v>
          </cell>
          <cell r="F499">
            <v>57</v>
          </cell>
          <cell r="G499">
            <v>41061</v>
          </cell>
          <cell r="H499">
            <v>55</v>
          </cell>
        </row>
        <row r="500">
          <cell r="A500">
            <v>37438</v>
          </cell>
          <cell r="B500">
            <v>62</v>
          </cell>
          <cell r="C500">
            <v>39264</v>
          </cell>
          <cell r="D500">
            <v>60</v>
          </cell>
          <cell r="E500">
            <v>39264</v>
          </cell>
          <cell r="F500">
            <v>57</v>
          </cell>
          <cell r="G500">
            <v>41091</v>
          </cell>
          <cell r="H500">
            <v>55</v>
          </cell>
        </row>
        <row r="501">
          <cell r="A501">
            <v>37469</v>
          </cell>
          <cell r="B501">
            <v>62</v>
          </cell>
          <cell r="C501">
            <v>39295</v>
          </cell>
          <cell r="D501">
            <v>60</v>
          </cell>
          <cell r="E501">
            <v>39295</v>
          </cell>
          <cell r="F501">
            <v>57</v>
          </cell>
          <cell r="G501">
            <v>41122</v>
          </cell>
          <cell r="H501">
            <v>55</v>
          </cell>
        </row>
        <row r="502">
          <cell r="A502">
            <v>37500</v>
          </cell>
          <cell r="B502">
            <v>62</v>
          </cell>
          <cell r="C502">
            <v>39326</v>
          </cell>
          <cell r="D502">
            <v>60</v>
          </cell>
          <cell r="E502">
            <v>39326</v>
          </cell>
          <cell r="F502">
            <v>57</v>
          </cell>
          <cell r="G502">
            <v>41153</v>
          </cell>
          <cell r="H502">
            <v>55</v>
          </cell>
        </row>
        <row r="503">
          <cell r="A503">
            <v>37530</v>
          </cell>
          <cell r="B503">
            <v>62</v>
          </cell>
          <cell r="C503">
            <v>39356</v>
          </cell>
          <cell r="D503">
            <v>60</v>
          </cell>
          <cell r="E503">
            <v>39356</v>
          </cell>
          <cell r="F503">
            <v>57</v>
          </cell>
          <cell r="G503">
            <v>41183</v>
          </cell>
          <cell r="H503">
            <v>55</v>
          </cell>
        </row>
        <row r="504">
          <cell r="A504">
            <v>37561</v>
          </cell>
          <cell r="B504">
            <v>62</v>
          </cell>
          <cell r="C504">
            <v>39387</v>
          </cell>
          <cell r="D504">
            <v>60</v>
          </cell>
          <cell r="E504">
            <v>39387</v>
          </cell>
          <cell r="F504">
            <v>57</v>
          </cell>
          <cell r="G504">
            <v>41214</v>
          </cell>
          <cell r="H504">
            <v>55</v>
          </cell>
        </row>
        <row r="505">
          <cell r="A505">
            <v>37591</v>
          </cell>
          <cell r="B505">
            <v>62</v>
          </cell>
          <cell r="C505">
            <v>39417</v>
          </cell>
          <cell r="D505">
            <v>60</v>
          </cell>
          <cell r="E505">
            <v>39417</v>
          </cell>
          <cell r="F505">
            <v>57</v>
          </cell>
          <cell r="G505">
            <v>41244</v>
          </cell>
          <cell r="H505">
            <v>55</v>
          </cell>
        </row>
        <row r="506">
          <cell r="A506">
            <v>37622</v>
          </cell>
          <cell r="B506">
            <v>62</v>
          </cell>
          <cell r="C506">
            <v>39448</v>
          </cell>
          <cell r="D506">
            <v>60</v>
          </cell>
          <cell r="E506">
            <v>39448</v>
          </cell>
          <cell r="F506">
            <v>57</v>
          </cell>
          <cell r="G506">
            <v>41275</v>
          </cell>
          <cell r="H506">
            <v>55</v>
          </cell>
        </row>
        <row r="507">
          <cell r="A507">
            <v>37653</v>
          </cell>
          <cell r="B507">
            <v>62</v>
          </cell>
          <cell r="C507">
            <v>39479</v>
          </cell>
          <cell r="D507">
            <v>60</v>
          </cell>
          <cell r="E507">
            <v>39479</v>
          </cell>
          <cell r="F507">
            <v>57</v>
          </cell>
          <cell r="G507">
            <v>41306</v>
          </cell>
          <cell r="H507">
            <v>55</v>
          </cell>
        </row>
        <row r="508">
          <cell r="A508">
            <v>37681</v>
          </cell>
          <cell r="B508">
            <v>62</v>
          </cell>
          <cell r="C508">
            <v>39508</v>
          </cell>
          <cell r="D508">
            <v>60</v>
          </cell>
          <cell r="E508">
            <v>39508</v>
          </cell>
          <cell r="F508">
            <v>57</v>
          </cell>
          <cell r="G508">
            <v>41334</v>
          </cell>
          <cell r="H508">
            <v>55</v>
          </cell>
        </row>
        <row r="509">
          <cell r="A509">
            <v>37712</v>
          </cell>
          <cell r="B509">
            <v>62</v>
          </cell>
          <cell r="C509">
            <v>39539</v>
          </cell>
          <cell r="D509">
            <v>60</v>
          </cell>
          <cell r="E509">
            <v>39539</v>
          </cell>
          <cell r="F509">
            <v>57</v>
          </cell>
          <cell r="G509">
            <v>41365</v>
          </cell>
          <cell r="H509">
            <v>55</v>
          </cell>
        </row>
        <row r="510">
          <cell r="A510">
            <v>37742</v>
          </cell>
          <cell r="B510">
            <v>62</v>
          </cell>
          <cell r="C510">
            <v>39569</v>
          </cell>
          <cell r="D510">
            <v>60</v>
          </cell>
          <cell r="E510">
            <v>39569</v>
          </cell>
          <cell r="F510">
            <v>57</v>
          </cell>
          <cell r="G510">
            <v>41395</v>
          </cell>
          <cell r="H510">
            <v>55</v>
          </cell>
        </row>
        <row r="511">
          <cell r="A511">
            <v>37773</v>
          </cell>
          <cell r="B511">
            <v>62</v>
          </cell>
          <cell r="C511">
            <v>39600</v>
          </cell>
          <cell r="D511">
            <v>60</v>
          </cell>
          <cell r="E511">
            <v>39600</v>
          </cell>
          <cell r="F511">
            <v>57</v>
          </cell>
          <cell r="G511">
            <v>41426</v>
          </cell>
          <cell r="H511">
            <v>55</v>
          </cell>
        </row>
        <row r="512">
          <cell r="A512">
            <v>37803</v>
          </cell>
          <cell r="B512">
            <v>62</v>
          </cell>
          <cell r="C512">
            <v>39630</v>
          </cell>
          <cell r="D512">
            <v>60</v>
          </cell>
          <cell r="E512">
            <v>39630</v>
          </cell>
          <cell r="F512">
            <v>57</v>
          </cell>
          <cell r="G512">
            <v>41456</v>
          </cell>
          <cell r="H512">
            <v>55</v>
          </cell>
        </row>
        <row r="513">
          <cell r="A513">
            <v>37834</v>
          </cell>
          <cell r="B513">
            <v>62</v>
          </cell>
          <cell r="C513">
            <v>39661</v>
          </cell>
          <cell r="D513">
            <v>60</v>
          </cell>
          <cell r="E513">
            <v>39661</v>
          </cell>
          <cell r="F513">
            <v>57</v>
          </cell>
          <cell r="G513">
            <v>41487</v>
          </cell>
          <cell r="H513">
            <v>55</v>
          </cell>
        </row>
        <row r="514">
          <cell r="A514">
            <v>37865</v>
          </cell>
          <cell r="B514">
            <v>62</v>
          </cell>
          <cell r="C514">
            <v>39692</v>
          </cell>
          <cell r="D514">
            <v>60</v>
          </cell>
          <cell r="E514">
            <v>39692</v>
          </cell>
          <cell r="F514">
            <v>57</v>
          </cell>
          <cell r="G514">
            <v>41518</v>
          </cell>
          <cell r="H514">
            <v>55</v>
          </cell>
        </row>
        <row r="515">
          <cell r="A515">
            <v>37895</v>
          </cell>
          <cell r="B515">
            <v>62</v>
          </cell>
          <cell r="C515">
            <v>39722</v>
          </cell>
          <cell r="D515">
            <v>60</v>
          </cell>
          <cell r="E515">
            <v>39722</v>
          </cell>
          <cell r="F515">
            <v>57</v>
          </cell>
          <cell r="G515">
            <v>41548</v>
          </cell>
          <cell r="H515">
            <v>55</v>
          </cell>
        </row>
        <row r="516">
          <cell r="A516">
            <v>37926</v>
          </cell>
          <cell r="B516">
            <v>62</v>
          </cell>
          <cell r="C516">
            <v>39753</v>
          </cell>
          <cell r="D516">
            <v>60</v>
          </cell>
          <cell r="E516">
            <v>39753</v>
          </cell>
          <cell r="F516">
            <v>57</v>
          </cell>
          <cell r="G516">
            <v>41579</v>
          </cell>
          <cell r="H516">
            <v>55</v>
          </cell>
        </row>
        <row r="517">
          <cell r="A517">
            <v>37956</v>
          </cell>
          <cell r="B517">
            <v>62</v>
          </cell>
          <cell r="C517">
            <v>39783</v>
          </cell>
          <cell r="D517">
            <v>60</v>
          </cell>
          <cell r="E517">
            <v>39783</v>
          </cell>
          <cell r="F517">
            <v>57</v>
          </cell>
          <cell r="G517">
            <v>41609</v>
          </cell>
          <cell r="H517">
            <v>55</v>
          </cell>
        </row>
        <row r="518">
          <cell r="A518">
            <v>37987</v>
          </cell>
          <cell r="B518">
            <v>62</v>
          </cell>
          <cell r="C518">
            <v>39814</v>
          </cell>
          <cell r="D518">
            <v>60</v>
          </cell>
          <cell r="E518">
            <v>39814</v>
          </cell>
          <cell r="F518">
            <v>57</v>
          </cell>
          <cell r="G518">
            <v>41640</v>
          </cell>
          <cell r="H518">
            <v>55</v>
          </cell>
        </row>
        <row r="519">
          <cell r="A519">
            <v>38018</v>
          </cell>
          <cell r="B519">
            <v>62</v>
          </cell>
          <cell r="C519">
            <v>39845</v>
          </cell>
          <cell r="D519">
            <v>60</v>
          </cell>
          <cell r="E519">
            <v>39845</v>
          </cell>
          <cell r="F519">
            <v>57</v>
          </cell>
          <cell r="G519">
            <v>41671</v>
          </cell>
          <cell r="H519">
            <v>55</v>
          </cell>
        </row>
        <row r="520">
          <cell r="A520">
            <v>38047</v>
          </cell>
          <cell r="B520">
            <v>62</v>
          </cell>
          <cell r="C520">
            <v>39873</v>
          </cell>
          <cell r="D520">
            <v>60</v>
          </cell>
          <cell r="E520">
            <v>39873</v>
          </cell>
          <cell r="F520">
            <v>57</v>
          </cell>
          <cell r="G520">
            <v>41699</v>
          </cell>
          <cell r="H520">
            <v>55</v>
          </cell>
        </row>
        <row r="521">
          <cell r="A521">
            <v>38078</v>
          </cell>
          <cell r="B521">
            <v>62</v>
          </cell>
          <cell r="C521">
            <v>39904</v>
          </cell>
          <cell r="D521">
            <v>60</v>
          </cell>
          <cell r="E521">
            <v>39904</v>
          </cell>
          <cell r="F521">
            <v>57</v>
          </cell>
          <cell r="G521">
            <v>41730</v>
          </cell>
          <cell r="H521">
            <v>55</v>
          </cell>
        </row>
        <row r="522">
          <cell r="A522">
            <v>38108</v>
          </cell>
          <cell r="B522">
            <v>62</v>
          </cell>
          <cell r="C522">
            <v>39934</v>
          </cell>
          <cell r="D522">
            <v>60</v>
          </cell>
          <cell r="E522">
            <v>39934</v>
          </cell>
          <cell r="F522">
            <v>57</v>
          </cell>
          <cell r="G522">
            <v>41760</v>
          </cell>
          <cell r="H522">
            <v>55</v>
          </cell>
        </row>
        <row r="523">
          <cell r="A523">
            <v>38139</v>
          </cell>
          <cell r="B523">
            <v>62</v>
          </cell>
          <cell r="C523">
            <v>39965</v>
          </cell>
          <cell r="D523">
            <v>60</v>
          </cell>
          <cell r="E523">
            <v>39965</v>
          </cell>
          <cell r="F523">
            <v>57</v>
          </cell>
          <cell r="G523">
            <v>41791</v>
          </cell>
          <cell r="H523">
            <v>55</v>
          </cell>
        </row>
        <row r="524">
          <cell r="A524">
            <v>38169</v>
          </cell>
          <cell r="B524">
            <v>62</v>
          </cell>
          <cell r="C524">
            <v>39995</v>
          </cell>
          <cell r="D524">
            <v>60</v>
          </cell>
          <cell r="E524">
            <v>39995</v>
          </cell>
          <cell r="F524">
            <v>57</v>
          </cell>
          <cell r="G524">
            <v>41821</v>
          </cell>
          <cell r="H524">
            <v>55</v>
          </cell>
        </row>
        <row r="525">
          <cell r="A525">
            <v>38200</v>
          </cell>
          <cell r="B525">
            <v>62</v>
          </cell>
          <cell r="C525">
            <v>40026</v>
          </cell>
          <cell r="D525">
            <v>60</v>
          </cell>
          <cell r="E525">
            <v>40026</v>
          </cell>
          <cell r="F525">
            <v>57</v>
          </cell>
          <cell r="G525">
            <v>41852</v>
          </cell>
          <cell r="H525">
            <v>55</v>
          </cell>
        </row>
        <row r="526">
          <cell r="A526">
            <v>38231</v>
          </cell>
          <cell r="B526">
            <v>62</v>
          </cell>
          <cell r="C526">
            <v>40057</v>
          </cell>
          <cell r="D526">
            <v>60</v>
          </cell>
          <cell r="E526">
            <v>40057</v>
          </cell>
          <cell r="F526">
            <v>57</v>
          </cell>
          <cell r="G526">
            <v>41883</v>
          </cell>
          <cell r="H526">
            <v>55</v>
          </cell>
        </row>
        <row r="527">
          <cell r="A527">
            <v>38261</v>
          </cell>
          <cell r="B527">
            <v>62</v>
          </cell>
          <cell r="C527">
            <v>40087</v>
          </cell>
          <cell r="D527">
            <v>60</v>
          </cell>
          <cell r="E527">
            <v>40087</v>
          </cell>
          <cell r="F527">
            <v>57</v>
          </cell>
          <cell r="G527">
            <v>41913</v>
          </cell>
          <cell r="H527">
            <v>55</v>
          </cell>
        </row>
        <row r="528">
          <cell r="A528">
            <v>38292</v>
          </cell>
          <cell r="B528">
            <v>62</v>
          </cell>
          <cell r="C528">
            <v>40118</v>
          </cell>
          <cell r="D528">
            <v>60</v>
          </cell>
          <cell r="E528">
            <v>40118</v>
          </cell>
          <cell r="F528">
            <v>57</v>
          </cell>
          <cell r="G528">
            <v>41944</v>
          </cell>
          <cell r="H528">
            <v>55</v>
          </cell>
        </row>
        <row r="529">
          <cell r="A529">
            <v>38322</v>
          </cell>
          <cell r="B529">
            <v>62</v>
          </cell>
          <cell r="C529">
            <v>40148</v>
          </cell>
          <cell r="D529">
            <v>60</v>
          </cell>
          <cell r="E529">
            <v>40148</v>
          </cell>
          <cell r="F529">
            <v>57</v>
          </cell>
          <cell r="G529">
            <v>41974</v>
          </cell>
          <cell r="H529">
            <v>55</v>
          </cell>
        </row>
        <row r="530">
          <cell r="A530">
            <v>38353</v>
          </cell>
          <cell r="B530">
            <v>62</v>
          </cell>
          <cell r="C530">
            <v>40179</v>
          </cell>
          <cell r="D530">
            <v>60</v>
          </cell>
          <cell r="E530">
            <v>40179</v>
          </cell>
          <cell r="F530">
            <v>57</v>
          </cell>
          <cell r="G530">
            <v>42005</v>
          </cell>
          <cell r="H530">
            <v>55</v>
          </cell>
        </row>
        <row r="531">
          <cell r="A531">
            <v>38384</v>
          </cell>
          <cell r="B531">
            <v>62</v>
          </cell>
          <cell r="C531">
            <v>40210</v>
          </cell>
          <cell r="D531">
            <v>60</v>
          </cell>
          <cell r="E531">
            <v>40210</v>
          </cell>
          <cell r="F531">
            <v>57</v>
          </cell>
          <cell r="G531">
            <v>42036</v>
          </cell>
          <cell r="H531">
            <v>55</v>
          </cell>
        </row>
        <row r="532">
          <cell r="A532">
            <v>38412</v>
          </cell>
          <cell r="B532">
            <v>62</v>
          </cell>
          <cell r="C532">
            <v>40238</v>
          </cell>
          <cell r="D532">
            <v>60</v>
          </cell>
          <cell r="E532">
            <v>40238</v>
          </cell>
          <cell r="F532">
            <v>57</v>
          </cell>
          <cell r="G532">
            <v>42064</v>
          </cell>
          <cell r="H532">
            <v>55</v>
          </cell>
        </row>
        <row r="533">
          <cell r="A533">
            <v>38443</v>
          </cell>
          <cell r="B533">
            <v>62</v>
          </cell>
          <cell r="C533">
            <v>40269</v>
          </cell>
          <cell r="D533">
            <v>60</v>
          </cell>
          <cell r="E533">
            <v>40269</v>
          </cell>
          <cell r="F533">
            <v>57</v>
          </cell>
          <cell r="G533">
            <v>42095</v>
          </cell>
          <cell r="H533">
            <v>55</v>
          </cell>
        </row>
        <row r="534">
          <cell r="A534">
            <v>38473</v>
          </cell>
          <cell r="B534">
            <v>62</v>
          </cell>
          <cell r="C534">
            <v>40299</v>
          </cell>
          <cell r="D534">
            <v>60</v>
          </cell>
          <cell r="E534">
            <v>40299</v>
          </cell>
          <cell r="F534">
            <v>57</v>
          </cell>
          <cell r="G534">
            <v>42125</v>
          </cell>
          <cell r="H534">
            <v>55</v>
          </cell>
        </row>
        <row r="535">
          <cell r="A535">
            <v>38504</v>
          </cell>
          <cell r="B535">
            <v>62</v>
          </cell>
          <cell r="C535">
            <v>40330</v>
          </cell>
          <cell r="D535">
            <v>60</v>
          </cell>
          <cell r="E535">
            <v>40330</v>
          </cell>
          <cell r="F535">
            <v>57</v>
          </cell>
          <cell r="G535">
            <v>42156</v>
          </cell>
          <cell r="H535">
            <v>55</v>
          </cell>
        </row>
        <row r="536">
          <cell r="A536">
            <v>38534</v>
          </cell>
          <cell r="B536">
            <v>62</v>
          </cell>
          <cell r="C536">
            <v>40360</v>
          </cell>
          <cell r="D536">
            <v>60</v>
          </cell>
          <cell r="E536">
            <v>40360</v>
          </cell>
          <cell r="F536">
            <v>57</v>
          </cell>
          <cell r="G536">
            <v>42186</v>
          </cell>
          <cell r="H536">
            <v>55</v>
          </cell>
        </row>
        <row r="537">
          <cell r="A537">
            <v>38565</v>
          </cell>
          <cell r="B537">
            <v>62</v>
          </cell>
          <cell r="C537">
            <v>40391</v>
          </cell>
          <cell r="D537">
            <v>60</v>
          </cell>
          <cell r="E537">
            <v>40391</v>
          </cell>
          <cell r="F537">
            <v>57</v>
          </cell>
          <cell r="G537">
            <v>42217</v>
          </cell>
          <cell r="H537">
            <v>55</v>
          </cell>
        </row>
        <row r="538">
          <cell r="A538">
            <v>38596</v>
          </cell>
          <cell r="B538">
            <v>62</v>
          </cell>
          <cell r="C538">
            <v>40422</v>
          </cell>
          <cell r="D538">
            <v>60</v>
          </cell>
          <cell r="E538">
            <v>40422</v>
          </cell>
          <cell r="F538">
            <v>57</v>
          </cell>
          <cell r="G538">
            <v>42248</v>
          </cell>
          <cell r="H538">
            <v>55</v>
          </cell>
        </row>
        <row r="539">
          <cell r="A539">
            <v>38626</v>
          </cell>
          <cell r="B539">
            <v>62</v>
          </cell>
          <cell r="C539">
            <v>40452</v>
          </cell>
          <cell r="D539">
            <v>60</v>
          </cell>
          <cell r="E539">
            <v>40452</v>
          </cell>
          <cell r="F539">
            <v>57</v>
          </cell>
          <cell r="G539">
            <v>42278</v>
          </cell>
          <cell r="H539">
            <v>55</v>
          </cell>
        </row>
        <row r="540">
          <cell r="A540">
            <v>38657</v>
          </cell>
          <cell r="B540">
            <v>62</v>
          </cell>
          <cell r="C540">
            <v>40483</v>
          </cell>
          <cell r="D540">
            <v>60</v>
          </cell>
          <cell r="E540">
            <v>40483</v>
          </cell>
          <cell r="F540">
            <v>57</v>
          </cell>
          <cell r="G540">
            <v>42309</v>
          </cell>
          <cell r="H540">
            <v>55</v>
          </cell>
        </row>
        <row r="541">
          <cell r="A541">
            <v>38687</v>
          </cell>
          <cell r="B541">
            <v>62</v>
          </cell>
          <cell r="C541">
            <v>40513</v>
          </cell>
          <cell r="D541">
            <v>60</v>
          </cell>
          <cell r="E541">
            <v>40513</v>
          </cell>
          <cell r="F541">
            <v>57</v>
          </cell>
          <cell r="G541">
            <v>42339</v>
          </cell>
          <cell r="H541">
            <v>55</v>
          </cell>
        </row>
        <row r="542">
          <cell r="A542">
            <v>38718</v>
          </cell>
          <cell r="B542">
            <v>62</v>
          </cell>
          <cell r="C542">
            <v>40544</v>
          </cell>
          <cell r="D542">
            <v>60</v>
          </cell>
          <cell r="E542">
            <v>40544</v>
          </cell>
          <cell r="F542">
            <v>57</v>
          </cell>
          <cell r="G542">
            <v>42370</v>
          </cell>
          <cell r="H542">
            <v>55</v>
          </cell>
        </row>
        <row r="543">
          <cell r="A543">
            <v>38749</v>
          </cell>
          <cell r="B543">
            <v>62</v>
          </cell>
          <cell r="C543">
            <v>40575</v>
          </cell>
          <cell r="D543">
            <v>60</v>
          </cell>
          <cell r="E543">
            <v>40575</v>
          </cell>
          <cell r="F543">
            <v>57</v>
          </cell>
          <cell r="G543">
            <v>42401</v>
          </cell>
          <cell r="H543">
            <v>55</v>
          </cell>
        </row>
        <row r="544">
          <cell r="A544">
            <v>38777</v>
          </cell>
          <cell r="B544">
            <v>62</v>
          </cell>
          <cell r="C544">
            <v>40603</v>
          </cell>
          <cell r="D544">
            <v>60</v>
          </cell>
          <cell r="E544">
            <v>40603</v>
          </cell>
          <cell r="F544">
            <v>57</v>
          </cell>
          <cell r="G544">
            <v>42430</v>
          </cell>
          <cell r="H544">
            <v>55</v>
          </cell>
        </row>
        <row r="545">
          <cell r="A545">
            <v>38808</v>
          </cell>
          <cell r="B545">
            <v>62</v>
          </cell>
          <cell r="C545">
            <v>40634</v>
          </cell>
          <cell r="D545">
            <v>60</v>
          </cell>
          <cell r="E545">
            <v>40634</v>
          </cell>
          <cell r="F545">
            <v>57</v>
          </cell>
          <cell r="G545">
            <v>42461</v>
          </cell>
          <cell r="H545">
            <v>55</v>
          </cell>
        </row>
        <row r="546">
          <cell r="A546">
            <v>38838</v>
          </cell>
          <cell r="B546">
            <v>62</v>
          </cell>
          <cell r="C546">
            <v>40664</v>
          </cell>
          <cell r="D546">
            <v>60</v>
          </cell>
          <cell r="E546">
            <v>40664</v>
          </cell>
          <cell r="F546">
            <v>57</v>
          </cell>
          <cell r="G546">
            <v>42491</v>
          </cell>
          <cell r="H546">
            <v>55</v>
          </cell>
        </row>
        <row r="547">
          <cell r="A547">
            <v>38869</v>
          </cell>
          <cell r="B547">
            <v>62</v>
          </cell>
          <cell r="C547">
            <v>40695</v>
          </cell>
          <cell r="D547">
            <v>60</v>
          </cell>
          <cell r="E547">
            <v>40695</v>
          </cell>
          <cell r="F547">
            <v>57</v>
          </cell>
          <cell r="G547">
            <v>42522</v>
          </cell>
          <cell r="H547">
            <v>55</v>
          </cell>
        </row>
        <row r="548">
          <cell r="A548">
            <v>38899</v>
          </cell>
          <cell r="B548">
            <v>62</v>
          </cell>
          <cell r="C548">
            <v>40725</v>
          </cell>
          <cell r="D548">
            <v>60</v>
          </cell>
          <cell r="E548">
            <v>40725</v>
          </cell>
          <cell r="F548">
            <v>57</v>
          </cell>
          <cell r="G548">
            <v>42552</v>
          </cell>
          <cell r="H548">
            <v>55</v>
          </cell>
        </row>
        <row r="549">
          <cell r="A549">
            <v>38930</v>
          </cell>
          <cell r="B549">
            <v>62</v>
          </cell>
          <cell r="C549">
            <v>40756</v>
          </cell>
          <cell r="D549">
            <v>60</v>
          </cell>
          <cell r="E549">
            <v>40756</v>
          </cell>
          <cell r="F549">
            <v>57</v>
          </cell>
          <cell r="G549">
            <v>42583</v>
          </cell>
          <cell r="H549">
            <v>55</v>
          </cell>
        </row>
        <row r="550">
          <cell r="A550">
            <v>38961</v>
          </cell>
          <cell r="B550">
            <v>62</v>
          </cell>
          <cell r="C550">
            <v>40787</v>
          </cell>
          <cell r="D550">
            <v>60</v>
          </cell>
          <cell r="E550">
            <v>40787</v>
          </cell>
          <cell r="F550">
            <v>57</v>
          </cell>
          <cell r="G550">
            <v>42614</v>
          </cell>
          <cell r="H550">
            <v>55</v>
          </cell>
        </row>
        <row r="551">
          <cell r="A551">
            <v>38991</v>
          </cell>
          <cell r="B551">
            <v>62</v>
          </cell>
          <cell r="C551">
            <v>40817</v>
          </cell>
          <cell r="D551">
            <v>60</v>
          </cell>
          <cell r="E551">
            <v>40817</v>
          </cell>
          <cell r="F551">
            <v>57</v>
          </cell>
          <cell r="G551">
            <v>42644</v>
          </cell>
          <cell r="H551">
            <v>55</v>
          </cell>
        </row>
        <row r="552">
          <cell r="A552">
            <v>39022</v>
          </cell>
          <cell r="B552">
            <v>62</v>
          </cell>
          <cell r="C552">
            <v>40848</v>
          </cell>
          <cell r="D552">
            <v>60</v>
          </cell>
          <cell r="E552">
            <v>40848</v>
          </cell>
          <cell r="F552">
            <v>57</v>
          </cell>
          <cell r="G552">
            <v>42675</v>
          </cell>
          <cell r="H552">
            <v>55</v>
          </cell>
        </row>
        <row r="553">
          <cell r="A553">
            <v>39052</v>
          </cell>
          <cell r="B553">
            <v>62</v>
          </cell>
          <cell r="C553">
            <v>40878</v>
          </cell>
          <cell r="D553">
            <v>60</v>
          </cell>
          <cell r="E553">
            <v>40878</v>
          </cell>
          <cell r="F553">
            <v>57</v>
          </cell>
          <cell r="G553">
            <v>42705</v>
          </cell>
          <cell r="H553">
            <v>55</v>
          </cell>
        </row>
        <row r="554">
          <cell r="A554">
            <v>39083</v>
          </cell>
          <cell r="B554">
            <v>62</v>
          </cell>
          <cell r="C554">
            <v>40909</v>
          </cell>
          <cell r="D554">
            <v>60</v>
          </cell>
          <cell r="E554">
            <v>40909</v>
          </cell>
          <cell r="F554">
            <v>57</v>
          </cell>
          <cell r="G554">
            <v>42736</v>
          </cell>
          <cell r="H554">
            <v>55</v>
          </cell>
        </row>
        <row r="555">
          <cell r="A555">
            <v>39114</v>
          </cell>
          <cell r="B555">
            <v>62</v>
          </cell>
          <cell r="C555">
            <v>40940</v>
          </cell>
          <cell r="D555">
            <v>60</v>
          </cell>
          <cell r="E555">
            <v>40940</v>
          </cell>
          <cell r="F555">
            <v>57</v>
          </cell>
          <cell r="G555">
            <v>42767</v>
          </cell>
          <cell r="H555">
            <v>55</v>
          </cell>
        </row>
        <row r="556">
          <cell r="A556">
            <v>39142</v>
          </cell>
          <cell r="B556">
            <v>62</v>
          </cell>
          <cell r="C556">
            <v>40969</v>
          </cell>
          <cell r="D556">
            <v>60</v>
          </cell>
          <cell r="E556">
            <v>40969</v>
          </cell>
          <cell r="F556">
            <v>57</v>
          </cell>
          <cell r="G556">
            <v>42795</v>
          </cell>
          <cell r="H556">
            <v>55</v>
          </cell>
        </row>
        <row r="557">
          <cell r="A557">
            <v>39173</v>
          </cell>
          <cell r="B557">
            <v>62</v>
          </cell>
          <cell r="C557">
            <v>41000</v>
          </cell>
          <cell r="D557">
            <v>60</v>
          </cell>
          <cell r="E557">
            <v>41000</v>
          </cell>
          <cell r="F557">
            <v>57</v>
          </cell>
          <cell r="G557">
            <v>42826</v>
          </cell>
          <cell r="H557">
            <v>55</v>
          </cell>
        </row>
        <row r="558">
          <cell r="A558">
            <v>39203</v>
          </cell>
          <cell r="B558">
            <v>62</v>
          </cell>
          <cell r="C558">
            <v>41030</v>
          </cell>
          <cell r="D558">
            <v>60</v>
          </cell>
          <cell r="E558">
            <v>41030</v>
          </cell>
          <cell r="F558">
            <v>57</v>
          </cell>
          <cell r="G558">
            <v>42856</v>
          </cell>
          <cell r="H558">
            <v>55</v>
          </cell>
        </row>
        <row r="559">
          <cell r="A559">
            <v>39234</v>
          </cell>
          <cell r="B559">
            <v>62</v>
          </cell>
          <cell r="C559">
            <v>41061</v>
          </cell>
          <cell r="D559">
            <v>60</v>
          </cell>
          <cell r="E559">
            <v>41061</v>
          </cell>
          <cell r="F559">
            <v>57</v>
          </cell>
          <cell r="G559">
            <v>42887</v>
          </cell>
          <cell r="H559">
            <v>55</v>
          </cell>
        </row>
        <row r="560">
          <cell r="A560">
            <v>39264</v>
          </cell>
          <cell r="B560">
            <v>62</v>
          </cell>
          <cell r="C560">
            <v>41091</v>
          </cell>
          <cell r="D560">
            <v>60</v>
          </cell>
          <cell r="E560">
            <v>41091</v>
          </cell>
          <cell r="F560">
            <v>57</v>
          </cell>
          <cell r="G560">
            <v>42917</v>
          </cell>
          <cell r="H560">
            <v>55</v>
          </cell>
        </row>
        <row r="561">
          <cell r="A561">
            <v>39295</v>
          </cell>
          <cell r="B561">
            <v>62</v>
          </cell>
          <cell r="C561">
            <v>41122</v>
          </cell>
          <cell r="D561">
            <v>60</v>
          </cell>
          <cell r="E561">
            <v>41122</v>
          </cell>
          <cell r="F561">
            <v>57</v>
          </cell>
          <cell r="G561">
            <v>42948</v>
          </cell>
          <cell r="H561">
            <v>55</v>
          </cell>
        </row>
        <row r="562">
          <cell r="A562">
            <v>39326</v>
          </cell>
          <cell r="B562">
            <v>62</v>
          </cell>
          <cell r="C562">
            <v>41153</v>
          </cell>
          <cell r="D562">
            <v>60</v>
          </cell>
          <cell r="E562">
            <v>41153</v>
          </cell>
          <cell r="F562">
            <v>57</v>
          </cell>
          <cell r="G562">
            <v>42979</v>
          </cell>
          <cell r="H562">
            <v>55</v>
          </cell>
        </row>
        <row r="563">
          <cell r="A563">
            <v>39356</v>
          </cell>
          <cell r="B563">
            <v>62</v>
          </cell>
          <cell r="C563">
            <v>41183</v>
          </cell>
          <cell r="D563">
            <v>60</v>
          </cell>
          <cell r="E563">
            <v>41183</v>
          </cell>
          <cell r="F563">
            <v>57</v>
          </cell>
          <cell r="G563">
            <v>43009</v>
          </cell>
          <cell r="H563">
            <v>55</v>
          </cell>
        </row>
        <row r="564">
          <cell r="A564">
            <v>39387</v>
          </cell>
          <cell r="B564">
            <v>62</v>
          </cell>
          <cell r="C564">
            <v>41214</v>
          </cell>
          <cell r="D564">
            <v>60</v>
          </cell>
          <cell r="E564">
            <v>41214</v>
          </cell>
          <cell r="F564">
            <v>57</v>
          </cell>
          <cell r="G564">
            <v>43040</v>
          </cell>
          <cell r="H564">
            <v>55</v>
          </cell>
        </row>
        <row r="565">
          <cell r="A565">
            <v>39417</v>
          </cell>
          <cell r="B565">
            <v>62</v>
          </cell>
          <cell r="C565">
            <v>41244</v>
          </cell>
          <cell r="D565">
            <v>60</v>
          </cell>
          <cell r="E565">
            <v>41244</v>
          </cell>
          <cell r="F565">
            <v>57</v>
          </cell>
          <cell r="G565">
            <v>43070</v>
          </cell>
          <cell r="H565">
            <v>55</v>
          </cell>
        </row>
        <row r="566">
          <cell r="A566">
            <v>39448</v>
          </cell>
          <cell r="B566">
            <v>62</v>
          </cell>
          <cell r="C566">
            <v>41275</v>
          </cell>
          <cell r="D566">
            <v>60</v>
          </cell>
          <cell r="E566">
            <v>41275</v>
          </cell>
          <cell r="F566">
            <v>57</v>
          </cell>
          <cell r="G566">
            <v>43101</v>
          </cell>
          <cell r="H566">
            <v>55</v>
          </cell>
        </row>
        <row r="567">
          <cell r="A567">
            <v>39479</v>
          </cell>
          <cell r="B567">
            <v>62</v>
          </cell>
          <cell r="C567">
            <v>41306</v>
          </cell>
          <cell r="D567">
            <v>60</v>
          </cell>
          <cell r="E567">
            <v>41306</v>
          </cell>
          <cell r="F567">
            <v>57</v>
          </cell>
          <cell r="G567">
            <v>43132</v>
          </cell>
          <cell r="H567">
            <v>55</v>
          </cell>
        </row>
        <row r="568">
          <cell r="A568">
            <v>39508</v>
          </cell>
          <cell r="B568">
            <v>62</v>
          </cell>
          <cell r="C568">
            <v>41334</v>
          </cell>
          <cell r="D568">
            <v>60</v>
          </cell>
          <cell r="E568">
            <v>41334</v>
          </cell>
          <cell r="F568">
            <v>57</v>
          </cell>
          <cell r="G568">
            <v>43160</v>
          </cell>
          <cell r="H568">
            <v>55</v>
          </cell>
        </row>
        <row r="569">
          <cell r="A569">
            <v>39539</v>
          </cell>
          <cell r="B569">
            <v>62</v>
          </cell>
          <cell r="C569">
            <v>41365</v>
          </cell>
          <cell r="D569">
            <v>60</v>
          </cell>
          <cell r="E569">
            <v>41365</v>
          </cell>
          <cell r="F569">
            <v>57</v>
          </cell>
          <cell r="G569">
            <v>43191</v>
          </cell>
          <cell r="H569">
            <v>55</v>
          </cell>
        </row>
        <row r="570">
          <cell r="A570">
            <v>39569</v>
          </cell>
          <cell r="B570">
            <v>62</v>
          </cell>
          <cell r="C570">
            <v>41395</v>
          </cell>
          <cell r="D570">
            <v>60</v>
          </cell>
          <cell r="E570">
            <v>41395</v>
          </cell>
          <cell r="F570">
            <v>57</v>
          </cell>
          <cell r="G570">
            <v>43221</v>
          </cell>
          <cell r="H570">
            <v>55</v>
          </cell>
        </row>
        <row r="571">
          <cell r="A571">
            <v>39600</v>
          </cell>
          <cell r="B571">
            <v>62</v>
          </cell>
          <cell r="C571">
            <v>41426</v>
          </cell>
          <cell r="D571">
            <v>60</v>
          </cell>
          <cell r="E571">
            <v>41426</v>
          </cell>
          <cell r="F571">
            <v>57</v>
          </cell>
          <cell r="G571">
            <v>43252</v>
          </cell>
          <cell r="H571">
            <v>55</v>
          </cell>
        </row>
        <row r="572">
          <cell r="A572">
            <v>39630</v>
          </cell>
          <cell r="B572">
            <v>62</v>
          </cell>
          <cell r="C572">
            <v>41456</v>
          </cell>
          <cell r="D572">
            <v>60</v>
          </cell>
          <cell r="E572">
            <v>41456</v>
          </cell>
          <cell r="F572">
            <v>57</v>
          </cell>
          <cell r="G572">
            <v>43282</v>
          </cell>
          <cell r="H572">
            <v>55</v>
          </cell>
        </row>
        <row r="573">
          <cell r="A573">
            <v>39661</v>
          </cell>
          <cell r="B573">
            <v>62</v>
          </cell>
          <cell r="C573">
            <v>41487</v>
          </cell>
          <cell r="D573">
            <v>60</v>
          </cell>
          <cell r="E573">
            <v>41487</v>
          </cell>
          <cell r="F573">
            <v>57</v>
          </cell>
          <cell r="G573">
            <v>43313</v>
          </cell>
          <cell r="H573">
            <v>55</v>
          </cell>
        </row>
        <row r="574">
          <cell r="A574">
            <v>39692</v>
          </cell>
          <cell r="B574">
            <v>62</v>
          </cell>
          <cell r="C574">
            <v>41518</v>
          </cell>
          <cell r="D574">
            <v>60</v>
          </cell>
          <cell r="E574">
            <v>41518</v>
          </cell>
          <cell r="F574">
            <v>57</v>
          </cell>
          <cell r="G574">
            <v>43344</v>
          </cell>
          <cell r="H574">
            <v>55</v>
          </cell>
        </row>
        <row r="575">
          <cell r="A575">
            <v>39722</v>
          </cell>
          <cell r="B575">
            <v>62</v>
          </cell>
          <cell r="C575">
            <v>41548</v>
          </cell>
          <cell r="D575">
            <v>60</v>
          </cell>
          <cell r="E575">
            <v>41548</v>
          </cell>
          <cell r="F575">
            <v>57</v>
          </cell>
          <cell r="G575">
            <v>43374</v>
          </cell>
          <cell r="H575">
            <v>55</v>
          </cell>
        </row>
        <row r="576">
          <cell r="A576">
            <v>39753</v>
          </cell>
          <cell r="B576">
            <v>62</v>
          </cell>
          <cell r="C576">
            <v>41579</v>
          </cell>
          <cell r="D576">
            <v>60</v>
          </cell>
          <cell r="E576">
            <v>41579</v>
          </cell>
          <cell r="F576">
            <v>57</v>
          </cell>
          <cell r="G576">
            <v>43405</v>
          </cell>
          <cell r="H576">
            <v>55</v>
          </cell>
        </row>
        <row r="577">
          <cell r="A577">
            <v>39783</v>
          </cell>
          <cell r="B577">
            <v>62</v>
          </cell>
          <cell r="C577">
            <v>41609</v>
          </cell>
          <cell r="D577">
            <v>60</v>
          </cell>
          <cell r="E577">
            <v>41609</v>
          </cell>
          <cell r="F577">
            <v>57</v>
          </cell>
          <cell r="G577">
            <v>43435</v>
          </cell>
          <cell r="H577">
            <v>55</v>
          </cell>
        </row>
        <row r="578">
          <cell r="A578">
            <v>39814</v>
          </cell>
          <cell r="B578">
            <v>62</v>
          </cell>
          <cell r="C578">
            <v>41640</v>
          </cell>
          <cell r="D578">
            <v>60</v>
          </cell>
          <cell r="E578">
            <v>41640</v>
          </cell>
          <cell r="F578">
            <v>57</v>
          </cell>
          <cell r="G578">
            <v>43466</v>
          </cell>
          <cell r="H578">
            <v>55</v>
          </cell>
        </row>
        <row r="579">
          <cell r="A579">
            <v>39845</v>
          </cell>
          <cell r="B579">
            <v>62</v>
          </cell>
          <cell r="C579">
            <v>41671</v>
          </cell>
          <cell r="D579">
            <v>60</v>
          </cell>
          <cell r="E579">
            <v>41671</v>
          </cell>
          <cell r="F579">
            <v>57</v>
          </cell>
          <cell r="G579">
            <v>43497</v>
          </cell>
          <cell r="H579">
            <v>55</v>
          </cell>
        </row>
        <row r="580">
          <cell r="A580">
            <v>39873</v>
          </cell>
          <cell r="B580">
            <v>62</v>
          </cell>
          <cell r="C580">
            <v>41699</v>
          </cell>
          <cell r="D580">
            <v>60</v>
          </cell>
          <cell r="E580">
            <v>41699</v>
          </cell>
          <cell r="F580">
            <v>57</v>
          </cell>
          <cell r="G580">
            <v>43525</v>
          </cell>
          <cell r="H580">
            <v>55</v>
          </cell>
        </row>
        <row r="581">
          <cell r="A581">
            <v>39904</v>
          </cell>
          <cell r="B581">
            <v>62</v>
          </cell>
          <cell r="C581">
            <v>41730</v>
          </cell>
          <cell r="D581">
            <v>60</v>
          </cell>
          <cell r="E581">
            <v>41730</v>
          </cell>
          <cell r="F581">
            <v>57</v>
          </cell>
          <cell r="G581">
            <v>43556</v>
          </cell>
          <cell r="H581">
            <v>55</v>
          </cell>
        </row>
        <row r="582">
          <cell r="A582">
            <v>39934</v>
          </cell>
          <cell r="B582">
            <v>62</v>
          </cell>
          <cell r="C582">
            <v>41760</v>
          </cell>
          <cell r="D582">
            <v>60</v>
          </cell>
          <cell r="E582">
            <v>41760</v>
          </cell>
          <cell r="F582">
            <v>57</v>
          </cell>
          <cell r="G582">
            <v>43586</v>
          </cell>
          <cell r="H582">
            <v>55</v>
          </cell>
        </row>
        <row r="583">
          <cell r="A583">
            <v>39965</v>
          </cell>
          <cell r="B583">
            <v>62</v>
          </cell>
          <cell r="C583">
            <v>41791</v>
          </cell>
          <cell r="D583">
            <v>60</v>
          </cell>
          <cell r="E583">
            <v>41791</v>
          </cell>
          <cell r="F583">
            <v>57</v>
          </cell>
          <cell r="G583">
            <v>43617</v>
          </cell>
          <cell r="H583">
            <v>55</v>
          </cell>
        </row>
        <row r="584">
          <cell r="A584">
            <v>39995</v>
          </cell>
          <cell r="B584">
            <v>62</v>
          </cell>
          <cell r="C584">
            <v>41821</v>
          </cell>
          <cell r="D584">
            <v>60</v>
          </cell>
          <cell r="E584">
            <v>41821</v>
          </cell>
          <cell r="F584">
            <v>57</v>
          </cell>
          <cell r="G584">
            <v>43647</v>
          </cell>
          <cell r="H584">
            <v>55</v>
          </cell>
        </row>
        <row r="585">
          <cell r="A585">
            <v>40026</v>
          </cell>
          <cell r="B585">
            <v>62</v>
          </cell>
          <cell r="C585">
            <v>41852</v>
          </cell>
          <cell r="D585">
            <v>60</v>
          </cell>
          <cell r="E585">
            <v>41852</v>
          </cell>
          <cell r="F585">
            <v>57</v>
          </cell>
          <cell r="G585">
            <v>43678</v>
          </cell>
          <cell r="H585">
            <v>55</v>
          </cell>
        </row>
        <row r="586">
          <cell r="A586">
            <v>40057</v>
          </cell>
          <cell r="B586">
            <v>62</v>
          </cell>
          <cell r="C586">
            <v>41883</v>
          </cell>
          <cell r="D586">
            <v>60</v>
          </cell>
          <cell r="E586">
            <v>41883</v>
          </cell>
          <cell r="F586">
            <v>57</v>
          </cell>
          <cell r="G586">
            <v>43709</v>
          </cell>
          <cell r="H586">
            <v>55</v>
          </cell>
        </row>
        <row r="587">
          <cell r="A587">
            <v>40087</v>
          </cell>
          <cell r="B587">
            <v>62</v>
          </cell>
          <cell r="C587">
            <v>41913</v>
          </cell>
          <cell r="D587">
            <v>60</v>
          </cell>
          <cell r="E587">
            <v>41913</v>
          </cell>
          <cell r="F587">
            <v>57</v>
          </cell>
          <cell r="G587">
            <v>43739</v>
          </cell>
          <cell r="H587">
            <v>55</v>
          </cell>
        </row>
        <row r="588">
          <cell r="A588">
            <v>40118</v>
          </cell>
          <cell r="B588">
            <v>62</v>
          </cell>
          <cell r="C588">
            <v>41944</v>
          </cell>
          <cell r="D588">
            <v>60</v>
          </cell>
          <cell r="E588">
            <v>41944</v>
          </cell>
          <cell r="F588">
            <v>57</v>
          </cell>
          <cell r="G588">
            <v>43770</v>
          </cell>
          <cell r="H588">
            <v>55</v>
          </cell>
        </row>
        <row r="589">
          <cell r="A589">
            <v>40148</v>
          </cell>
          <cell r="B589">
            <v>62</v>
          </cell>
          <cell r="C589">
            <v>41974</v>
          </cell>
          <cell r="D589">
            <v>60</v>
          </cell>
          <cell r="E589">
            <v>41974</v>
          </cell>
          <cell r="F589">
            <v>57</v>
          </cell>
          <cell r="G589">
            <v>43800</v>
          </cell>
          <cell r="H589">
            <v>55</v>
          </cell>
        </row>
        <row r="590">
          <cell r="A590">
            <v>40179</v>
          </cell>
          <cell r="B590">
            <v>62</v>
          </cell>
          <cell r="C590">
            <v>42005</v>
          </cell>
          <cell r="D590">
            <v>60</v>
          </cell>
          <cell r="E590">
            <v>42005</v>
          </cell>
          <cell r="F590">
            <v>57</v>
          </cell>
          <cell r="G590">
            <v>43831</v>
          </cell>
          <cell r="H590">
            <v>55</v>
          </cell>
        </row>
        <row r="591">
          <cell r="A591">
            <v>40210</v>
          </cell>
          <cell r="B591">
            <v>62</v>
          </cell>
          <cell r="C591">
            <v>42036</v>
          </cell>
          <cell r="D591">
            <v>60</v>
          </cell>
          <cell r="E591">
            <v>42036</v>
          </cell>
          <cell r="F591">
            <v>57</v>
          </cell>
          <cell r="G591">
            <v>43862</v>
          </cell>
          <cell r="H591">
            <v>55</v>
          </cell>
        </row>
        <row r="592">
          <cell r="A592">
            <v>40238</v>
          </cell>
          <cell r="B592">
            <v>62</v>
          </cell>
          <cell r="C592">
            <v>42064</v>
          </cell>
          <cell r="D592">
            <v>60</v>
          </cell>
          <cell r="E592">
            <v>42064</v>
          </cell>
          <cell r="F592">
            <v>57</v>
          </cell>
          <cell r="G592">
            <v>43891</v>
          </cell>
          <cell r="H592">
            <v>55</v>
          </cell>
        </row>
        <row r="593">
          <cell r="A593">
            <v>40269</v>
          </cell>
          <cell r="B593">
            <v>62</v>
          </cell>
          <cell r="C593">
            <v>42095</v>
          </cell>
          <cell r="D593">
            <v>60</v>
          </cell>
          <cell r="E593">
            <v>42095</v>
          </cell>
          <cell r="F593">
            <v>57</v>
          </cell>
          <cell r="G593">
            <v>43922</v>
          </cell>
          <cell r="H593">
            <v>55</v>
          </cell>
        </row>
        <row r="594">
          <cell r="A594">
            <v>40299</v>
          </cell>
          <cell r="B594">
            <v>62</v>
          </cell>
          <cell r="C594">
            <v>42125</v>
          </cell>
          <cell r="D594">
            <v>60</v>
          </cell>
          <cell r="E594">
            <v>42125</v>
          </cell>
          <cell r="F594">
            <v>57</v>
          </cell>
          <cell r="G594">
            <v>43952</v>
          </cell>
          <cell r="H594">
            <v>55</v>
          </cell>
        </row>
        <row r="595">
          <cell r="A595">
            <v>40330</v>
          </cell>
          <cell r="B595">
            <v>62</v>
          </cell>
          <cell r="C595">
            <v>42156</v>
          </cell>
          <cell r="D595">
            <v>60</v>
          </cell>
          <cell r="E595">
            <v>42156</v>
          </cell>
          <cell r="F595">
            <v>57</v>
          </cell>
          <cell r="G595">
            <v>43983</v>
          </cell>
          <cell r="H595">
            <v>55</v>
          </cell>
        </row>
        <row r="596">
          <cell r="A596">
            <v>40360</v>
          </cell>
          <cell r="B596">
            <v>62</v>
          </cell>
          <cell r="C596">
            <v>42186</v>
          </cell>
          <cell r="D596">
            <v>60</v>
          </cell>
          <cell r="E596">
            <v>42186</v>
          </cell>
          <cell r="F596">
            <v>57</v>
          </cell>
          <cell r="G596">
            <v>44013</v>
          </cell>
          <cell r="H596">
            <v>55</v>
          </cell>
        </row>
        <row r="597">
          <cell r="A597">
            <v>40391</v>
          </cell>
          <cell r="B597">
            <v>62</v>
          </cell>
          <cell r="C597">
            <v>42217</v>
          </cell>
          <cell r="D597">
            <v>60</v>
          </cell>
          <cell r="E597">
            <v>42217</v>
          </cell>
          <cell r="F597">
            <v>57</v>
          </cell>
          <cell r="G597">
            <v>44044</v>
          </cell>
          <cell r="H597">
            <v>55</v>
          </cell>
        </row>
        <row r="598">
          <cell r="A598">
            <v>40422</v>
          </cell>
          <cell r="B598">
            <v>62</v>
          </cell>
          <cell r="C598">
            <v>42248</v>
          </cell>
          <cell r="D598">
            <v>60</v>
          </cell>
          <cell r="E598">
            <v>42248</v>
          </cell>
          <cell r="F598">
            <v>57</v>
          </cell>
          <cell r="G598">
            <v>44075</v>
          </cell>
          <cell r="H598">
            <v>55</v>
          </cell>
        </row>
        <row r="599">
          <cell r="A599">
            <v>40452</v>
          </cell>
          <cell r="B599">
            <v>62</v>
          </cell>
          <cell r="C599">
            <v>42278</v>
          </cell>
          <cell r="D599">
            <v>60</v>
          </cell>
          <cell r="E599">
            <v>42278</v>
          </cell>
          <cell r="F599">
            <v>57</v>
          </cell>
          <cell r="G599">
            <v>44105</v>
          </cell>
          <cell r="H599">
            <v>55</v>
          </cell>
        </row>
        <row r="600">
          <cell r="A600">
            <v>40483</v>
          </cell>
          <cell r="B600">
            <v>62</v>
          </cell>
          <cell r="C600">
            <v>42309</v>
          </cell>
          <cell r="D600">
            <v>60</v>
          </cell>
          <cell r="E600">
            <v>42309</v>
          </cell>
          <cell r="F600">
            <v>57</v>
          </cell>
          <cell r="G600">
            <v>44136</v>
          </cell>
          <cell r="H600">
            <v>55</v>
          </cell>
        </row>
        <row r="601">
          <cell r="A601">
            <v>40513</v>
          </cell>
          <cell r="B601">
            <v>62</v>
          </cell>
          <cell r="C601">
            <v>42339</v>
          </cell>
          <cell r="D601">
            <v>60</v>
          </cell>
          <cell r="E601">
            <v>42339</v>
          </cell>
          <cell r="F601">
            <v>57</v>
          </cell>
          <cell r="G601">
            <v>44166</v>
          </cell>
          <cell r="H601">
            <v>55</v>
          </cell>
        </row>
        <row r="602">
          <cell r="A602">
            <v>40544</v>
          </cell>
          <cell r="B602">
            <v>62</v>
          </cell>
          <cell r="C602">
            <v>42370</v>
          </cell>
          <cell r="D602">
            <v>60</v>
          </cell>
          <cell r="E602">
            <v>42370</v>
          </cell>
          <cell r="F602">
            <v>57</v>
          </cell>
          <cell r="G602">
            <v>44197</v>
          </cell>
          <cell r="H602">
            <v>55</v>
          </cell>
        </row>
        <row r="603">
          <cell r="A603">
            <v>40575</v>
          </cell>
          <cell r="B603">
            <v>62</v>
          </cell>
          <cell r="C603">
            <v>42401</v>
          </cell>
          <cell r="D603">
            <v>60</v>
          </cell>
          <cell r="E603">
            <v>42401</v>
          </cell>
          <cell r="F603">
            <v>57</v>
          </cell>
          <cell r="G603">
            <v>44228</v>
          </cell>
          <cell r="H603">
            <v>55</v>
          </cell>
        </row>
        <row r="604">
          <cell r="A604">
            <v>40603</v>
          </cell>
          <cell r="B604">
            <v>62</v>
          </cell>
          <cell r="C604">
            <v>42430</v>
          </cell>
          <cell r="D604">
            <v>60</v>
          </cell>
          <cell r="E604">
            <v>42430</v>
          </cell>
          <cell r="F604">
            <v>57</v>
          </cell>
          <cell r="G604">
            <v>44256</v>
          </cell>
          <cell r="H604">
            <v>55</v>
          </cell>
        </row>
        <row r="605">
          <cell r="A605">
            <v>40634</v>
          </cell>
          <cell r="B605">
            <v>62</v>
          </cell>
          <cell r="C605">
            <v>42461</v>
          </cell>
          <cell r="D605">
            <v>60</v>
          </cell>
          <cell r="E605">
            <v>42461</v>
          </cell>
          <cell r="F605">
            <v>57</v>
          </cell>
          <cell r="G605">
            <v>44287</v>
          </cell>
          <cell r="H605">
            <v>55</v>
          </cell>
        </row>
        <row r="606">
          <cell r="A606">
            <v>40664</v>
          </cell>
          <cell r="B606">
            <v>62</v>
          </cell>
          <cell r="C606">
            <v>42491</v>
          </cell>
          <cell r="D606">
            <v>60</v>
          </cell>
          <cell r="E606">
            <v>42491</v>
          </cell>
          <cell r="F606">
            <v>57</v>
          </cell>
          <cell r="G606">
            <v>44317</v>
          </cell>
          <cell r="H606">
            <v>55</v>
          </cell>
        </row>
        <row r="607">
          <cell r="A607">
            <v>40695</v>
          </cell>
          <cell r="B607">
            <v>62</v>
          </cell>
          <cell r="C607">
            <v>42522</v>
          </cell>
          <cell r="D607">
            <v>60</v>
          </cell>
          <cell r="E607">
            <v>42522</v>
          </cell>
          <cell r="F607">
            <v>57</v>
          </cell>
          <cell r="G607">
            <v>44348</v>
          </cell>
          <cell r="H607">
            <v>55</v>
          </cell>
        </row>
        <row r="608">
          <cell r="A608">
            <v>40725</v>
          </cell>
          <cell r="B608">
            <v>62</v>
          </cell>
          <cell r="C608">
            <v>42552</v>
          </cell>
          <cell r="D608">
            <v>60</v>
          </cell>
          <cell r="E608">
            <v>42552</v>
          </cell>
          <cell r="F608">
            <v>57</v>
          </cell>
          <cell r="G608">
            <v>44378</v>
          </cell>
          <cell r="H608">
            <v>55</v>
          </cell>
        </row>
        <row r="609">
          <cell r="A609">
            <v>40756</v>
          </cell>
          <cell r="B609">
            <v>62</v>
          </cell>
          <cell r="C609">
            <v>42583</v>
          </cell>
          <cell r="D609">
            <v>60</v>
          </cell>
          <cell r="E609">
            <v>42583</v>
          </cell>
          <cell r="F609">
            <v>57</v>
          </cell>
          <cell r="G609">
            <v>44409</v>
          </cell>
          <cell r="H609">
            <v>55</v>
          </cell>
        </row>
        <row r="610">
          <cell r="A610">
            <v>40787</v>
          </cell>
          <cell r="B610">
            <v>62</v>
          </cell>
          <cell r="C610">
            <v>42614</v>
          </cell>
          <cell r="D610">
            <v>60</v>
          </cell>
          <cell r="E610">
            <v>42614</v>
          </cell>
          <cell r="F610">
            <v>57</v>
          </cell>
          <cell r="G610">
            <v>44440</v>
          </cell>
          <cell r="H610">
            <v>55</v>
          </cell>
        </row>
        <row r="611">
          <cell r="A611">
            <v>40817</v>
          </cell>
          <cell r="B611">
            <v>62</v>
          </cell>
          <cell r="C611">
            <v>42644</v>
          </cell>
          <cell r="D611">
            <v>60</v>
          </cell>
          <cell r="E611">
            <v>42644</v>
          </cell>
          <cell r="F611">
            <v>57</v>
          </cell>
          <cell r="G611">
            <v>44470</v>
          </cell>
          <cell r="H611">
            <v>55</v>
          </cell>
        </row>
        <row r="612">
          <cell r="A612">
            <v>40848</v>
          </cell>
          <cell r="B612">
            <v>62</v>
          </cell>
          <cell r="C612">
            <v>42675</v>
          </cell>
          <cell r="D612">
            <v>60</v>
          </cell>
          <cell r="E612">
            <v>42675</v>
          </cell>
          <cell r="F612">
            <v>57</v>
          </cell>
          <cell r="G612">
            <v>44501</v>
          </cell>
          <cell r="H612">
            <v>55</v>
          </cell>
        </row>
        <row r="613">
          <cell r="A613">
            <v>40878</v>
          </cell>
          <cell r="B613">
            <v>62</v>
          </cell>
          <cell r="C613">
            <v>42705</v>
          </cell>
          <cell r="D613">
            <v>60</v>
          </cell>
          <cell r="E613">
            <v>42705</v>
          </cell>
          <cell r="F613">
            <v>57</v>
          </cell>
          <cell r="G613">
            <v>44531</v>
          </cell>
          <cell r="H613">
            <v>55</v>
          </cell>
        </row>
        <row r="614">
          <cell r="A614">
            <v>40909</v>
          </cell>
          <cell r="B614">
            <v>62</v>
          </cell>
          <cell r="C614">
            <v>42736</v>
          </cell>
          <cell r="D614">
            <v>60</v>
          </cell>
          <cell r="E614">
            <v>42736</v>
          </cell>
          <cell r="F614">
            <v>57</v>
          </cell>
          <cell r="G614">
            <v>44562</v>
          </cell>
          <cell r="H614">
            <v>55</v>
          </cell>
        </row>
        <row r="615">
          <cell r="A615">
            <v>40940</v>
          </cell>
          <cell r="B615">
            <v>62</v>
          </cell>
          <cell r="C615">
            <v>42767</v>
          </cell>
          <cell r="D615">
            <v>60</v>
          </cell>
          <cell r="E615">
            <v>42767</v>
          </cell>
          <cell r="F615">
            <v>57</v>
          </cell>
          <cell r="G615">
            <v>44593</v>
          </cell>
          <cell r="H615">
            <v>55</v>
          </cell>
        </row>
        <row r="616">
          <cell r="A616">
            <v>40969</v>
          </cell>
          <cell r="B616">
            <v>62</v>
          </cell>
          <cell r="C616">
            <v>42795</v>
          </cell>
          <cell r="D616">
            <v>60</v>
          </cell>
          <cell r="E616">
            <v>42795</v>
          </cell>
          <cell r="F616">
            <v>57</v>
          </cell>
          <cell r="G616">
            <v>44621</v>
          </cell>
          <cell r="H616">
            <v>55</v>
          </cell>
        </row>
        <row r="617">
          <cell r="A617">
            <v>41000</v>
          </cell>
          <cell r="B617">
            <v>62</v>
          </cell>
          <cell r="C617">
            <v>42826</v>
          </cell>
          <cell r="D617">
            <v>60</v>
          </cell>
          <cell r="E617">
            <v>42826</v>
          </cell>
          <cell r="F617">
            <v>57</v>
          </cell>
          <cell r="G617">
            <v>44652</v>
          </cell>
          <cell r="H617">
            <v>55</v>
          </cell>
        </row>
        <row r="618">
          <cell r="A618">
            <v>41030</v>
          </cell>
          <cell r="B618">
            <v>62</v>
          </cell>
          <cell r="C618">
            <v>42856</v>
          </cell>
          <cell r="D618">
            <v>60</v>
          </cell>
          <cell r="E618">
            <v>42856</v>
          </cell>
          <cell r="F618">
            <v>57</v>
          </cell>
          <cell r="G618">
            <v>44682</v>
          </cell>
          <cell r="H618">
            <v>55</v>
          </cell>
        </row>
        <row r="619">
          <cell r="A619">
            <v>41061</v>
          </cell>
          <cell r="B619">
            <v>62</v>
          </cell>
          <cell r="C619">
            <v>42887</v>
          </cell>
          <cell r="D619">
            <v>60</v>
          </cell>
          <cell r="E619">
            <v>42887</v>
          </cell>
          <cell r="F619">
            <v>57</v>
          </cell>
          <cell r="G619">
            <v>44713</v>
          </cell>
          <cell r="H619">
            <v>55</v>
          </cell>
        </row>
        <row r="620">
          <cell r="A620">
            <v>41091</v>
          </cell>
          <cell r="B620">
            <v>62</v>
          </cell>
          <cell r="C620">
            <v>42917</v>
          </cell>
          <cell r="D620">
            <v>60</v>
          </cell>
          <cell r="E620">
            <v>42917</v>
          </cell>
          <cell r="F620">
            <v>57</v>
          </cell>
          <cell r="G620">
            <v>44743</v>
          </cell>
          <cell r="H620">
            <v>55</v>
          </cell>
        </row>
        <row r="621">
          <cell r="A621">
            <v>41122</v>
          </cell>
          <cell r="B621">
            <v>62</v>
          </cell>
          <cell r="C621">
            <v>42948</v>
          </cell>
          <cell r="D621">
            <v>60</v>
          </cell>
          <cell r="E621">
            <v>42948</v>
          </cell>
          <cell r="F621">
            <v>57</v>
          </cell>
          <cell r="G621">
            <v>44774</v>
          </cell>
          <cell r="H621">
            <v>55</v>
          </cell>
        </row>
        <row r="622">
          <cell r="A622">
            <v>41153</v>
          </cell>
          <cell r="B622">
            <v>62</v>
          </cell>
          <cell r="C622">
            <v>42979</v>
          </cell>
          <cell r="D622">
            <v>60</v>
          </cell>
          <cell r="E622">
            <v>42979</v>
          </cell>
          <cell r="F622">
            <v>57</v>
          </cell>
          <cell r="G622">
            <v>44805</v>
          </cell>
          <cell r="H622">
            <v>55</v>
          </cell>
        </row>
        <row r="623">
          <cell r="A623">
            <v>41183</v>
          </cell>
          <cell r="B623">
            <v>62</v>
          </cell>
          <cell r="C623">
            <v>43009</v>
          </cell>
          <cell r="D623">
            <v>60</v>
          </cell>
          <cell r="E623">
            <v>43009</v>
          </cell>
          <cell r="F623">
            <v>57</v>
          </cell>
          <cell r="G623">
            <v>44835</v>
          </cell>
          <cell r="H623">
            <v>55</v>
          </cell>
        </row>
        <row r="624">
          <cell r="A624">
            <v>41214</v>
          </cell>
          <cell r="B624">
            <v>62</v>
          </cell>
          <cell r="C624">
            <v>43040</v>
          </cell>
          <cell r="D624">
            <v>60</v>
          </cell>
          <cell r="E624">
            <v>43040</v>
          </cell>
          <cell r="F624">
            <v>57</v>
          </cell>
          <cell r="G624">
            <v>44866</v>
          </cell>
          <cell r="H624">
            <v>55</v>
          </cell>
        </row>
        <row r="625">
          <cell r="A625">
            <v>41244</v>
          </cell>
          <cell r="B625">
            <v>62</v>
          </cell>
          <cell r="C625">
            <v>43070</v>
          </cell>
          <cell r="D625">
            <v>60</v>
          </cell>
          <cell r="E625">
            <v>43070</v>
          </cell>
          <cell r="F625">
            <v>57</v>
          </cell>
          <cell r="G625">
            <v>44896</v>
          </cell>
          <cell r="H625">
            <v>55</v>
          </cell>
        </row>
        <row r="626">
          <cell r="A626">
            <v>41275</v>
          </cell>
          <cell r="B626">
            <v>62</v>
          </cell>
          <cell r="C626">
            <v>43101</v>
          </cell>
          <cell r="D626">
            <v>60</v>
          </cell>
          <cell r="E626">
            <v>43101</v>
          </cell>
          <cell r="F626">
            <v>57</v>
          </cell>
          <cell r="G626">
            <v>44927</v>
          </cell>
          <cell r="H626">
            <v>55</v>
          </cell>
        </row>
        <row r="627">
          <cell r="A627">
            <v>41306</v>
          </cell>
          <cell r="B627">
            <v>62</v>
          </cell>
          <cell r="C627">
            <v>43132</v>
          </cell>
          <cell r="D627">
            <v>60</v>
          </cell>
          <cell r="E627">
            <v>43132</v>
          </cell>
          <cell r="F627">
            <v>57</v>
          </cell>
          <cell r="G627">
            <v>44958</v>
          </cell>
          <cell r="H627">
            <v>55</v>
          </cell>
        </row>
        <row r="628">
          <cell r="A628">
            <v>41334</v>
          </cell>
          <cell r="B628">
            <v>62</v>
          </cell>
          <cell r="C628">
            <v>43160</v>
          </cell>
          <cell r="D628">
            <v>60</v>
          </cell>
          <cell r="E628">
            <v>43160</v>
          </cell>
          <cell r="F628">
            <v>57</v>
          </cell>
          <cell r="G628">
            <v>44986</v>
          </cell>
          <cell r="H628">
            <v>55</v>
          </cell>
        </row>
        <row r="629">
          <cell r="A629">
            <v>41365</v>
          </cell>
          <cell r="B629">
            <v>62</v>
          </cell>
          <cell r="C629">
            <v>43191</v>
          </cell>
          <cell r="D629">
            <v>60</v>
          </cell>
          <cell r="E629">
            <v>43191</v>
          </cell>
          <cell r="F629">
            <v>57</v>
          </cell>
          <cell r="G629">
            <v>45017</v>
          </cell>
          <cell r="H629">
            <v>55</v>
          </cell>
        </row>
        <row r="630">
          <cell r="A630">
            <v>41395</v>
          </cell>
          <cell r="B630">
            <v>62</v>
          </cell>
          <cell r="C630">
            <v>43221</v>
          </cell>
          <cell r="D630">
            <v>60</v>
          </cell>
          <cell r="E630">
            <v>43221</v>
          </cell>
          <cell r="F630">
            <v>57</v>
          </cell>
          <cell r="G630">
            <v>45047</v>
          </cell>
          <cell r="H630">
            <v>55</v>
          </cell>
        </row>
        <row r="631">
          <cell r="A631">
            <v>41426</v>
          </cell>
          <cell r="B631">
            <v>62</v>
          </cell>
          <cell r="C631">
            <v>43252</v>
          </cell>
          <cell r="D631">
            <v>60</v>
          </cell>
          <cell r="E631">
            <v>43252</v>
          </cell>
          <cell r="F631">
            <v>57</v>
          </cell>
          <cell r="G631">
            <v>45078</v>
          </cell>
          <cell r="H631">
            <v>55</v>
          </cell>
        </row>
        <row r="632">
          <cell r="A632">
            <v>41456</v>
          </cell>
          <cell r="B632">
            <v>62</v>
          </cell>
          <cell r="C632">
            <v>43282</v>
          </cell>
          <cell r="D632">
            <v>60</v>
          </cell>
          <cell r="E632">
            <v>43282</v>
          </cell>
          <cell r="F632">
            <v>57</v>
          </cell>
          <cell r="G632">
            <v>45108</v>
          </cell>
          <cell r="H632">
            <v>55</v>
          </cell>
        </row>
        <row r="633">
          <cell r="A633">
            <v>41487</v>
          </cell>
          <cell r="B633">
            <v>62</v>
          </cell>
          <cell r="C633">
            <v>43313</v>
          </cell>
          <cell r="D633">
            <v>60</v>
          </cell>
          <cell r="E633">
            <v>43313</v>
          </cell>
          <cell r="F633">
            <v>57</v>
          </cell>
          <cell r="G633">
            <v>45139</v>
          </cell>
          <cell r="H633">
            <v>55</v>
          </cell>
        </row>
        <row r="634">
          <cell r="A634">
            <v>41518</v>
          </cell>
          <cell r="B634">
            <v>62</v>
          </cell>
          <cell r="C634">
            <v>43344</v>
          </cell>
          <cell r="D634">
            <v>60</v>
          </cell>
          <cell r="E634">
            <v>43344</v>
          </cell>
          <cell r="F634">
            <v>57</v>
          </cell>
          <cell r="G634">
            <v>45170</v>
          </cell>
          <cell r="H634">
            <v>55</v>
          </cell>
        </row>
        <row r="635">
          <cell r="A635">
            <v>41548</v>
          </cell>
          <cell r="B635">
            <v>62</v>
          </cell>
          <cell r="C635">
            <v>43374</v>
          </cell>
          <cell r="D635">
            <v>60</v>
          </cell>
          <cell r="E635">
            <v>43374</v>
          </cell>
          <cell r="F635">
            <v>57</v>
          </cell>
          <cell r="G635">
            <v>45200</v>
          </cell>
          <cell r="H635">
            <v>55</v>
          </cell>
        </row>
        <row r="636">
          <cell r="A636">
            <v>41579</v>
          </cell>
          <cell r="B636">
            <v>62</v>
          </cell>
          <cell r="C636">
            <v>43405</v>
          </cell>
          <cell r="D636">
            <v>60</v>
          </cell>
          <cell r="E636">
            <v>43405</v>
          </cell>
          <cell r="F636">
            <v>57</v>
          </cell>
          <cell r="G636">
            <v>45231</v>
          </cell>
          <cell r="H636">
            <v>55</v>
          </cell>
        </row>
        <row r="637">
          <cell r="A637">
            <v>41609</v>
          </cell>
          <cell r="B637">
            <v>62</v>
          </cell>
          <cell r="C637">
            <v>43435</v>
          </cell>
          <cell r="D637">
            <v>60</v>
          </cell>
          <cell r="E637">
            <v>43435</v>
          </cell>
          <cell r="F637">
            <v>57</v>
          </cell>
          <cell r="G637">
            <v>45261</v>
          </cell>
          <cell r="H637">
            <v>55</v>
          </cell>
        </row>
        <row r="638">
          <cell r="A638">
            <v>41640</v>
          </cell>
          <cell r="B638">
            <v>62</v>
          </cell>
          <cell r="C638">
            <v>43466</v>
          </cell>
          <cell r="D638">
            <v>60</v>
          </cell>
          <cell r="E638">
            <v>43466</v>
          </cell>
          <cell r="F638">
            <v>57</v>
          </cell>
        </row>
        <row r="639">
          <cell r="A639">
            <v>41671</v>
          </cell>
          <cell r="B639">
            <v>62</v>
          </cell>
          <cell r="C639">
            <v>43497</v>
          </cell>
          <cell r="D639">
            <v>60</v>
          </cell>
          <cell r="E639">
            <v>43497</v>
          </cell>
          <cell r="F639">
            <v>57</v>
          </cell>
        </row>
        <row r="640">
          <cell r="A640">
            <v>41699</v>
          </cell>
          <cell r="B640">
            <v>62</v>
          </cell>
          <cell r="C640">
            <v>43525</v>
          </cell>
          <cell r="D640">
            <v>60</v>
          </cell>
          <cell r="E640">
            <v>43525</v>
          </cell>
          <cell r="F640">
            <v>57</v>
          </cell>
        </row>
        <row r="641">
          <cell r="A641">
            <v>41730</v>
          </cell>
          <cell r="B641">
            <v>62</v>
          </cell>
          <cell r="C641">
            <v>43556</v>
          </cell>
          <cell r="D641">
            <v>60</v>
          </cell>
          <cell r="E641">
            <v>43556</v>
          </cell>
          <cell r="F641">
            <v>57</v>
          </cell>
        </row>
        <row r="642">
          <cell r="A642">
            <v>41760</v>
          </cell>
          <cell r="B642">
            <v>62</v>
          </cell>
          <cell r="C642">
            <v>43586</v>
          </cell>
          <cell r="D642">
            <v>60</v>
          </cell>
          <cell r="E642">
            <v>43586</v>
          </cell>
          <cell r="F642">
            <v>57</v>
          </cell>
        </row>
        <row r="643">
          <cell r="A643">
            <v>41791</v>
          </cell>
          <cell r="B643">
            <v>62</v>
          </cell>
          <cell r="C643">
            <v>43617</v>
          </cell>
          <cell r="D643">
            <v>60</v>
          </cell>
          <cell r="E643">
            <v>43617</v>
          </cell>
          <cell r="F643">
            <v>57</v>
          </cell>
        </row>
        <row r="644">
          <cell r="A644">
            <v>41821</v>
          </cell>
          <cell r="B644">
            <v>62</v>
          </cell>
          <cell r="C644">
            <v>43647</v>
          </cell>
          <cell r="D644">
            <v>60</v>
          </cell>
          <cell r="E644">
            <v>43647</v>
          </cell>
          <cell r="F644">
            <v>57</v>
          </cell>
        </row>
        <row r="645">
          <cell r="A645">
            <v>41852</v>
          </cell>
          <cell r="B645">
            <v>62</v>
          </cell>
          <cell r="C645">
            <v>43678</v>
          </cell>
          <cell r="D645">
            <v>60</v>
          </cell>
          <cell r="E645">
            <v>43678</v>
          </cell>
          <cell r="F645">
            <v>57</v>
          </cell>
        </row>
        <row r="646">
          <cell r="A646">
            <v>41883</v>
          </cell>
          <cell r="B646">
            <v>62</v>
          </cell>
          <cell r="C646">
            <v>43709</v>
          </cell>
          <cell r="D646">
            <v>60</v>
          </cell>
          <cell r="E646">
            <v>43709</v>
          </cell>
          <cell r="F646">
            <v>57</v>
          </cell>
        </row>
        <row r="647">
          <cell r="A647">
            <v>41913</v>
          </cell>
          <cell r="B647">
            <v>62</v>
          </cell>
          <cell r="C647">
            <v>43739</v>
          </cell>
          <cell r="D647">
            <v>60</v>
          </cell>
          <cell r="E647">
            <v>43739</v>
          </cell>
          <cell r="F647">
            <v>57</v>
          </cell>
        </row>
        <row r="648">
          <cell r="A648">
            <v>41944</v>
          </cell>
          <cell r="B648">
            <v>62</v>
          </cell>
          <cell r="C648">
            <v>43770</v>
          </cell>
          <cell r="D648">
            <v>60</v>
          </cell>
          <cell r="E648">
            <v>43770</v>
          </cell>
          <cell r="F648">
            <v>57</v>
          </cell>
        </row>
        <row r="649">
          <cell r="A649">
            <v>41974</v>
          </cell>
          <cell r="B649">
            <v>62</v>
          </cell>
          <cell r="C649">
            <v>43800</v>
          </cell>
          <cell r="D649">
            <v>60</v>
          </cell>
          <cell r="E649">
            <v>43800</v>
          </cell>
          <cell r="F649">
            <v>57</v>
          </cell>
        </row>
        <row r="650">
          <cell r="A650">
            <v>42005</v>
          </cell>
          <cell r="B650">
            <v>62</v>
          </cell>
          <cell r="C650">
            <v>43831</v>
          </cell>
          <cell r="D650">
            <v>60</v>
          </cell>
          <cell r="E650">
            <v>43831</v>
          </cell>
          <cell r="F650">
            <v>57</v>
          </cell>
        </row>
        <row r="651">
          <cell r="A651">
            <v>42036</v>
          </cell>
          <cell r="B651">
            <v>62</v>
          </cell>
          <cell r="C651">
            <v>43862</v>
          </cell>
          <cell r="D651">
            <v>60</v>
          </cell>
          <cell r="E651">
            <v>43862</v>
          </cell>
          <cell r="F651">
            <v>57</v>
          </cell>
        </row>
        <row r="652">
          <cell r="A652">
            <v>42064</v>
          </cell>
          <cell r="B652">
            <v>62</v>
          </cell>
          <cell r="C652">
            <v>43891</v>
          </cell>
          <cell r="D652">
            <v>60</v>
          </cell>
          <cell r="E652">
            <v>43891</v>
          </cell>
          <cell r="F652">
            <v>57</v>
          </cell>
        </row>
        <row r="653">
          <cell r="A653">
            <v>42095</v>
          </cell>
          <cell r="B653">
            <v>62</v>
          </cell>
          <cell r="C653">
            <v>43922</v>
          </cell>
          <cell r="D653">
            <v>60</v>
          </cell>
          <cell r="E653">
            <v>43922</v>
          </cell>
          <cell r="F653">
            <v>57</v>
          </cell>
        </row>
        <row r="654">
          <cell r="A654">
            <v>42125</v>
          </cell>
          <cell r="B654">
            <v>62</v>
          </cell>
          <cell r="C654">
            <v>43952</v>
          </cell>
          <cell r="D654">
            <v>60</v>
          </cell>
          <cell r="E654">
            <v>43952</v>
          </cell>
          <cell r="F654">
            <v>57</v>
          </cell>
        </row>
        <row r="655">
          <cell r="A655">
            <v>42156</v>
          </cell>
          <cell r="B655">
            <v>62</v>
          </cell>
          <cell r="C655">
            <v>43983</v>
          </cell>
          <cell r="D655">
            <v>60</v>
          </cell>
          <cell r="E655">
            <v>43983</v>
          </cell>
          <cell r="F655">
            <v>57</v>
          </cell>
        </row>
        <row r="656">
          <cell r="A656">
            <v>42186</v>
          </cell>
          <cell r="B656">
            <v>62</v>
          </cell>
          <cell r="C656">
            <v>44013</v>
          </cell>
          <cell r="D656">
            <v>60</v>
          </cell>
          <cell r="E656">
            <v>44013</v>
          </cell>
          <cell r="F656">
            <v>57</v>
          </cell>
        </row>
        <row r="657">
          <cell r="A657">
            <v>42217</v>
          </cell>
          <cell r="B657">
            <v>62</v>
          </cell>
          <cell r="C657">
            <v>44044</v>
          </cell>
          <cell r="D657">
            <v>60</v>
          </cell>
          <cell r="E657">
            <v>44044</v>
          </cell>
          <cell r="F657">
            <v>57</v>
          </cell>
        </row>
        <row r="658">
          <cell r="A658">
            <v>42248</v>
          </cell>
          <cell r="B658">
            <v>62</v>
          </cell>
          <cell r="C658">
            <v>44075</v>
          </cell>
          <cell r="D658">
            <v>60</v>
          </cell>
          <cell r="E658">
            <v>44075</v>
          </cell>
          <cell r="F658">
            <v>57</v>
          </cell>
        </row>
        <row r="659">
          <cell r="A659">
            <v>42278</v>
          </cell>
          <cell r="B659">
            <v>62</v>
          </cell>
          <cell r="C659">
            <v>44105</v>
          </cell>
          <cell r="D659">
            <v>60</v>
          </cell>
          <cell r="E659">
            <v>44105</v>
          </cell>
          <cell r="F659">
            <v>57</v>
          </cell>
        </row>
        <row r="660">
          <cell r="A660">
            <v>42309</v>
          </cell>
          <cell r="B660">
            <v>62</v>
          </cell>
          <cell r="C660">
            <v>44136</v>
          </cell>
          <cell r="D660">
            <v>60</v>
          </cell>
          <cell r="E660">
            <v>44136</v>
          </cell>
          <cell r="F660">
            <v>57</v>
          </cell>
        </row>
        <row r="661">
          <cell r="A661">
            <v>42339</v>
          </cell>
          <cell r="B661">
            <v>62</v>
          </cell>
          <cell r="C661">
            <v>44166</v>
          </cell>
          <cell r="D661">
            <v>60</v>
          </cell>
          <cell r="E661">
            <v>44166</v>
          </cell>
          <cell r="F661">
            <v>57</v>
          </cell>
        </row>
        <row r="662">
          <cell r="A662">
            <v>42370</v>
          </cell>
          <cell r="B662">
            <v>62</v>
          </cell>
          <cell r="C662">
            <v>44197</v>
          </cell>
          <cell r="D662">
            <v>60</v>
          </cell>
          <cell r="E662">
            <v>44197</v>
          </cell>
          <cell r="F662">
            <v>57</v>
          </cell>
        </row>
        <row r="663">
          <cell r="A663">
            <v>42401</v>
          </cell>
          <cell r="B663">
            <v>62</v>
          </cell>
          <cell r="C663">
            <v>44228</v>
          </cell>
          <cell r="D663">
            <v>60</v>
          </cell>
          <cell r="E663">
            <v>44228</v>
          </cell>
          <cell r="F663">
            <v>57</v>
          </cell>
        </row>
        <row r="664">
          <cell r="A664">
            <v>42430</v>
          </cell>
          <cell r="B664">
            <v>62</v>
          </cell>
          <cell r="C664">
            <v>44256</v>
          </cell>
          <cell r="D664">
            <v>60</v>
          </cell>
          <cell r="E664">
            <v>44256</v>
          </cell>
          <cell r="F664">
            <v>57</v>
          </cell>
        </row>
        <row r="665">
          <cell r="A665">
            <v>42461</v>
          </cell>
          <cell r="B665">
            <v>62</v>
          </cell>
          <cell r="C665">
            <v>44287</v>
          </cell>
          <cell r="D665">
            <v>60</v>
          </cell>
          <cell r="E665">
            <v>44287</v>
          </cell>
          <cell r="F665">
            <v>57</v>
          </cell>
        </row>
        <row r="666">
          <cell r="A666">
            <v>42491</v>
          </cell>
          <cell r="B666">
            <v>62</v>
          </cell>
          <cell r="C666">
            <v>44317</v>
          </cell>
          <cell r="D666">
            <v>60</v>
          </cell>
          <cell r="E666">
            <v>44317</v>
          </cell>
          <cell r="F666">
            <v>57</v>
          </cell>
        </row>
        <row r="667">
          <cell r="A667">
            <v>42522</v>
          </cell>
          <cell r="B667">
            <v>62</v>
          </cell>
          <cell r="C667">
            <v>44348</v>
          </cell>
          <cell r="D667">
            <v>60</v>
          </cell>
          <cell r="E667">
            <v>44348</v>
          </cell>
          <cell r="F667">
            <v>57</v>
          </cell>
        </row>
        <row r="668">
          <cell r="A668">
            <v>42552</v>
          </cell>
          <cell r="B668">
            <v>62</v>
          </cell>
          <cell r="C668">
            <v>44378</v>
          </cell>
          <cell r="D668">
            <v>60</v>
          </cell>
          <cell r="E668">
            <v>44378</v>
          </cell>
          <cell r="F668">
            <v>57</v>
          </cell>
        </row>
        <row r="669">
          <cell r="A669">
            <v>42583</v>
          </cell>
          <cell r="B669">
            <v>62</v>
          </cell>
          <cell r="C669">
            <v>44409</v>
          </cell>
          <cell r="D669">
            <v>60</v>
          </cell>
          <cell r="E669">
            <v>44409</v>
          </cell>
          <cell r="F669">
            <v>57</v>
          </cell>
        </row>
        <row r="670">
          <cell r="A670">
            <v>42614</v>
          </cell>
          <cell r="B670">
            <v>62</v>
          </cell>
          <cell r="C670">
            <v>44440</v>
          </cell>
          <cell r="D670">
            <v>60</v>
          </cell>
          <cell r="E670">
            <v>44440</v>
          </cell>
          <cell r="F670">
            <v>57</v>
          </cell>
        </row>
        <row r="671">
          <cell r="A671">
            <v>42644</v>
          </cell>
          <cell r="B671">
            <v>62</v>
          </cell>
          <cell r="C671">
            <v>44470</v>
          </cell>
          <cell r="D671">
            <v>60</v>
          </cell>
          <cell r="E671">
            <v>44470</v>
          </cell>
          <cell r="F671">
            <v>57</v>
          </cell>
        </row>
        <row r="672">
          <cell r="A672">
            <v>42675</v>
          </cell>
          <cell r="B672">
            <v>62</v>
          </cell>
          <cell r="C672">
            <v>44501</v>
          </cell>
          <cell r="D672">
            <v>60</v>
          </cell>
          <cell r="E672">
            <v>44501</v>
          </cell>
          <cell r="F672">
            <v>57</v>
          </cell>
        </row>
        <row r="673">
          <cell r="A673">
            <v>42705</v>
          </cell>
          <cell r="B673">
            <v>62</v>
          </cell>
          <cell r="C673">
            <v>44531</v>
          </cell>
          <cell r="D673">
            <v>60</v>
          </cell>
          <cell r="E673">
            <v>44531</v>
          </cell>
          <cell r="F673">
            <v>57</v>
          </cell>
        </row>
        <row r="674">
          <cell r="A674">
            <v>42736</v>
          </cell>
          <cell r="B674">
            <v>62</v>
          </cell>
          <cell r="C674">
            <v>44562</v>
          </cell>
          <cell r="D674">
            <v>60</v>
          </cell>
          <cell r="E674">
            <v>44562</v>
          </cell>
          <cell r="F674">
            <v>57</v>
          </cell>
        </row>
        <row r="675">
          <cell r="A675">
            <v>42767</v>
          </cell>
          <cell r="B675">
            <v>62</v>
          </cell>
          <cell r="C675">
            <v>44593</v>
          </cell>
          <cell r="D675">
            <v>60</v>
          </cell>
          <cell r="E675">
            <v>44593</v>
          </cell>
          <cell r="F675">
            <v>57</v>
          </cell>
        </row>
        <row r="676">
          <cell r="A676">
            <v>42795</v>
          </cell>
          <cell r="B676">
            <v>62</v>
          </cell>
          <cell r="C676">
            <v>44621</v>
          </cell>
          <cell r="D676">
            <v>60</v>
          </cell>
          <cell r="E676">
            <v>44621</v>
          </cell>
          <cell r="F676">
            <v>57</v>
          </cell>
        </row>
        <row r="677">
          <cell r="A677">
            <v>42826</v>
          </cell>
          <cell r="B677">
            <v>62</v>
          </cell>
          <cell r="C677">
            <v>44652</v>
          </cell>
          <cell r="D677">
            <v>60</v>
          </cell>
          <cell r="E677">
            <v>44652</v>
          </cell>
          <cell r="F677">
            <v>57</v>
          </cell>
        </row>
        <row r="678">
          <cell r="A678">
            <v>42856</v>
          </cell>
          <cell r="B678">
            <v>62</v>
          </cell>
          <cell r="C678">
            <v>44682</v>
          </cell>
          <cell r="D678">
            <v>60</v>
          </cell>
          <cell r="E678">
            <v>44682</v>
          </cell>
          <cell r="F678">
            <v>57</v>
          </cell>
        </row>
        <row r="679">
          <cell r="A679">
            <v>42887</v>
          </cell>
          <cell r="B679">
            <v>62</v>
          </cell>
          <cell r="C679">
            <v>44713</v>
          </cell>
          <cell r="D679">
            <v>60</v>
          </cell>
          <cell r="E679">
            <v>44713</v>
          </cell>
          <cell r="F679">
            <v>57</v>
          </cell>
        </row>
        <row r="680">
          <cell r="A680">
            <v>42917</v>
          </cell>
          <cell r="B680">
            <v>62</v>
          </cell>
          <cell r="C680">
            <v>44743</v>
          </cell>
          <cell r="D680">
            <v>60</v>
          </cell>
          <cell r="E680">
            <v>44743</v>
          </cell>
          <cell r="F680">
            <v>57</v>
          </cell>
        </row>
        <row r="681">
          <cell r="A681">
            <v>42948</v>
          </cell>
          <cell r="B681">
            <v>62</v>
          </cell>
          <cell r="C681">
            <v>44774</v>
          </cell>
          <cell r="D681">
            <v>60</v>
          </cell>
          <cell r="E681">
            <v>44774</v>
          </cell>
          <cell r="F681">
            <v>57</v>
          </cell>
        </row>
        <row r="682">
          <cell r="A682">
            <v>42979</v>
          </cell>
          <cell r="B682">
            <v>62</v>
          </cell>
          <cell r="C682">
            <v>44805</v>
          </cell>
          <cell r="D682">
            <v>60</v>
          </cell>
          <cell r="E682">
            <v>44805</v>
          </cell>
          <cell r="F682">
            <v>57</v>
          </cell>
        </row>
        <row r="683">
          <cell r="A683">
            <v>43009</v>
          </cell>
          <cell r="B683">
            <v>62</v>
          </cell>
          <cell r="C683">
            <v>44835</v>
          </cell>
          <cell r="D683">
            <v>60</v>
          </cell>
          <cell r="E683">
            <v>44835</v>
          </cell>
          <cell r="F683">
            <v>57</v>
          </cell>
        </row>
        <row r="684">
          <cell r="A684">
            <v>43040</v>
          </cell>
          <cell r="B684">
            <v>62</v>
          </cell>
          <cell r="C684">
            <v>44866</v>
          </cell>
          <cell r="D684">
            <v>60</v>
          </cell>
          <cell r="E684">
            <v>44866</v>
          </cell>
          <cell r="F684">
            <v>57</v>
          </cell>
        </row>
        <row r="685">
          <cell r="A685">
            <v>43070</v>
          </cell>
          <cell r="B685">
            <v>62</v>
          </cell>
          <cell r="C685">
            <v>44896</v>
          </cell>
          <cell r="D685">
            <v>60</v>
          </cell>
          <cell r="E685">
            <v>44896</v>
          </cell>
          <cell r="F685">
            <v>57</v>
          </cell>
        </row>
        <row r="686">
          <cell r="A686">
            <v>43101</v>
          </cell>
          <cell r="B686">
            <v>62</v>
          </cell>
          <cell r="C686">
            <v>44927</v>
          </cell>
          <cell r="D686">
            <v>60</v>
          </cell>
          <cell r="E686">
            <v>44927</v>
          </cell>
          <cell r="F686">
            <v>57</v>
          </cell>
        </row>
        <row r="687">
          <cell r="A687">
            <v>43132</v>
          </cell>
          <cell r="B687">
            <v>62</v>
          </cell>
          <cell r="C687">
            <v>44958</v>
          </cell>
          <cell r="D687">
            <v>60</v>
          </cell>
          <cell r="E687">
            <v>44958</v>
          </cell>
          <cell r="F687">
            <v>57</v>
          </cell>
        </row>
        <row r="688">
          <cell r="A688">
            <v>43160</v>
          </cell>
          <cell r="B688">
            <v>62</v>
          </cell>
          <cell r="C688">
            <v>44986</v>
          </cell>
          <cell r="D688">
            <v>60</v>
          </cell>
          <cell r="E688">
            <v>44986</v>
          </cell>
          <cell r="F688">
            <v>57</v>
          </cell>
        </row>
        <row r="689">
          <cell r="A689">
            <v>43191</v>
          </cell>
          <cell r="B689">
            <v>62</v>
          </cell>
          <cell r="C689">
            <v>45017</v>
          </cell>
          <cell r="D689">
            <v>60</v>
          </cell>
          <cell r="E689">
            <v>45017</v>
          </cell>
          <cell r="F689">
            <v>57</v>
          </cell>
        </row>
        <row r="690">
          <cell r="A690">
            <v>43221</v>
          </cell>
          <cell r="B690">
            <v>62</v>
          </cell>
          <cell r="C690">
            <v>45047</v>
          </cell>
          <cell r="D690">
            <v>60</v>
          </cell>
          <cell r="E690">
            <v>45047</v>
          </cell>
          <cell r="F690">
            <v>57</v>
          </cell>
        </row>
        <row r="691">
          <cell r="A691">
            <v>43252</v>
          </cell>
          <cell r="B691">
            <v>62</v>
          </cell>
          <cell r="C691">
            <v>45078</v>
          </cell>
          <cell r="D691">
            <v>60</v>
          </cell>
          <cell r="E691">
            <v>45078</v>
          </cell>
          <cell r="F691">
            <v>57</v>
          </cell>
        </row>
        <row r="692">
          <cell r="A692">
            <v>43282</v>
          </cell>
          <cell r="B692">
            <v>62</v>
          </cell>
          <cell r="C692">
            <v>45108</v>
          </cell>
          <cell r="D692">
            <v>60</v>
          </cell>
          <cell r="E692">
            <v>45108</v>
          </cell>
          <cell r="F692">
            <v>57</v>
          </cell>
        </row>
        <row r="693">
          <cell r="A693">
            <v>43313</v>
          </cell>
          <cell r="B693">
            <v>62</v>
          </cell>
          <cell r="C693">
            <v>45139</v>
          </cell>
          <cell r="D693">
            <v>60</v>
          </cell>
          <cell r="E693">
            <v>45139</v>
          </cell>
          <cell r="F693">
            <v>57</v>
          </cell>
        </row>
        <row r="694">
          <cell r="A694">
            <v>43344</v>
          </cell>
          <cell r="B694">
            <v>62</v>
          </cell>
          <cell r="C694">
            <v>45170</v>
          </cell>
          <cell r="D694">
            <v>60</v>
          </cell>
          <cell r="E694">
            <v>45170</v>
          </cell>
          <cell r="F694">
            <v>57</v>
          </cell>
        </row>
        <row r="695">
          <cell r="A695">
            <v>43374</v>
          </cell>
          <cell r="B695">
            <v>62</v>
          </cell>
          <cell r="C695">
            <v>45200</v>
          </cell>
          <cell r="D695">
            <v>60</v>
          </cell>
          <cell r="E695">
            <v>45200</v>
          </cell>
          <cell r="F695">
            <v>57</v>
          </cell>
        </row>
        <row r="696">
          <cell r="A696">
            <v>43405</v>
          </cell>
          <cell r="B696">
            <v>62</v>
          </cell>
          <cell r="C696">
            <v>45231</v>
          </cell>
          <cell r="D696">
            <v>60</v>
          </cell>
          <cell r="E696">
            <v>45231</v>
          </cell>
          <cell r="F696">
            <v>57</v>
          </cell>
        </row>
        <row r="697">
          <cell r="A697">
            <v>43435</v>
          </cell>
          <cell r="B697">
            <v>62</v>
          </cell>
          <cell r="C697">
            <v>45261</v>
          </cell>
          <cell r="D697">
            <v>60</v>
          </cell>
          <cell r="E697">
            <v>45261</v>
          </cell>
          <cell r="F697">
            <v>57</v>
          </cell>
        </row>
        <row r="698">
          <cell r="A698">
            <v>43466</v>
          </cell>
          <cell r="B698">
            <v>62</v>
          </cell>
        </row>
        <row r="699">
          <cell r="A699">
            <v>43497</v>
          </cell>
          <cell r="B699">
            <v>62</v>
          </cell>
        </row>
        <row r="700">
          <cell r="A700">
            <v>43525</v>
          </cell>
          <cell r="B700">
            <v>62</v>
          </cell>
        </row>
        <row r="701">
          <cell r="A701">
            <v>43556</v>
          </cell>
          <cell r="B701">
            <v>62</v>
          </cell>
        </row>
        <row r="702">
          <cell r="A702">
            <v>43586</v>
          </cell>
          <cell r="B702">
            <v>62</v>
          </cell>
        </row>
        <row r="703">
          <cell r="A703">
            <v>43617</v>
          </cell>
          <cell r="B703">
            <v>62</v>
          </cell>
        </row>
        <row r="704">
          <cell r="A704">
            <v>43647</v>
          </cell>
          <cell r="B704">
            <v>62</v>
          </cell>
        </row>
        <row r="705">
          <cell r="A705">
            <v>43678</v>
          </cell>
          <cell r="B705">
            <v>62</v>
          </cell>
        </row>
        <row r="706">
          <cell r="A706">
            <v>43709</v>
          </cell>
          <cell r="B706">
            <v>62</v>
          </cell>
        </row>
        <row r="707">
          <cell r="A707">
            <v>43739</v>
          </cell>
          <cell r="B707">
            <v>62</v>
          </cell>
        </row>
        <row r="708">
          <cell r="A708">
            <v>43770</v>
          </cell>
          <cell r="B708">
            <v>62</v>
          </cell>
        </row>
        <row r="709">
          <cell r="A709">
            <v>43800</v>
          </cell>
          <cell r="B709">
            <v>62</v>
          </cell>
        </row>
        <row r="710">
          <cell r="A710">
            <v>43831</v>
          </cell>
          <cell r="B710">
            <v>62</v>
          </cell>
        </row>
        <row r="711">
          <cell r="A711">
            <v>43862</v>
          </cell>
          <cell r="B711">
            <v>62</v>
          </cell>
        </row>
        <row r="712">
          <cell r="A712">
            <v>43891</v>
          </cell>
          <cell r="B712">
            <v>62</v>
          </cell>
        </row>
        <row r="713">
          <cell r="A713">
            <v>43922</v>
          </cell>
          <cell r="B713">
            <v>62</v>
          </cell>
        </row>
        <row r="714">
          <cell r="A714">
            <v>43952</v>
          </cell>
          <cell r="B714">
            <v>62</v>
          </cell>
        </row>
        <row r="715">
          <cell r="A715">
            <v>43983</v>
          </cell>
          <cell r="B715">
            <v>62</v>
          </cell>
        </row>
        <row r="716">
          <cell r="A716">
            <v>44013</v>
          </cell>
          <cell r="B716">
            <v>62</v>
          </cell>
        </row>
        <row r="717">
          <cell r="A717">
            <v>44044</v>
          </cell>
          <cell r="B717">
            <v>62</v>
          </cell>
        </row>
        <row r="718">
          <cell r="A718">
            <v>44075</v>
          </cell>
          <cell r="B718">
            <v>62</v>
          </cell>
        </row>
        <row r="719">
          <cell r="A719">
            <v>44105</v>
          </cell>
          <cell r="B719">
            <v>62</v>
          </cell>
        </row>
        <row r="720">
          <cell r="A720">
            <v>44136</v>
          </cell>
          <cell r="B720">
            <v>62</v>
          </cell>
        </row>
        <row r="721">
          <cell r="A721">
            <v>44166</v>
          </cell>
          <cell r="B721">
            <v>62</v>
          </cell>
        </row>
        <row r="722">
          <cell r="A722">
            <v>44197</v>
          </cell>
          <cell r="B722">
            <v>62</v>
          </cell>
        </row>
        <row r="723">
          <cell r="A723">
            <v>44228</v>
          </cell>
          <cell r="B723">
            <v>62</v>
          </cell>
        </row>
        <row r="724">
          <cell r="A724">
            <v>44256</v>
          </cell>
          <cell r="B724">
            <v>62</v>
          </cell>
        </row>
        <row r="725">
          <cell r="A725">
            <v>44287</v>
          </cell>
          <cell r="B725">
            <v>62</v>
          </cell>
        </row>
        <row r="726">
          <cell r="A726">
            <v>44317</v>
          </cell>
          <cell r="B726">
            <v>62</v>
          </cell>
        </row>
        <row r="727">
          <cell r="A727">
            <v>44348</v>
          </cell>
          <cell r="B727">
            <v>62</v>
          </cell>
        </row>
        <row r="728">
          <cell r="A728">
            <v>44378</v>
          </cell>
          <cell r="B728">
            <v>62</v>
          </cell>
        </row>
        <row r="729">
          <cell r="A729">
            <v>44409</v>
          </cell>
          <cell r="B729">
            <v>62</v>
          </cell>
        </row>
        <row r="730">
          <cell r="A730">
            <v>44440</v>
          </cell>
          <cell r="B730">
            <v>62</v>
          </cell>
        </row>
        <row r="731">
          <cell r="A731">
            <v>44470</v>
          </cell>
          <cell r="B731">
            <v>62</v>
          </cell>
        </row>
        <row r="732">
          <cell r="A732">
            <v>44501</v>
          </cell>
          <cell r="B732">
            <v>62</v>
          </cell>
        </row>
        <row r="733">
          <cell r="A733">
            <v>44531</v>
          </cell>
          <cell r="B733">
            <v>62</v>
          </cell>
        </row>
        <row r="734">
          <cell r="A734">
            <v>44562</v>
          </cell>
          <cell r="B734">
            <v>62</v>
          </cell>
        </row>
        <row r="735">
          <cell r="A735">
            <v>44593</v>
          </cell>
          <cell r="B735">
            <v>62</v>
          </cell>
        </row>
        <row r="736">
          <cell r="A736">
            <v>44621</v>
          </cell>
          <cell r="B736">
            <v>62</v>
          </cell>
        </row>
        <row r="737">
          <cell r="A737">
            <v>44652</v>
          </cell>
          <cell r="B737">
            <v>62</v>
          </cell>
        </row>
        <row r="738">
          <cell r="A738">
            <v>44682</v>
          </cell>
          <cell r="B738">
            <v>62</v>
          </cell>
        </row>
        <row r="739">
          <cell r="A739">
            <v>44713</v>
          </cell>
          <cell r="B739">
            <v>62</v>
          </cell>
        </row>
        <row r="740">
          <cell r="A740">
            <v>44743</v>
          </cell>
          <cell r="B740">
            <v>62</v>
          </cell>
        </row>
        <row r="741">
          <cell r="A741">
            <v>44774</v>
          </cell>
          <cell r="B741">
            <v>62</v>
          </cell>
        </row>
        <row r="742">
          <cell r="A742">
            <v>44805</v>
          </cell>
          <cell r="B742">
            <v>62</v>
          </cell>
        </row>
        <row r="743">
          <cell r="A743">
            <v>44835</v>
          </cell>
          <cell r="B743">
            <v>62</v>
          </cell>
        </row>
        <row r="744">
          <cell r="A744">
            <v>44866</v>
          </cell>
          <cell r="B744">
            <v>62</v>
          </cell>
        </row>
        <row r="745">
          <cell r="A745">
            <v>44896</v>
          </cell>
          <cell r="B745">
            <v>62</v>
          </cell>
        </row>
        <row r="746">
          <cell r="A746">
            <v>44927</v>
          </cell>
          <cell r="B746">
            <v>62</v>
          </cell>
        </row>
        <row r="747">
          <cell r="A747">
            <v>44958</v>
          </cell>
          <cell r="B747">
            <v>62</v>
          </cell>
        </row>
        <row r="748">
          <cell r="A748">
            <v>44986</v>
          </cell>
          <cell r="B748">
            <v>62</v>
          </cell>
        </row>
        <row r="749">
          <cell r="A749">
            <v>45017</v>
          </cell>
          <cell r="B749">
            <v>62</v>
          </cell>
        </row>
        <row r="750">
          <cell r="A750">
            <v>45047</v>
          </cell>
          <cell r="B750">
            <v>62</v>
          </cell>
        </row>
        <row r="751">
          <cell r="A751">
            <v>45078</v>
          </cell>
          <cell r="B751">
            <v>62</v>
          </cell>
        </row>
        <row r="752">
          <cell r="A752">
            <v>45108</v>
          </cell>
          <cell r="B752">
            <v>62</v>
          </cell>
        </row>
        <row r="753">
          <cell r="A753">
            <v>45139</v>
          </cell>
          <cell r="B753">
            <v>62</v>
          </cell>
        </row>
        <row r="754">
          <cell r="A754">
            <v>45170</v>
          </cell>
          <cell r="B754">
            <v>62</v>
          </cell>
        </row>
        <row r="755">
          <cell r="A755">
            <v>45200</v>
          </cell>
          <cell r="B755">
            <v>62</v>
          </cell>
        </row>
        <row r="756">
          <cell r="A756">
            <v>45231</v>
          </cell>
          <cell r="B756">
            <v>62</v>
          </cell>
        </row>
        <row r="757">
          <cell r="A757">
            <v>45261</v>
          </cell>
          <cell r="B757">
            <v>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8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1"/>
  <sheetViews>
    <sheetView zoomScaleNormal="100" workbookViewId="0">
      <selection activeCell="D5" sqref="D5:F5"/>
    </sheetView>
  </sheetViews>
  <sheetFormatPr defaultColWidth="8.88671875" defaultRowHeight="13.8" x14ac:dyDescent="0.25"/>
  <cols>
    <col min="1" max="1" width="6.5546875" style="342" customWidth="1"/>
    <col min="2" max="2" width="31.33203125" style="342" customWidth="1"/>
    <col min="3" max="3" width="17" style="342" customWidth="1"/>
    <col min="4" max="4" width="17.33203125" style="342" customWidth="1"/>
    <col min="5" max="5" width="16.6640625" style="342" customWidth="1"/>
    <col min="6" max="6" width="16.33203125" style="342" customWidth="1"/>
    <col min="7" max="7" width="14.33203125" style="342" customWidth="1"/>
    <col min="8" max="8" width="13.88671875" style="342" customWidth="1"/>
    <col min="9" max="9" width="12.33203125" style="342" customWidth="1"/>
    <col min="10" max="10" width="14.33203125" style="342" bestFit="1" customWidth="1"/>
    <col min="11" max="11" width="15" style="342" customWidth="1"/>
    <col min="12" max="12" width="17.33203125" style="342" hidden="1" customWidth="1"/>
    <col min="13" max="13" width="13.33203125" style="342" customWidth="1"/>
    <col min="14" max="16384" width="8.88671875" style="342"/>
  </cols>
  <sheetData>
    <row r="1" spans="1:13" ht="15.6" x14ac:dyDescent="0.25">
      <c r="A1" s="339"/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1" t="s">
        <v>371</v>
      </c>
    </row>
    <row r="2" spans="1:13" ht="71.25" customHeight="1" x14ac:dyDescent="0.25">
      <c r="A2" s="486" t="s">
        <v>1201</v>
      </c>
      <c r="B2" s="486"/>
      <c r="C2" s="486"/>
      <c r="D2" s="486"/>
      <c r="E2" s="486"/>
      <c r="F2" s="486"/>
      <c r="G2" s="486"/>
      <c r="H2" s="486"/>
      <c r="I2" s="486"/>
      <c r="J2" s="486"/>
      <c r="K2" s="486"/>
      <c r="L2" s="486"/>
      <c r="M2" s="486"/>
    </row>
    <row r="3" spans="1:13" ht="23.25" customHeight="1" x14ac:dyDescent="0.25">
      <c r="A3" s="487" t="s">
        <v>1206</v>
      </c>
      <c r="B3" s="487"/>
      <c r="C3" s="487"/>
      <c r="D3" s="487"/>
      <c r="E3" s="487"/>
      <c r="F3" s="487"/>
      <c r="G3" s="487"/>
      <c r="H3" s="487"/>
      <c r="I3" s="487"/>
      <c r="J3" s="487"/>
      <c r="K3" s="487"/>
      <c r="L3" s="487"/>
      <c r="M3" s="487"/>
    </row>
    <row r="4" spans="1:13" x14ac:dyDescent="0.25">
      <c r="A4" s="343"/>
      <c r="B4" s="344"/>
      <c r="C4" s="344"/>
      <c r="D4" s="344"/>
      <c r="E4" s="344"/>
      <c r="F4" s="488" t="s">
        <v>1194</v>
      </c>
      <c r="G4" s="488"/>
      <c r="H4" s="488"/>
      <c r="I4" s="488"/>
      <c r="J4" s="488"/>
      <c r="K4" s="488"/>
      <c r="L4" s="488"/>
      <c r="M4" s="488"/>
    </row>
    <row r="5" spans="1:13" ht="36" customHeight="1" x14ac:dyDescent="0.25">
      <c r="A5" s="481" t="s">
        <v>0</v>
      </c>
      <c r="B5" s="481" t="s">
        <v>1184</v>
      </c>
      <c r="C5" s="481" t="s">
        <v>372</v>
      </c>
      <c r="D5" s="484" t="s">
        <v>1200</v>
      </c>
      <c r="E5" s="484"/>
      <c r="F5" s="484"/>
      <c r="G5" s="484" t="s">
        <v>1198</v>
      </c>
      <c r="H5" s="484"/>
      <c r="I5" s="484"/>
      <c r="J5" s="484" t="s">
        <v>1199</v>
      </c>
      <c r="K5" s="484"/>
      <c r="L5" s="484"/>
      <c r="M5" s="489" t="s">
        <v>249</v>
      </c>
    </row>
    <row r="6" spans="1:13" ht="15" customHeight="1" x14ac:dyDescent="0.25">
      <c r="A6" s="482"/>
      <c r="B6" s="482"/>
      <c r="C6" s="482"/>
      <c r="D6" s="481" t="s">
        <v>373</v>
      </c>
      <c r="E6" s="484" t="s">
        <v>374</v>
      </c>
      <c r="F6" s="485" t="s">
        <v>289</v>
      </c>
      <c r="G6" s="481" t="s">
        <v>1105</v>
      </c>
      <c r="H6" s="484" t="s">
        <v>374</v>
      </c>
      <c r="I6" s="485" t="s">
        <v>289</v>
      </c>
      <c r="J6" s="481" t="s">
        <v>1105</v>
      </c>
      <c r="K6" s="484" t="s">
        <v>374</v>
      </c>
      <c r="L6" s="485" t="s">
        <v>289</v>
      </c>
      <c r="M6" s="490"/>
    </row>
    <row r="7" spans="1:13" ht="15" customHeight="1" x14ac:dyDescent="0.25">
      <c r="A7" s="482"/>
      <c r="B7" s="482"/>
      <c r="C7" s="482"/>
      <c r="D7" s="482"/>
      <c r="E7" s="484"/>
      <c r="F7" s="485"/>
      <c r="G7" s="482"/>
      <c r="H7" s="484"/>
      <c r="I7" s="485"/>
      <c r="J7" s="482"/>
      <c r="K7" s="484"/>
      <c r="L7" s="485"/>
      <c r="M7" s="490"/>
    </row>
    <row r="8" spans="1:13" ht="15" customHeight="1" x14ac:dyDescent="0.25">
      <c r="A8" s="483"/>
      <c r="B8" s="483"/>
      <c r="C8" s="483"/>
      <c r="D8" s="483"/>
      <c r="E8" s="484"/>
      <c r="F8" s="485"/>
      <c r="G8" s="483"/>
      <c r="H8" s="484"/>
      <c r="I8" s="485"/>
      <c r="J8" s="483"/>
      <c r="K8" s="484"/>
      <c r="L8" s="485"/>
      <c r="M8" s="491"/>
    </row>
    <row r="9" spans="1:13" x14ac:dyDescent="0.25">
      <c r="A9" s="345" t="s">
        <v>375</v>
      </c>
      <c r="B9" s="345" t="s">
        <v>376</v>
      </c>
      <c r="C9" s="346" t="s">
        <v>1188</v>
      </c>
      <c r="D9" s="346" t="s">
        <v>1186</v>
      </c>
      <c r="E9" s="345">
        <v>3</v>
      </c>
      <c r="F9" s="346">
        <v>4</v>
      </c>
      <c r="G9" s="346" t="s">
        <v>287</v>
      </c>
      <c r="H9" s="345">
        <v>6</v>
      </c>
      <c r="I9" s="346">
        <v>7</v>
      </c>
      <c r="J9" s="346" t="s">
        <v>1187</v>
      </c>
      <c r="K9" s="345">
        <v>9</v>
      </c>
      <c r="L9" s="346">
        <v>7</v>
      </c>
      <c r="M9" s="345">
        <v>10</v>
      </c>
    </row>
    <row r="10" spans="1:13" ht="30.75" customHeight="1" x14ac:dyDescent="0.25">
      <c r="A10" s="347"/>
      <c r="B10" s="347" t="s">
        <v>377</v>
      </c>
      <c r="C10" s="445" t="e">
        <f>C11+C26</f>
        <v>#VALUE!</v>
      </c>
      <c r="D10" s="445">
        <f>D11+D26</f>
        <v>350455122</v>
      </c>
      <c r="E10" s="445">
        <f>E11+E26</f>
        <v>103117504</v>
      </c>
      <c r="F10" s="445">
        <f>F11+F26</f>
        <v>247337618</v>
      </c>
      <c r="G10" s="445" t="e">
        <f>H10+I10</f>
        <v>#VALUE!</v>
      </c>
      <c r="H10" s="445" t="e">
        <f>H11+H26</f>
        <v>#VALUE!</v>
      </c>
      <c r="I10" s="445">
        <f>I11+I26</f>
        <v>786507</v>
      </c>
      <c r="J10" s="445">
        <f>K10+L10</f>
        <v>2960539</v>
      </c>
      <c r="K10" s="445">
        <f>K11+K26</f>
        <v>2960539</v>
      </c>
      <c r="L10" s="348">
        <f>L11+L26</f>
        <v>0</v>
      </c>
      <c r="M10" s="349"/>
    </row>
    <row r="11" spans="1:13" s="353" customFormat="1" ht="22.5" customHeight="1" x14ac:dyDescent="0.25">
      <c r="A11" s="350" t="s">
        <v>57</v>
      </c>
      <c r="B11" s="351" t="s">
        <v>378</v>
      </c>
      <c r="C11" s="352">
        <f>SUM(C12:C25)</f>
        <v>60571170</v>
      </c>
      <c r="D11" s="352">
        <f t="shared" ref="D11:L11" si="0">SUM(D12:D25)</f>
        <v>57610631</v>
      </c>
      <c r="E11" s="352">
        <f t="shared" si="0"/>
        <v>40355205</v>
      </c>
      <c r="F11" s="352">
        <f t="shared" si="0"/>
        <v>17255426</v>
      </c>
      <c r="G11" s="352">
        <f t="shared" si="0"/>
        <v>0</v>
      </c>
      <c r="H11" s="352">
        <f t="shared" si="0"/>
        <v>0</v>
      </c>
      <c r="I11" s="352">
        <f t="shared" si="0"/>
        <v>0</v>
      </c>
      <c r="J11" s="352">
        <f t="shared" si="0"/>
        <v>2960539</v>
      </c>
      <c r="K11" s="352">
        <f t="shared" si="0"/>
        <v>2960539</v>
      </c>
      <c r="L11" s="352">
        <f t="shared" si="0"/>
        <v>0</v>
      </c>
      <c r="M11" s="352">
        <f t="shared" ref="M11" si="1">SUM(M12:M24)</f>
        <v>0</v>
      </c>
    </row>
    <row r="12" spans="1:13" s="353" customFormat="1" ht="22.5" customHeight="1" x14ac:dyDescent="0.25">
      <c r="A12" s="354">
        <v>1</v>
      </c>
      <c r="B12" s="355" t="s">
        <v>1107</v>
      </c>
      <c r="C12" s="356">
        <f>D12+G12+J12</f>
        <v>4783530</v>
      </c>
      <c r="D12" s="357">
        <f>E12+F12</f>
        <v>4783530</v>
      </c>
      <c r="E12" s="358">
        <f>'178 khoi tinh'!AG11</f>
        <v>3620623</v>
      </c>
      <c r="F12" s="358">
        <f>'178 khoi tinh'!AH11</f>
        <v>1162907</v>
      </c>
      <c r="G12" s="357"/>
      <c r="H12" s="358"/>
      <c r="I12" s="358"/>
      <c r="J12" s="357"/>
      <c r="K12" s="358"/>
      <c r="L12" s="358"/>
      <c r="M12" s="359"/>
    </row>
    <row r="13" spans="1:13" s="353" customFormat="1" ht="22.5" customHeight="1" x14ac:dyDescent="0.25">
      <c r="A13" s="354">
        <v>2</v>
      </c>
      <c r="B13" s="355" t="s">
        <v>1108</v>
      </c>
      <c r="C13" s="356">
        <f t="shared" ref="C13:C25" si="2">D13+G13+J13</f>
        <v>1689188</v>
      </c>
      <c r="D13" s="357">
        <f t="shared" ref="D13:D18" si="3">E13+F13</f>
        <v>1689188</v>
      </c>
      <c r="E13" s="358">
        <f>'178 khoi tinh'!AG15</f>
        <v>1689188</v>
      </c>
      <c r="F13" s="358"/>
      <c r="G13" s="357"/>
      <c r="H13" s="358"/>
      <c r="I13" s="358"/>
      <c r="J13" s="357"/>
      <c r="K13" s="358"/>
      <c r="L13" s="358"/>
      <c r="M13" s="359"/>
    </row>
    <row r="14" spans="1:13" s="353" customFormat="1" ht="22.5" customHeight="1" x14ac:dyDescent="0.25">
      <c r="A14" s="354">
        <v>3</v>
      </c>
      <c r="B14" s="355" t="s">
        <v>1109</v>
      </c>
      <c r="C14" s="356">
        <f t="shared" si="2"/>
        <v>927825</v>
      </c>
      <c r="D14" s="357">
        <f t="shared" si="3"/>
        <v>927825</v>
      </c>
      <c r="E14" s="358"/>
      <c r="F14" s="358">
        <f>'178 khoi tinh'!AH17</f>
        <v>927825</v>
      </c>
      <c r="G14" s="357"/>
      <c r="H14" s="358"/>
      <c r="I14" s="358"/>
      <c r="J14" s="357"/>
      <c r="K14" s="358"/>
      <c r="L14" s="358"/>
      <c r="M14" s="359"/>
    </row>
    <row r="15" spans="1:13" s="353" customFormat="1" ht="22.5" customHeight="1" x14ac:dyDescent="0.25">
      <c r="A15" s="354">
        <v>4</v>
      </c>
      <c r="B15" s="355" t="s">
        <v>1110</v>
      </c>
      <c r="C15" s="356">
        <f t="shared" si="2"/>
        <v>5252281</v>
      </c>
      <c r="D15" s="357">
        <f t="shared" si="3"/>
        <v>5252281</v>
      </c>
      <c r="E15" s="358">
        <f>'178 khoi tinh'!AG19</f>
        <v>3060514</v>
      </c>
      <c r="F15" s="358">
        <f>'178 khoi tinh'!AH19</f>
        <v>2191767</v>
      </c>
      <c r="G15" s="357"/>
      <c r="H15" s="358"/>
      <c r="I15" s="358"/>
      <c r="J15" s="357"/>
      <c r="K15" s="358"/>
      <c r="L15" s="358"/>
      <c r="M15" s="359"/>
    </row>
    <row r="16" spans="1:13" s="353" customFormat="1" ht="22.5" customHeight="1" x14ac:dyDescent="0.25">
      <c r="A16" s="354">
        <v>5</v>
      </c>
      <c r="B16" s="355" t="s">
        <v>382</v>
      </c>
      <c r="C16" s="356">
        <f t="shared" si="2"/>
        <v>6919786</v>
      </c>
      <c r="D16" s="357">
        <f t="shared" si="3"/>
        <v>6919786</v>
      </c>
      <c r="E16" s="358">
        <f>'178 khoi tinh'!AG24</f>
        <v>4381972</v>
      </c>
      <c r="F16" s="358">
        <f>'178 khoi tinh'!AH24</f>
        <v>2537814</v>
      </c>
      <c r="G16" s="357"/>
      <c r="H16" s="358"/>
      <c r="I16" s="358"/>
      <c r="J16" s="357"/>
      <c r="K16" s="358"/>
      <c r="L16" s="358"/>
      <c r="M16" s="359"/>
    </row>
    <row r="17" spans="1:13" s="353" customFormat="1" ht="22.5" customHeight="1" x14ac:dyDescent="0.25">
      <c r="A17" s="354">
        <v>6</v>
      </c>
      <c r="B17" s="355" t="s">
        <v>381</v>
      </c>
      <c r="C17" s="356">
        <f t="shared" si="2"/>
        <v>12207684</v>
      </c>
      <c r="D17" s="357">
        <f t="shared" si="3"/>
        <v>12207684</v>
      </c>
      <c r="E17" s="358">
        <f>'178 khoi tinh'!AG31</f>
        <v>9730378</v>
      </c>
      <c r="F17" s="358">
        <f>'178 khoi tinh'!AH31</f>
        <v>2477306</v>
      </c>
      <c r="G17" s="357"/>
      <c r="H17" s="358"/>
      <c r="I17" s="358"/>
      <c r="J17" s="357"/>
      <c r="K17" s="358"/>
      <c r="L17" s="358"/>
      <c r="M17" s="359"/>
    </row>
    <row r="18" spans="1:13" s="353" customFormat="1" ht="22.5" customHeight="1" x14ac:dyDescent="0.25">
      <c r="A18" s="354">
        <v>7</v>
      </c>
      <c r="B18" s="355" t="s">
        <v>1111</v>
      </c>
      <c r="C18" s="356">
        <f t="shared" si="2"/>
        <v>4508515</v>
      </c>
      <c r="D18" s="357">
        <f t="shared" si="3"/>
        <v>4508515</v>
      </c>
      <c r="E18" s="358">
        <f>'178 khoi tinh'!AG68</f>
        <v>4508515</v>
      </c>
      <c r="F18" s="358"/>
      <c r="G18" s="357"/>
      <c r="H18" s="358"/>
      <c r="I18" s="358"/>
      <c r="J18" s="357"/>
      <c r="K18" s="358"/>
      <c r="L18" s="358"/>
      <c r="M18" s="359"/>
    </row>
    <row r="19" spans="1:13" s="353" customFormat="1" ht="22.5" customHeight="1" x14ac:dyDescent="0.25">
      <c r="A19" s="354">
        <v>8</v>
      </c>
      <c r="B19" s="355" t="s">
        <v>380</v>
      </c>
      <c r="C19" s="356">
        <f t="shared" si="2"/>
        <v>1875393</v>
      </c>
      <c r="D19" s="357">
        <f>E19+F19</f>
        <v>1875393</v>
      </c>
      <c r="E19" s="358"/>
      <c r="F19" s="358">
        <f>'178 khoi tinh'!AH72</f>
        <v>1875393</v>
      </c>
      <c r="G19" s="357"/>
      <c r="H19" s="358"/>
      <c r="I19" s="358"/>
      <c r="J19" s="357"/>
      <c r="K19" s="358"/>
      <c r="L19" s="358"/>
      <c r="M19" s="359"/>
    </row>
    <row r="20" spans="1:13" s="353" customFormat="1" ht="22.5" customHeight="1" x14ac:dyDescent="0.25">
      <c r="A20" s="354">
        <v>9</v>
      </c>
      <c r="B20" s="355" t="s">
        <v>379</v>
      </c>
      <c r="C20" s="356">
        <f t="shared" si="2"/>
        <v>10173619</v>
      </c>
      <c r="D20" s="357">
        <f t="shared" ref="D20:D24" si="4">E20+F20</f>
        <v>8744376</v>
      </c>
      <c r="E20" s="358">
        <f>'178 khoi tinh'!AG75</f>
        <v>8744376</v>
      </c>
      <c r="F20" s="358"/>
      <c r="G20" s="357"/>
      <c r="H20" s="358"/>
      <c r="I20" s="358"/>
      <c r="J20" s="357">
        <f>K20+L20</f>
        <v>1429243</v>
      </c>
      <c r="K20" s="358">
        <f>'177'!AJ12</f>
        <v>1429243</v>
      </c>
      <c r="L20" s="358"/>
      <c r="M20" s="359"/>
    </row>
    <row r="21" spans="1:13" s="353" customFormat="1" ht="22.5" customHeight="1" x14ac:dyDescent="0.25">
      <c r="A21" s="354">
        <v>10</v>
      </c>
      <c r="B21" s="355" t="s">
        <v>1112</v>
      </c>
      <c r="C21" s="356">
        <f t="shared" si="2"/>
        <v>2239863</v>
      </c>
      <c r="D21" s="357">
        <f t="shared" si="4"/>
        <v>2239863</v>
      </c>
      <c r="E21" s="358">
        <f>'178 khoi tinh'!AG82</f>
        <v>549315</v>
      </c>
      <c r="F21" s="358">
        <f>'178 khoi tinh'!AH82</f>
        <v>1690548</v>
      </c>
      <c r="G21" s="357"/>
      <c r="H21" s="358"/>
      <c r="I21" s="358"/>
      <c r="J21" s="357"/>
      <c r="K21" s="358"/>
      <c r="L21" s="358"/>
      <c r="M21" s="359"/>
    </row>
    <row r="22" spans="1:13" s="353" customFormat="1" ht="22.5" customHeight="1" x14ac:dyDescent="0.25">
      <c r="A22" s="354">
        <v>11</v>
      </c>
      <c r="B22" s="355" t="s">
        <v>383</v>
      </c>
      <c r="C22" s="356">
        <f t="shared" si="2"/>
        <v>603501</v>
      </c>
      <c r="D22" s="357">
        <f t="shared" si="4"/>
        <v>603501</v>
      </c>
      <c r="E22" s="358">
        <f>'178 khoi tinh'!AG94</f>
        <v>0</v>
      </c>
      <c r="F22" s="358">
        <f>'178 khoi tinh'!AH94</f>
        <v>603501</v>
      </c>
      <c r="G22" s="357"/>
      <c r="H22" s="358"/>
      <c r="I22" s="358"/>
      <c r="J22" s="357"/>
      <c r="K22" s="358"/>
      <c r="L22" s="358"/>
      <c r="M22" s="359"/>
    </row>
    <row r="23" spans="1:13" s="353" customFormat="1" ht="22.5" customHeight="1" x14ac:dyDescent="0.25">
      <c r="A23" s="354">
        <v>12</v>
      </c>
      <c r="B23" s="355" t="s">
        <v>1113</v>
      </c>
      <c r="C23" s="356">
        <f t="shared" si="2"/>
        <v>5359459</v>
      </c>
      <c r="D23" s="357">
        <f t="shared" si="4"/>
        <v>5359459</v>
      </c>
      <c r="E23" s="358">
        <f>'178 khoi tinh'!AG86</f>
        <v>4070324</v>
      </c>
      <c r="F23" s="358">
        <f>'178 khoi tinh'!AH86</f>
        <v>1289135</v>
      </c>
      <c r="G23" s="357"/>
      <c r="H23" s="358"/>
      <c r="I23" s="358"/>
      <c r="J23" s="357"/>
      <c r="K23" s="358"/>
      <c r="L23" s="358"/>
      <c r="M23" s="359"/>
    </row>
    <row r="24" spans="1:13" s="353" customFormat="1" ht="31.2" x14ac:dyDescent="0.25">
      <c r="A24" s="354">
        <v>13</v>
      </c>
      <c r="B24" s="355" t="s">
        <v>1114</v>
      </c>
      <c r="C24" s="356">
        <f t="shared" si="2"/>
        <v>2499230</v>
      </c>
      <c r="D24" s="357">
        <f t="shared" si="4"/>
        <v>2499230</v>
      </c>
      <c r="E24" s="358">
        <f>'178 khoi tinh'!AG91</f>
        <v>0</v>
      </c>
      <c r="F24" s="358">
        <f>'178 khoi tinh'!AH91</f>
        <v>2499230</v>
      </c>
      <c r="G24" s="357"/>
      <c r="H24" s="358"/>
      <c r="I24" s="358"/>
      <c r="J24" s="357"/>
      <c r="K24" s="358"/>
      <c r="L24" s="358"/>
      <c r="M24" s="359"/>
    </row>
    <row r="25" spans="1:13" s="353" customFormat="1" ht="31.2" x14ac:dyDescent="0.25">
      <c r="A25" s="354">
        <v>14</v>
      </c>
      <c r="B25" s="355" t="s">
        <v>1181</v>
      </c>
      <c r="C25" s="356">
        <f t="shared" si="2"/>
        <v>1531296</v>
      </c>
      <c r="D25" s="360"/>
      <c r="E25" s="358"/>
      <c r="F25" s="358"/>
      <c r="G25" s="360"/>
      <c r="H25" s="358"/>
      <c r="I25" s="358"/>
      <c r="J25" s="360">
        <f>K25+L25</f>
        <v>1531296</v>
      </c>
      <c r="K25" s="358">
        <f>'177'!AJ14</f>
        <v>1531296</v>
      </c>
      <c r="L25" s="358"/>
      <c r="M25" s="359"/>
    </row>
    <row r="26" spans="1:13" s="353" customFormat="1" ht="22.5" customHeight="1" x14ac:dyDescent="0.25">
      <c r="A26" s="361" t="s">
        <v>64</v>
      </c>
      <c r="B26" s="362" t="s">
        <v>1106</v>
      </c>
      <c r="C26" s="363" t="e">
        <f>SUM(C27:C91)</f>
        <v>#VALUE!</v>
      </c>
      <c r="D26" s="363">
        <f t="shared" ref="D26:M26" si="5">SUM(D27:D91)</f>
        <v>292844491</v>
      </c>
      <c r="E26" s="363">
        <f t="shared" si="5"/>
        <v>62762299</v>
      </c>
      <c r="F26" s="363">
        <f t="shared" si="5"/>
        <v>230082192</v>
      </c>
      <c r="G26" s="363" t="e">
        <f t="shared" si="5"/>
        <v>#VALUE!</v>
      </c>
      <c r="H26" s="363" t="e">
        <f t="shared" si="5"/>
        <v>#VALUE!</v>
      </c>
      <c r="I26" s="363">
        <f t="shared" si="5"/>
        <v>786507</v>
      </c>
      <c r="J26" s="363">
        <f t="shared" si="5"/>
        <v>0</v>
      </c>
      <c r="K26" s="363">
        <f t="shared" si="5"/>
        <v>0</v>
      </c>
      <c r="L26" s="363">
        <f t="shared" si="5"/>
        <v>0</v>
      </c>
      <c r="M26" s="363">
        <f t="shared" si="5"/>
        <v>0</v>
      </c>
    </row>
    <row r="27" spans="1:13" s="353" customFormat="1" ht="22.5" customHeight="1" x14ac:dyDescent="0.25">
      <c r="A27" s="364">
        <v>1</v>
      </c>
      <c r="B27" s="365" t="s">
        <v>1115</v>
      </c>
      <c r="C27" s="356">
        <f t="shared" ref="C27:C89" si="6">D27+G27</f>
        <v>3656521</v>
      </c>
      <c r="D27" s="357">
        <f t="shared" ref="D27:D89" si="7">E27+F27</f>
        <v>3656521</v>
      </c>
      <c r="E27" s="358">
        <f>'178Khoi xa'!AG11</f>
        <v>1547691</v>
      </c>
      <c r="F27" s="358">
        <f>'178Khoi xa'!AH11</f>
        <v>2108830</v>
      </c>
      <c r="G27" s="357">
        <f>H27+I27</f>
        <v>0</v>
      </c>
      <c r="H27" s="357"/>
      <c r="I27" s="366"/>
      <c r="J27" s="357">
        <f>K27+L27</f>
        <v>0</v>
      </c>
      <c r="K27" s="357"/>
      <c r="L27" s="366"/>
      <c r="M27" s="367"/>
    </row>
    <row r="28" spans="1:13" s="353" customFormat="1" ht="22.5" customHeight="1" x14ac:dyDescent="0.25">
      <c r="A28" s="364">
        <v>2</v>
      </c>
      <c r="B28" s="365" t="s">
        <v>1116</v>
      </c>
      <c r="C28" s="356">
        <f t="shared" si="6"/>
        <v>6583160</v>
      </c>
      <c r="D28" s="357">
        <f t="shared" si="7"/>
        <v>6583160</v>
      </c>
      <c r="E28" s="358">
        <f>'178Khoi xa'!AG15</f>
        <v>655712</v>
      </c>
      <c r="F28" s="358">
        <f>'178Khoi xa'!AH15</f>
        <v>5927448</v>
      </c>
      <c r="G28" s="357">
        <f t="shared" ref="G28:G82" si="8">H28+I28</f>
        <v>0</v>
      </c>
      <c r="H28" s="357"/>
      <c r="I28" s="366"/>
      <c r="J28" s="357">
        <f t="shared" ref="J28:J82" si="9">K28+L28</f>
        <v>0</v>
      </c>
      <c r="K28" s="357"/>
      <c r="L28" s="366"/>
      <c r="M28" s="368"/>
    </row>
    <row r="29" spans="1:13" s="353" customFormat="1" ht="22.5" customHeight="1" x14ac:dyDescent="0.25">
      <c r="A29" s="364">
        <v>3</v>
      </c>
      <c r="B29" s="365" t="s">
        <v>1117</v>
      </c>
      <c r="C29" s="356">
        <f t="shared" si="6"/>
        <v>631800</v>
      </c>
      <c r="D29" s="357">
        <f t="shared" si="7"/>
        <v>631800</v>
      </c>
      <c r="E29" s="358">
        <f>'178Khoi xa'!AG24</f>
        <v>0</v>
      </c>
      <c r="F29" s="358">
        <f>'178Khoi xa'!AH24</f>
        <v>631800</v>
      </c>
      <c r="G29" s="357">
        <f t="shared" si="8"/>
        <v>0</v>
      </c>
      <c r="H29" s="357"/>
      <c r="I29" s="366"/>
      <c r="J29" s="357">
        <f t="shared" si="9"/>
        <v>0</v>
      </c>
      <c r="K29" s="357"/>
      <c r="L29" s="366"/>
      <c r="M29" s="364"/>
    </row>
    <row r="30" spans="1:13" s="353" customFormat="1" ht="22.5" customHeight="1" x14ac:dyDescent="0.25">
      <c r="A30" s="364">
        <v>4</v>
      </c>
      <c r="B30" s="369" t="s">
        <v>1118</v>
      </c>
      <c r="C30" s="356">
        <f t="shared" si="6"/>
        <v>8309723</v>
      </c>
      <c r="D30" s="357">
        <f t="shared" si="7"/>
        <v>8309723</v>
      </c>
      <c r="E30" s="358">
        <f>'178Khoi xa'!AG26</f>
        <v>2561000</v>
      </c>
      <c r="F30" s="358">
        <f>'178Khoi xa'!AH26</f>
        <v>5748723</v>
      </c>
      <c r="G30" s="357">
        <f t="shared" si="8"/>
        <v>0</v>
      </c>
      <c r="H30" s="369"/>
      <c r="I30" s="369"/>
      <c r="J30" s="357">
        <f t="shared" si="9"/>
        <v>0</v>
      </c>
      <c r="K30" s="369"/>
      <c r="L30" s="369"/>
      <c r="M30" s="369"/>
    </row>
    <row r="31" spans="1:13" s="353" customFormat="1" ht="22.5" customHeight="1" x14ac:dyDescent="0.25">
      <c r="A31" s="364">
        <v>5</v>
      </c>
      <c r="B31" s="369" t="s">
        <v>1119</v>
      </c>
      <c r="C31" s="356">
        <f t="shared" si="6"/>
        <v>4186596</v>
      </c>
      <c r="D31" s="357">
        <f t="shared" si="7"/>
        <v>4186596</v>
      </c>
      <c r="E31" s="358">
        <f>'178Khoi xa'!AG36</f>
        <v>0</v>
      </c>
      <c r="F31" s="358">
        <f>'178Khoi xa'!AH36</f>
        <v>4186596</v>
      </c>
      <c r="G31" s="357">
        <f t="shared" si="8"/>
        <v>0</v>
      </c>
      <c r="H31" s="369"/>
      <c r="I31" s="369"/>
      <c r="J31" s="357">
        <f t="shared" si="9"/>
        <v>0</v>
      </c>
      <c r="K31" s="369"/>
      <c r="L31" s="369"/>
      <c r="M31" s="369"/>
    </row>
    <row r="32" spans="1:13" s="353" customFormat="1" ht="22.5" customHeight="1" x14ac:dyDescent="0.25">
      <c r="A32" s="364">
        <v>6</v>
      </c>
      <c r="B32" s="369" t="s">
        <v>1120</v>
      </c>
      <c r="C32" s="356">
        <f t="shared" si="6"/>
        <v>6153514</v>
      </c>
      <c r="D32" s="357">
        <f t="shared" si="7"/>
        <v>6153514</v>
      </c>
      <c r="E32" s="358">
        <f>'178Khoi xa'!AG42</f>
        <v>3410141</v>
      </c>
      <c r="F32" s="358">
        <f>'178Khoi xa'!AH42</f>
        <v>2743373</v>
      </c>
      <c r="G32" s="357">
        <f t="shared" si="8"/>
        <v>0</v>
      </c>
      <c r="H32" s="369"/>
      <c r="I32" s="369"/>
      <c r="J32" s="357">
        <f t="shared" si="9"/>
        <v>0</v>
      </c>
      <c r="K32" s="369"/>
      <c r="L32" s="369"/>
      <c r="M32" s="369"/>
    </row>
    <row r="33" spans="1:13" s="353" customFormat="1" ht="22.5" customHeight="1" x14ac:dyDescent="0.25">
      <c r="A33" s="364">
        <v>7</v>
      </c>
      <c r="B33" s="369" t="s">
        <v>1121</v>
      </c>
      <c r="C33" s="356">
        <f t="shared" si="6"/>
        <v>3389015</v>
      </c>
      <c r="D33" s="357">
        <f t="shared" si="7"/>
        <v>3389015</v>
      </c>
      <c r="E33" s="358">
        <f>'178Khoi xa'!AG49</f>
        <v>0</v>
      </c>
      <c r="F33" s="358">
        <f>'178Khoi xa'!AH49</f>
        <v>3389015</v>
      </c>
      <c r="G33" s="357">
        <f t="shared" si="8"/>
        <v>0</v>
      </c>
      <c r="H33" s="369"/>
      <c r="I33" s="369"/>
      <c r="J33" s="357">
        <f t="shared" si="9"/>
        <v>0</v>
      </c>
      <c r="K33" s="369"/>
      <c r="L33" s="369"/>
      <c r="M33" s="369"/>
    </row>
    <row r="34" spans="1:13" s="353" customFormat="1" ht="22.5" customHeight="1" x14ac:dyDescent="0.25">
      <c r="A34" s="364">
        <v>8</v>
      </c>
      <c r="B34" s="369" t="s">
        <v>1122</v>
      </c>
      <c r="C34" s="356">
        <f t="shared" si="6"/>
        <v>8780813</v>
      </c>
      <c r="D34" s="357">
        <f t="shared" si="7"/>
        <v>8780813</v>
      </c>
      <c r="E34" s="358">
        <f>'178Khoi xa'!AG54</f>
        <v>0</v>
      </c>
      <c r="F34" s="358">
        <f>'178Khoi xa'!AH54</f>
        <v>8780813</v>
      </c>
      <c r="G34" s="357">
        <f t="shared" si="8"/>
        <v>0</v>
      </c>
      <c r="H34" s="369"/>
      <c r="I34" s="369"/>
      <c r="J34" s="357">
        <f t="shared" si="9"/>
        <v>0</v>
      </c>
      <c r="K34" s="369"/>
      <c r="L34" s="369"/>
      <c r="M34" s="369"/>
    </row>
    <row r="35" spans="1:13" s="353" customFormat="1" ht="22.5" customHeight="1" x14ac:dyDescent="0.25">
      <c r="A35" s="364">
        <v>9</v>
      </c>
      <c r="B35" s="369" t="s">
        <v>1123</v>
      </c>
      <c r="C35" s="356">
        <f t="shared" si="6"/>
        <v>4950679</v>
      </c>
      <c r="D35" s="357">
        <f t="shared" si="7"/>
        <v>4950679</v>
      </c>
      <c r="E35" s="358">
        <f>'178Khoi xa'!AG65</f>
        <v>0</v>
      </c>
      <c r="F35" s="358">
        <f>'178Khoi xa'!AH65</f>
        <v>4950679</v>
      </c>
      <c r="G35" s="357">
        <f t="shared" si="8"/>
        <v>0</v>
      </c>
      <c r="H35" s="369"/>
      <c r="I35" s="369"/>
      <c r="J35" s="357">
        <f t="shared" si="9"/>
        <v>0</v>
      </c>
      <c r="K35" s="369"/>
      <c r="L35" s="369"/>
      <c r="M35" s="369"/>
    </row>
    <row r="36" spans="1:13" s="353" customFormat="1" ht="22.5" customHeight="1" x14ac:dyDescent="0.25">
      <c r="A36" s="364">
        <v>10</v>
      </c>
      <c r="B36" s="369" t="s">
        <v>1124</v>
      </c>
      <c r="C36" s="356">
        <f t="shared" si="6"/>
        <v>7056703</v>
      </c>
      <c r="D36" s="357">
        <f t="shared" si="7"/>
        <v>7056703</v>
      </c>
      <c r="E36" s="358">
        <f>'178Khoi xa'!AG71</f>
        <v>0</v>
      </c>
      <c r="F36" s="358">
        <f>'178Khoi xa'!AH71</f>
        <v>7056703</v>
      </c>
      <c r="G36" s="357">
        <f t="shared" si="8"/>
        <v>0</v>
      </c>
      <c r="H36" s="369"/>
      <c r="I36" s="369"/>
      <c r="J36" s="357">
        <f t="shared" si="9"/>
        <v>0</v>
      </c>
      <c r="K36" s="369"/>
      <c r="L36" s="369"/>
      <c r="M36" s="369"/>
    </row>
    <row r="37" spans="1:13" s="372" customFormat="1" ht="22.5" customHeight="1" x14ac:dyDescent="0.25">
      <c r="A37" s="364">
        <v>11</v>
      </c>
      <c r="B37" s="370" t="s">
        <v>1125</v>
      </c>
      <c r="C37" s="356">
        <f t="shared" si="6"/>
        <v>2179095</v>
      </c>
      <c r="D37" s="357">
        <f t="shared" si="7"/>
        <v>1701780</v>
      </c>
      <c r="E37" s="358">
        <f>'178Khoi xa'!AG81</f>
        <v>0</v>
      </c>
      <c r="F37" s="358">
        <f>'178Khoi xa'!AH81</f>
        <v>1701780</v>
      </c>
      <c r="G37" s="357">
        <f t="shared" si="8"/>
        <v>477315</v>
      </c>
      <c r="H37" s="371">
        <f>'154'!AP14</f>
        <v>477315</v>
      </c>
      <c r="I37" s="370"/>
      <c r="J37" s="357">
        <f t="shared" si="9"/>
        <v>0</v>
      </c>
      <c r="K37" s="371"/>
      <c r="L37" s="370"/>
      <c r="M37" s="370"/>
    </row>
    <row r="38" spans="1:13" s="353" customFormat="1" ht="22.5" customHeight="1" x14ac:dyDescent="0.25">
      <c r="A38" s="364">
        <v>12</v>
      </c>
      <c r="B38" s="369" t="s">
        <v>1126</v>
      </c>
      <c r="C38" s="356">
        <f t="shared" si="6"/>
        <v>9927663</v>
      </c>
      <c r="D38" s="357">
        <f t="shared" si="7"/>
        <v>9927663</v>
      </c>
      <c r="E38" s="358">
        <f>'178Khoi xa'!AG84</f>
        <v>2387524</v>
      </c>
      <c r="F38" s="358">
        <f>'178Khoi xa'!AH84</f>
        <v>7540139</v>
      </c>
      <c r="G38" s="357">
        <f t="shared" si="8"/>
        <v>0</v>
      </c>
      <c r="H38" s="369"/>
      <c r="I38" s="369"/>
      <c r="J38" s="357">
        <f t="shared" si="9"/>
        <v>0</v>
      </c>
      <c r="K38" s="369"/>
      <c r="L38" s="369"/>
      <c r="M38" s="369"/>
    </row>
    <row r="39" spans="1:13" s="353" customFormat="1" ht="22.5" customHeight="1" x14ac:dyDescent="0.25">
      <c r="A39" s="364">
        <v>13</v>
      </c>
      <c r="B39" s="369" t="s">
        <v>1127</v>
      </c>
      <c r="C39" s="356">
        <f t="shared" si="6"/>
        <v>5358850</v>
      </c>
      <c r="D39" s="357">
        <f t="shared" si="7"/>
        <v>5358850</v>
      </c>
      <c r="E39" s="358">
        <f>'178Khoi xa'!AG95</f>
        <v>2502696</v>
      </c>
      <c r="F39" s="358">
        <f>'178Khoi xa'!AH95</f>
        <v>2856154</v>
      </c>
      <c r="G39" s="357">
        <f t="shared" si="8"/>
        <v>0</v>
      </c>
      <c r="H39" s="369"/>
      <c r="I39" s="369"/>
      <c r="J39" s="357">
        <f t="shared" si="9"/>
        <v>0</v>
      </c>
      <c r="K39" s="369"/>
      <c r="L39" s="369"/>
      <c r="M39" s="369"/>
    </row>
    <row r="40" spans="1:13" s="353" customFormat="1" ht="22.5" customHeight="1" x14ac:dyDescent="0.25">
      <c r="A40" s="364">
        <v>14</v>
      </c>
      <c r="B40" s="369" t="s">
        <v>1128</v>
      </c>
      <c r="C40" s="356">
        <f t="shared" si="6"/>
        <v>6618061</v>
      </c>
      <c r="D40" s="357">
        <f t="shared" si="7"/>
        <v>6618061</v>
      </c>
      <c r="E40" s="358">
        <f>'178Khoi xa'!AG101</f>
        <v>0</v>
      </c>
      <c r="F40" s="358">
        <f>'178Khoi xa'!AH101</f>
        <v>6618061</v>
      </c>
      <c r="G40" s="357">
        <f t="shared" si="8"/>
        <v>0</v>
      </c>
      <c r="H40" s="369"/>
      <c r="I40" s="369"/>
      <c r="J40" s="357">
        <f t="shared" si="9"/>
        <v>0</v>
      </c>
      <c r="K40" s="369"/>
      <c r="L40" s="369"/>
      <c r="M40" s="369"/>
    </row>
    <row r="41" spans="1:13" s="353" customFormat="1" ht="22.5" customHeight="1" x14ac:dyDescent="0.25">
      <c r="A41" s="364">
        <v>15</v>
      </c>
      <c r="B41" s="369" t="s">
        <v>1129</v>
      </c>
      <c r="C41" s="356">
        <f t="shared" si="6"/>
        <v>7662176</v>
      </c>
      <c r="D41" s="357">
        <f t="shared" si="7"/>
        <v>7662176</v>
      </c>
      <c r="E41" s="358">
        <f>'178Khoi xa'!AG109</f>
        <v>0</v>
      </c>
      <c r="F41" s="358">
        <f>'178Khoi xa'!AH109</f>
        <v>7662176</v>
      </c>
      <c r="G41" s="357">
        <f t="shared" si="8"/>
        <v>0</v>
      </c>
      <c r="H41" s="369"/>
      <c r="I41" s="369"/>
      <c r="J41" s="357">
        <f t="shared" si="9"/>
        <v>0</v>
      </c>
      <c r="K41" s="369"/>
      <c r="L41" s="369"/>
      <c r="M41" s="369"/>
    </row>
    <row r="42" spans="1:13" s="353" customFormat="1" ht="22.5" customHeight="1" x14ac:dyDescent="0.25">
      <c r="A42" s="364">
        <v>16</v>
      </c>
      <c r="B42" s="369" t="s">
        <v>1130</v>
      </c>
      <c r="C42" s="356">
        <f t="shared" si="6"/>
        <v>1159000</v>
      </c>
      <c r="D42" s="357">
        <f t="shared" si="7"/>
        <v>1159000</v>
      </c>
      <c r="E42" s="358">
        <f>'178Khoi xa'!AG118</f>
        <v>1159000</v>
      </c>
      <c r="F42" s="358">
        <f>'178Khoi xa'!AH118</f>
        <v>0</v>
      </c>
      <c r="G42" s="357">
        <f t="shared" si="8"/>
        <v>0</v>
      </c>
      <c r="H42" s="369"/>
      <c r="I42" s="369"/>
      <c r="J42" s="357">
        <f t="shared" si="9"/>
        <v>0</v>
      </c>
      <c r="K42" s="369"/>
      <c r="L42" s="369"/>
      <c r="M42" s="369"/>
    </row>
    <row r="43" spans="1:13" s="353" customFormat="1" ht="22.5" customHeight="1" x14ac:dyDescent="0.25">
      <c r="A43" s="364">
        <v>17</v>
      </c>
      <c r="B43" s="369" t="s">
        <v>1131</v>
      </c>
      <c r="C43" s="356">
        <f t="shared" si="6"/>
        <v>2344070</v>
      </c>
      <c r="D43" s="357">
        <f t="shared" si="7"/>
        <v>2344070</v>
      </c>
      <c r="E43" s="358">
        <f>'178Khoi xa'!AG120</f>
        <v>0</v>
      </c>
      <c r="F43" s="358">
        <f>'178Khoi xa'!AH120</f>
        <v>2344070</v>
      </c>
      <c r="G43" s="357">
        <f t="shared" si="8"/>
        <v>0</v>
      </c>
      <c r="H43" s="369"/>
      <c r="I43" s="369"/>
      <c r="J43" s="357">
        <f t="shared" si="9"/>
        <v>0</v>
      </c>
      <c r="K43" s="369"/>
      <c r="L43" s="369"/>
      <c r="M43" s="369"/>
    </row>
    <row r="44" spans="1:13" s="353" customFormat="1" ht="22.5" customHeight="1" x14ac:dyDescent="0.25">
      <c r="A44" s="364">
        <v>18</v>
      </c>
      <c r="B44" s="369" t="s">
        <v>1132</v>
      </c>
      <c r="C44" s="356">
        <f t="shared" si="6"/>
        <v>3221500</v>
      </c>
      <c r="D44" s="357">
        <f t="shared" si="7"/>
        <v>3221500</v>
      </c>
      <c r="E44" s="358">
        <f>'178Khoi xa'!AG124</f>
        <v>2470338</v>
      </c>
      <c r="F44" s="358">
        <f>'178Khoi xa'!AH124</f>
        <v>751162</v>
      </c>
      <c r="G44" s="357">
        <f t="shared" si="8"/>
        <v>0</v>
      </c>
      <c r="H44" s="369"/>
      <c r="I44" s="369"/>
      <c r="J44" s="357">
        <f t="shared" si="9"/>
        <v>0</v>
      </c>
      <c r="K44" s="369"/>
      <c r="L44" s="369"/>
      <c r="M44" s="369"/>
    </row>
    <row r="45" spans="1:13" s="353" customFormat="1" ht="22.5" customHeight="1" x14ac:dyDescent="0.25">
      <c r="A45" s="364">
        <v>19</v>
      </c>
      <c r="B45" s="369" t="s">
        <v>1133</v>
      </c>
      <c r="C45" s="356">
        <f t="shared" si="6"/>
        <v>2287116</v>
      </c>
      <c r="D45" s="357">
        <f t="shared" si="7"/>
        <v>2287116</v>
      </c>
      <c r="E45" s="358">
        <f>'178Khoi xa'!AG128</f>
        <v>1197261</v>
      </c>
      <c r="F45" s="358">
        <f>'178Khoi xa'!AH128</f>
        <v>1089855</v>
      </c>
      <c r="G45" s="357">
        <f t="shared" si="8"/>
        <v>0</v>
      </c>
      <c r="H45" s="369"/>
      <c r="I45" s="369"/>
      <c r="J45" s="357">
        <f t="shared" si="9"/>
        <v>0</v>
      </c>
      <c r="K45" s="369"/>
      <c r="L45" s="369"/>
      <c r="M45" s="369"/>
    </row>
    <row r="46" spans="1:13" s="353" customFormat="1" ht="22.5" customHeight="1" x14ac:dyDescent="0.25">
      <c r="A46" s="364">
        <v>20</v>
      </c>
      <c r="B46" s="369" t="s">
        <v>1134</v>
      </c>
      <c r="C46" s="356">
        <f t="shared" si="6"/>
        <v>2937848</v>
      </c>
      <c r="D46" s="357">
        <f t="shared" si="7"/>
        <v>2937848</v>
      </c>
      <c r="E46" s="358">
        <f>'178Khoi xa'!AG131</f>
        <v>0</v>
      </c>
      <c r="F46" s="358">
        <f>'178Khoi xa'!AH131</f>
        <v>2937848</v>
      </c>
      <c r="G46" s="357">
        <f t="shared" si="8"/>
        <v>0</v>
      </c>
      <c r="H46" s="369"/>
      <c r="I46" s="369"/>
      <c r="J46" s="357">
        <f t="shared" si="9"/>
        <v>0</v>
      </c>
      <c r="K46" s="369"/>
      <c r="L46" s="369"/>
      <c r="M46" s="369"/>
    </row>
    <row r="47" spans="1:13" s="353" customFormat="1" ht="22.5" customHeight="1" x14ac:dyDescent="0.25">
      <c r="A47" s="364">
        <v>21</v>
      </c>
      <c r="B47" s="369" t="s">
        <v>1135</v>
      </c>
      <c r="C47" s="356">
        <f t="shared" si="6"/>
        <v>3692133</v>
      </c>
      <c r="D47" s="357">
        <f t="shared" si="7"/>
        <v>3692133</v>
      </c>
      <c r="E47" s="358">
        <f>'178Khoi xa'!AG135</f>
        <v>957667</v>
      </c>
      <c r="F47" s="358">
        <f>'178Khoi xa'!AH135</f>
        <v>2734466</v>
      </c>
      <c r="G47" s="357">
        <f t="shared" si="8"/>
        <v>0</v>
      </c>
      <c r="H47" s="369"/>
      <c r="I47" s="369"/>
      <c r="J47" s="357">
        <f t="shared" si="9"/>
        <v>0</v>
      </c>
      <c r="K47" s="369"/>
      <c r="L47" s="369"/>
      <c r="M47" s="369"/>
    </row>
    <row r="48" spans="1:13" s="353" customFormat="1" ht="22.5" customHeight="1" x14ac:dyDescent="0.25">
      <c r="A48" s="364">
        <v>22</v>
      </c>
      <c r="B48" s="369" t="s">
        <v>1136</v>
      </c>
      <c r="C48" s="356">
        <f t="shared" si="6"/>
        <v>1303326</v>
      </c>
      <c r="D48" s="357">
        <f t="shared" si="7"/>
        <v>1303326</v>
      </c>
      <c r="E48" s="358">
        <f>'178Khoi xa'!AG140</f>
        <v>0</v>
      </c>
      <c r="F48" s="358">
        <f>'178Khoi xa'!AH140</f>
        <v>1303326</v>
      </c>
      <c r="G48" s="357">
        <f t="shared" si="8"/>
        <v>0</v>
      </c>
      <c r="H48" s="369"/>
      <c r="I48" s="369"/>
      <c r="J48" s="357">
        <f t="shared" si="9"/>
        <v>0</v>
      </c>
      <c r="K48" s="369"/>
      <c r="L48" s="369"/>
      <c r="M48" s="369"/>
    </row>
    <row r="49" spans="1:13" s="353" customFormat="1" ht="22.5" customHeight="1" x14ac:dyDescent="0.25">
      <c r="A49" s="364">
        <v>23</v>
      </c>
      <c r="B49" s="369" t="s">
        <v>1137</v>
      </c>
      <c r="C49" s="356">
        <f t="shared" si="6"/>
        <v>962837</v>
      </c>
      <c r="D49" s="357">
        <f t="shared" si="7"/>
        <v>962837</v>
      </c>
      <c r="E49" s="358">
        <f>'178Khoi xa'!AG142</f>
        <v>0</v>
      </c>
      <c r="F49" s="358">
        <f>'178Khoi xa'!AH142</f>
        <v>962837</v>
      </c>
      <c r="G49" s="357">
        <f t="shared" si="8"/>
        <v>0</v>
      </c>
      <c r="H49" s="369"/>
      <c r="I49" s="369"/>
      <c r="J49" s="357">
        <f t="shared" si="9"/>
        <v>0</v>
      </c>
      <c r="K49" s="369"/>
      <c r="L49" s="369"/>
      <c r="M49" s="369"/>
    </row>
    <row r="50" spans="1:13" s="353" customFormat="1" ht="22.5" customHeight="1" x14ac:dyDescent="0.25">
      <c r="A50" s="364">
        <v>24</v>
      </c>
      <c r="B50" s="369" t="s">
        <v>1138</v>
      </c>
      <c r="C50" s="356">
        <f t="shared" si="6"/>
        <v>3427340</v>
      </c>
      <c r="D50" s="357">
        <f t="shared" si="7"/>
        <v>3427340</v>
      </c>
      <c r="E50" s="358">
        <f>'178Khoi xa'!AG144</f>
        <v>2328008</v>
      </c>
      <c r="F50" s="358">
        <f>'178Khoi xa'!AH144</f>
        <v>1099332</v>
      </c>
      <c r="G50" s="357">
        <f t="shared" si="8"/>
        <v>0</v>
      </c>
      <c r="H50" s="369"/>
      <c r="I50" s="369"/>
      <c r="J50" s="357">
        <f t="shared" si="9"/>
        <v>0</v>
      </c>
      <c r="K50" s="369"/>
      <c r="L50" s="369"/>
      <c r="M50" s="369"/>
    </row>
    <row r="51" spans="1:13" s="353" customFormat="1" ht="22.5" customHeight="1" x14ac:dyDescent="0.25">
      <c r="A51" s="364">
        <v>25</v>
      </c>
      <c r="B51" s="369" t="s">
        <v>1139</v>
      </c>
      <c r="C51" s="356">
        <f t="shared" si="6"/>
        <v>3015441</v>
      </c>
      <c r="D51" s="357">
        <f t="shared" si="7"/>
        <v>3015441</v>
      </c>
      <c r="E51" s="358">
        <f>'178Khoi xa'!AG148</f>
        <v>3015441</v>
      </c>
      <c r="F51" s="358">
        <f>'178Khoi xa'!AH148</f>
        <v>0</v>
      </c>
      <c r="G51" s="357">
        <f t="shared" si="8"/>
        <v>0</v>
      </c>
      <c r="H51" s="369"/>
      <c r="I51" s="369"/>
      <c r="J51" s="357">
        <f t="shared" si="9"/>
        <v>0</v>
      </c>
      <c r="K51" s="369"/>
      <c r="L51" s="369"/>
      <c r="M51" s="369"/>
    </row>
    <row r="52" spans="1:13" s="353" customFormat="1" ht="22.5" customHeight="1" x14ac:dyDescent="0.25">
      <c r="A52" s="364">
        <v>26</v>
      </c>
      <c r="B52" s="369" t="s">
        <v>1140</v>
      </c>
      <c r="C52" s="356">
        <f t="shared" si="6"/>
        <v>5659644</v>
      </c>
      <c r="D52" s="357">
        <f t="shared" si="7"/>
        <v>5659644</v>
      </c>
      <c r="E52" s="358">
        <f>'178Khoi xa'!AG152</f>
        <v>3517842</v>
      </c>
      <c r="F52" s="358">
        <f>'178Khoi xa'!AH152</f>
        <v>2141802</v>
      </c>
      <c r="G52" s="357">
        <f t="shared" si="8"/>
        <v>0</v>
      </c>
      <c r="H52" s="369"/>
      <c r="I52" s="369"/>
      <c r="J52" s="357">
        <f t="shared" si="9"/>
        <v>0</v>
      </c>
      <c r="K52" s="369"/>
      <c r="L52" s="369"/>
      <c r="M52" s="369"/>
    </row>
    <row r="53" spans="1:13" s="353" customFormat="1" ht="22.5" customHeight="1" x14ac:dyDescent="0.25">
      <c r="A53" s="364">
        <v>27</v>
      </c>
      <c r="B53" s="369" t="s">
        <v>1141</v>
      </c>
      <c r="C53" s="356">
        <f t="shared" si="6"/>
        <v>3950461</v>
      </c>
      <c r="D53" s="357">
        <f t="shared" si="7"/>
        <v>3950461</v>
      </c>
      <c r="E53" s="358">
        <f>'178Khoi xa'!AG158</f>
        <v>2291635</v>
      </c>
      <c r="F53" s="358">
        <f>'178Khoi xa'!AH158</f>
        <v>1658826</v>
      </c>
      <c r="G53" s="357">
        <f t="shared" si="8"/>
        <v>0</v>
      </c>
      <c r="H53" s="369"/>
      <c r="I53" s="369"/>
      <c r="J53" s="357">
        <f t="shared" si="9"/>
        <v>0</v>
      </c>
      <c r="K53" s="369"/>
      <c r="L53" s="369"/>
      <c r="M53" s="369"/>
    </row>
    <row r="54" spans="1:13" s="372" customFormat="1" ht="22.5" customHeight="1" x14ac:dyDescent="0.25">
      <c r="A54" s="364">
        <v>28</v>
      </c>
      <c r="B54" s="370" t="s">
        <v>1142</v>
      </c>
      <c r="C54" s="356" t="e">
        <f t="shared" si="6"/>
        <v>#VALUE!</v>
      </c>
      <c r="D54" s="357">
        <f t="shared" si="7"/>
        <v>6653978</v>
      </c>
      <c r="E54" s="358">
        <f>'178Khoi xa'!AG163</f>
        <v>0</v>
      </c>
      <c r="F54" s="358">
        <f>'178Khoi xa'!AH163</f>
        <v>6653978</v>
      </c>
      <c r="G54" s="357" t="e">
        <f t="shared" si="8"/>
        <v>#VALUE!</v>
      </c>
      <c r="H54" s="371" t="e">
        <f>'154'!AP12</f>
        <v>#VALUE!</v>
      </c>
      <c r="I54" s="370"/>
      <c r="J54" s="357">
        <f t="shared" si="9"/>
        <v>0</v>
      </c>
      <c r="K54" s="371"/>
      <c r="L54" s="370"/>
      <c r="M54" s="370"/>
    </row>
    <row r="55" spans="1:13" s="353" customFormat="1" ht="22.5" customHeight="1" x14ac:dyDescent="0.25">
      <c r="A55" s="364">
        <v>29</v>
      </c>
      <c r="B55" s="369" t="s">
        <v>1143</v>
      </c>
      <c r="C55" s="356">
        <f t="shared" si="6"/>
        <v>3616415</v>
      </c>
      <c r="D55" s="357">
        <f t="shared" si="7"/>
        <v>3616415</v>
      </c>
      <c r="E55" s="358">
        <f>'178Khoi xa'!AG171</f>
        <v>2653578</v>
      </c>
      <c r="F55" s="358">
        <f>'178Khoi xa'!AH171</f>
        <v>962837</v>
      </c>
      <c r="G55" s="357">
        <f t="shared" si="8"/>
        <v>0</v>
      </c>
      <c r="H55" s="369"/>
      <c r="I55" s="369"/>
      <c r="J55" s="357">
        <f t="shared" si="9"/>
        <v>0</v>
      </c>
      <c r="K55" s="369"/>
      <c r="L55" s="369"/>
      <c r="M55" s="369"/>
    </row>
    <row r="56" spans="1:13" s="353" customFormat="1" ht="22.5" customHeight="1" x14ac:dyDescent="0.25">
      <c r="A56" s="364">
        <v>30</v>
      </c>
      <c r="B56" s="369" t="s">
        <v>1144</v>
      </c>
      <c r="C56" s="356">
        <f t="shared" si="6"/>
        <v>5125174</v>
      </c>
      <c r="D56" s="357">
        <f t="shared" si="7"/>
        <v>5125174</v>
      </c>
      <c r="E56" s="358">
        <f>'178Khoi xa'!AG175</f>
        <v>937112</v>
      </c>
      <c r="F56" s="358">
        <f>'178Khoi xa'!AH175</f>
        <v>4188062</v>
      </c>
      <c r="G56" s="357">
        <f t="shared" si="8"/>
        <v>0</v>
      </c>
      <c r="H56" s="369"/>
      <c r="I56" s="369"/>
      <c r="J56" s="357">
        <f t="shared" si="9"/>
        <v>0</v>
      </c>
      <c r="K56" s="369"/>
      <c r="L56" s="369"/>
      <c r="M56" s="369"/>
    </row>
    <row r="57" spans="1:13" s="353" customFormat="1" ht="22.5" customHeight="1" x14ac:dyDescent="0.25">
      <c r="A57" s="364">
        <v>31</v>
      </c>
      <c r="B57" s="369" t="s">
        <v>1145</v>
      </c>
      <c r="C57" s="356">
        <f t="shared" si="6"/>
        <v>631471</v>
      </c>
      <c r="D57" s="357">
        <f t="shared" si="7"/>
        <v>631471</v>
      </c>
      <c r="E57" s="358">
        <f>'178Khoi xa'!AG182</f>
        <v>0</v>
      </c>
      <c r="F57" s="358">
        <f>'178Khoi xa'!AH182</f>
        <v>631471</v>
      </c>
      <c r="G57" s="357">
        <f t="shared" si="8"/>
        <v>0</v>
      </c>
      <c r="H57" s="369"/>
      <c r="I57" s="369"/>
      <c r="J57" s="357">
        <f t="shared" si="9"/>
        <v>0</v>
      </c>
      <c r="K57" s="369"/>
      <c r="L57" s="369"/>
      <c r="M57" s="369"/>
    </row>
    <row r="58" spans="1:13" s="353" customFormat="1" ht="22.5" customHeight="1" x14ac:dyDescent="0.25">
      <c r="A58" s="364">
        <v>32</v>
      </c>
      <c r="B58" s="369" t="s">
        <v>1146</v>
      </c>
      <c r="C58" s="356">
        <f t="shared" si="6"/>
        <v>6221937</v>
      </c>
      <c r="D58" s="357">
        <f t="shared" si="7"/>
        <v>6221937</v>
      </c>
      <c r="E58" s="358">
        <f>'178Khoi xa'!AG184</f>
        <v>1094133</v>
      </c>
      <c r="F58" s="358">
        <f>'178Khoi xa'!AH184</f>
        <v>5127804</v>
      </c>
      <c r="G58" s="357">
        <f t="shared" si="8"/>
        <v>0</v>
      </c>
      <c r="H58" s="369"/>
      <c r="I58" s="369"/>
      <c r="J58" s="357">
        <f t="shared" si="9"/>
        <v>0</v>
      </c>
      <c r="K58" s="369"/>
      <c r="L58" s="369"/>
      <c r="M58" s="369"/>
    </row>
    <row r="59" spans="1:13" s="353" customFormat="1" ht="22.5" customHeight="1" x14ac:dyDescent="0.25">
      <c r="A59" s="364">
        <v>33</v>
      </c>
      <c r="B59" s="369" t="s">
        <v>1147</v>
      </c>
      <c r="C59" s="356">
        <f t="shared" si="6"/>
        <v>2076582</v>
      </c>
      <c r="D59" s="357">
        <f t="shared" si="7"/>
        <v>2076582</v>
      </c>
      <c r="E59" s="358">
        <f>'178Khoi xa'!AG192</f>
        <v>1282554</v>
      </c>
      <c r="F59" s="358">
        <f>'178Khoi xa'!AH192</f>
        <v>794028</v>
      </c>
      <c r="G59" s="357">
        <f t="shared" si="8"/>
        <v>0</v>
      </c>
      <c r="H59" s="369"/>
      <c r="I59" s="369"/>
      <c r="J59" s="357">
        <f t="shared" si="9"/>
        <v>0</v>
      </c>
      <c r="K59" s="369"/>
      <c r="L59" s="369"/>
      <c r="M59" s="369"/>
    </row>
    <row r="60" spans="1:13" s="353" customFormat="1" ht="22.5" customHeight="1" x14ac:dyDescent="0.25">
      <c r="A60" s="364">
        <v>34</v>
      </c>
      <c r="B60" s="369" t="s">
        <v>1148</v>
      </c>
      <c r="C60" s="356">
        <f t="shared" si="6"/>
        <v>1012986</v>
      </c>
      <c r="D60" s="357">
        <f t="shared" si="7"/>
        <v>1012986</v>
      </c>
      <c r="E60" s="358">
        <f>'178Khoi xa'!AG195</f>
        <v>0</v>
      </c>
      <c r="F60" s="358">
        <f>'178Khoi xa'!AH195</f>
        <v>1012986</v>
      </c>
      <c r="G60" s="357">
        <f t="shared" si="8"/>
        <v>0</v>
      </c>
      <c r="H60" s="369"/>
      <c r="I60" s="369"/>
      <c r="J60" s="357">
        <f t="shared" si="9"/>
        <v>0</v>
      </c>
      <c r="K60" s="369"/>
      <c r="L60" s="369"/>
      <c r="M60" s="369"/>
    </row>
    <row r="61" spans="1:13" s="353" customFormat="1" ht="22.5" customHeight="1" x14ac:dyDescent="0.25">
      <c r="A61" s="364">
        <v>35</v>
      </c>
      <c r="B61" s="369" t="s">
        <v>1149</v>
      </c>
      <c r="C61" s="356">
        <f t="shared" si="6"/>
        <v>5173148</v>
      </c>
      <c r="D61" s="357">
        <f t="shared" si="7"/>
        <v>5173148</v>
      </c>
      <c r="E61" s="358">
        <f>'178Khoi xa'!AG197</f>
        <v>889083</v>
      </c>
      <c r="F61" s="358">
        <f>'178Khoi xa'!AH197</f>
        <v>4284065</v>
      </c>
      <c r="G61" s="357">
        <f t="shared" si="8"/>
        <v>0</v>
      </c>
      <c r="H61" s="369"/>
      <c r="I61" s="369"/>
      <c r="J61" s="357">
        <f t="shared" si="9"/>
        <v>0</v>
      </c>
      <c r="K61" s="369"/>
      <c r="L61" s="369"/>
      <c r="M61" s="369"/>
    </row>
    <row r="62" spans="1:13" s="353" customFormat="1" ht="22.5" customHeight="1" x14ac:dyDescent="0.25">
      <c r="A62" s="364">
        <v>36</v>
      </c>
      <c r="B62" s="369" t="s">
        <v>1150</v>
      </c>
      <c r="C62" s="356">
        <f t="shared" si="6"/>
        <v>3445965</v>
      </c>
      <c r="D62" s="357">
        <f t="shared" si="7"/>
        <v>3445965</v>
      </c>
      <c r="E62" s="358">
        <f>'178Khoi xa'!AG204</f>
        <v>0</v>
      </c>
      <c r="F62" s="358">
        <f>'178Khoi xa'!AH204</f>
        <v>3445965</v>
      </c>
      <c r="G62" s="357">
        <f t="shared" si="8"/>
        <v>0</v>
      </c>
      <c r="H62" s="369"/>
      <c r="I62" s="369"/>
      <c r="J62" s="357">
        <f t="shared" si="9"/>
        <v>0</v>
      </c>
      <c r="K62" s="369"/>
      <c r="L62" s="369"/>
      <c r="M62" s="369"/>
    </row>
    <row r="63" spans="1:13" s="353" customFormat="1" ht="22.5" customHeight="1" x14ac:dyDescent="0.25">
      <c r="A63" s="364">
        <v>37</v>
      </c>
      <c r="B63" s="369" t="s">
        <v>1151</v>
      </c>
      <c r="C63" s="356">
        <f t="shared" si="6"/>
        <v>5199604</v>
      </c>
      <c r="D63" s="357">
        <f t="shared" si="7"/>
        <v>5199604</v>
      </c>
      <c r="E63" s="358">
        <f>'178Khoi xa'!AG212</f>
        <v>0</v>
      </c>
      <c r="F63" s="358">
        <f>'178Khoi xa'!AH212</f>
        <v>5199604</v>
      </c>
      <c r="G63" s="357">
        <f t="shared" si="8"/>
        <v>0</v>
      </c>
      <c r="H63" s="369"/>
      <c r="I63" s="369"/>
      <c r="J63" s="357">
        <f t="shared" si="9"/>
        <v>0</v>
      </c>
      <c r="K63" s="369"/>
      <c r="L63" s="369"/>
      <c r="M63" s="369"/>
    </row>
    <row r="64" spans="1:13" s="353" customFormat="1" ht="22.5" customHeight="1" x14ac:dyDescent="0.25">
      <c r="A64" s="364">
        <v>38</v>
      </c>
      <c r="B64" s="369" t="s">
        <v>1152</v>
      </c>
      <c r="C64" s="356">
        <f t="shared" si="6"/>
        <v>4507292</v>
      </c>
      <c r="D64" s="357">
        <f t="shared" si="7"/>
        <v>4507292</v>
      </c>
      <c r="E64" s="358">
        <f>'178Khoi xa'!AG220</f>
        <v>1360125</v>
      </c>
      <c r="F64" s="358">
        <f>'178Khoi xa'!AH220</f>
        <v>3147167</v>
      </c>
      <c r="G64" s="357">
        <f t="shared" si="8"/>
        <v>0</v>
      </c>
      <c r="H64" s="369"/>
      <c r="I64" s="369"/>
      <c r="J64" s="357">
        <f t="shared" si="9"/>
        <v>0</v>
      </c>
      <c r="K64" s="369"/>
      <c r="L64" s="369"/>
      <c r="M64" s="369"/>
    </row>
    <row r="65" spans="1:13" s="353" customFormat="1" ht="22.5" customHeight="1" x14ac:dyDescent="0.25">
      <c r="A65" s="364">
        <v>39</v>
      </c>
      <c r="B65" s="369" t="s">
        <v>1153</v>
      </c>
      <c r="C65" s="356">
        <f t="shared" si="6"/>
        <v>8887079</v>
      </c>
      <c r="D65" s="357">
        <f t="shared" si="7"/>
        <v>8887079</v>
      </c>
      <c r="E65" s="358">
        <f>'178Khoi xa'!AG225</f>
        <v>827044</v>
      </c>
      <c r="F65" s="358">
        <f>'178Khoi xa'!AH225</f>
        <v>8060035</v>
      </c>
      <c r="G65" s="357">
        <f t="shared" si="8"/>
        <v>0</v>
      </c>
      <c r="H65" s="369"/>
      <c r="I65" s="369"/>
      <c r="J65" s="357">
        <f t="shared" si="9"/>
        <v>0</v>
      </c>
      <c r="K65" s="369"/>
      <c r="L65" s="369"/>
      <c r="M65" s="369"/>
    </row>
    <row r="66" spans="1:13" s="353" customFormat="1" ht="22.5" customHeight="1" x14ac:dyDescent="0.25">
      <c r="A66" s="364">
        <v>40</v>
      </c>
      <c r="B66" s="369" t="s">
        <v>1154</v>
      </c>
      <c r="C66" s="356">
        <f t="shared" si="6"/>
        <v>9997567</v>
      </c>
      <c r="D66" s="357">
        <f t="shared" si="7"/>
        <v>9997567</v>
      </c>
      <c r="E66" s="358">
        <f>'178Khoi xa'!AG235</f>
        <v>2429359</v>
      </c>
      <c r="F66" s="358">
        <f>'178Khoi xa'!AH235</f>
        <v>7568208</v>
      </c>
      <c r="G66" s="357">
        <f t="shared" si="8"/>
        <v>0</v>
      </c>
      <c r="H66" s="369"/>
      <c r="I66" s="369"/>
      <c r="J66" s="357">
        <f t="shared" si="9"/>
        <v>0</v>
      </c>
      <c r="K66" s="369"/>
      <c r="L66" s="369"/>
      <c r="M66" s="369"/>
    </row>
    <row r="67" spans="1:13" s="353" customFormat="1" ht="22.5" customHeight="1" x14ac:dyDescent="0.25">
      <c r="A67" s="364">
        <v>41</v>
      </c>
      <c r="B67" s="369" t="s">
        <v>1155</v>
      </c>
      <c r="C67" s="356">
        <f t="shared" si="6"/>
        <v>5277242</v>
      </c>
      <c r="D67" s="357">
        <f t="shared" si="7"/>
        <v>5277242</v>
      </c>
      <c r="E67" s="358">
        <f>'178Khoi xa'!AG247</f>
        <v>0</v>
      </c>
      <c r="F67" s="358">
        <f>'178Khoi xa'!AH247</f>
        <v>5277242</v>
      </c>
      <c r="G67" s="357">
        <f t="shared" si="8"/>
        <v>0</v>
      </c>
      <c r="H67" s="369"/>
      <c r="I67" s="369"/>
      <c r="J67" s="357">
        <f t="shared" si="9"/>
        <v>0</v>
      </c>
      <c r="K67" s="369"/>
      <c r="L67" s="369"/>
      <c r="M67" s="369"/>
    </row>
    <row r="68" spans="1:13" s="353" customFormat="1" ht="22.5" customHeight="1" x14ac:dyDescent="0.25">
      <c r="A68" s="364">
        <v>42</v>
      </c>
      <c r="B68" s="369" t="s">
        <v>1156</v>
      </c>
      <c r="C68" s="356">
        <f t="shared" si="6"/>
        <v>8152141</v>
      </c>
      <c r="D68" s="357">
        <f t="shared" si="7"/>
        <v>8152141</v>
      </c>
      <c r="E68" s="358">
        <f>'178Khoi xa'!AG254</f>
        <v>1310985</v>
      </c>
      <c r="F68" s="358">
        <f>'178Khoi xa'!AH254</f>
        <v>6841156</v>
      </c>
      <c r="G68" s="357">
        <f t="shared" si="8"/>
        <v>0</v>
      </c>
      <c r="H68" s="369"/>
      <c r="I68" s="369"/>
      <c r="J68" s="357">
        <f t="shared" si="9"/>
        <v>0</v>
      </c>
      <c r="K68" s="369"/>
      <c r="L68" s="369"/>
      <c r="M68" s="369"/>
    </row>
    <row r="69" spans="1:13" s="353" customFormat="1" ht="22.5" customHeight="1" x14ac:dyDescent="0.25">
      <c r="A69" s="364">
        <v>43</v>
      </c>
      <c r="B69" s="369" t="s">
        <v>1157</v>
      </c>
      <c r="C69" s="356">
        <f t="shared" si="6"/>
        <v>3856284</v>
      </c>
      <c r="D69" s="357">
        <f t="shared" si="7"/>
        <v>3856284</v>
      </c>
      <c r="E69" s="358">
        <f>'178Khoi xa'!AG263</f>
        <v>0</v>
      </c>
      <c r="F69" s="358">
        <f>'178Khoi xa'!AH263</f>
        <v>3856284</v>
      </c>
      <c r="G69" s="357">
        <f t="shared" si="8"/>
        <v>0</v>
      </c>
      <c r="H69" s="369"/>
      <c r="I69" s="369"/>
      <c r="J69" s="357">
        <f t="shared" si="9"/>
        <v>0</v>
      </c>
      <c r="K69" s="369"/>
      <c r="L69" s="369"/>
      <c r="M69" s="369"/>
    </row>
    <row r="70" spans="1:13" s="353" customFormat="1" ht="22.5" customHeight="1" x14ac:dyDescent="0.25">
      <c r="A70" s="364">
        <v>44</v>
      </c>
      <c r="B70" s="369" t="s">
        <v>1158</v>
      </c>
      <c r="C70" s="356">
        <f t="shared" si="6"/>
        <v>2605605</v>
      </c>
      <c r="D70" s="357">
        <f t="shared" si="7"/>
        <v>2605605</v>
      </c>
      <c r="E70" s="358">
        <f>'178Khoi xa'!AG268</f>
        <v>0</v>
      </c>
      <c r="F70" s="358">
        <f>'178Khoi xa'!AH268</f>
        <v>2605605</v>
      </c>
      <c r="G70" s="357">
        <f t="shared" si="8"/>
        <v>0</v>
      </c>
      <c r="H70" s="369"/>
      <c r="I70" s="369"/>
      <c r="J70" s="357">
        <f t="shared" si="9"/>
        <v>0</v>
      </c>
      <c r="K70" s="369"/>
      <c r="L70" s="369"/>
      <c r="M70" s="369"/>
    </row>
    <row r="71" spans="1:13" s="353" customFormat="1" ht="22.5" customHeight="1" x14ac:dyDescent="0.25">
      <c r="A71" s="364">
        <v>45</v>
      </c>
      <c r="B71" s="369" t="s">
        <v>1159</v>
      </c>
      <c r="C71" s="356">
        <f t="shared" si="6"/>
        <v>2164573</v>
      </c>
      <c r="D71" s="357">
        <f t="shared" si="7"/>
        <v>2164573</v>
      </c>
      <c r="E71" s="358">
        <f>'178Khoi xa'!AG272</f>
        <v>1257282</v>
      </c>
      <c r="F71" s="358">
        <f>'178Khoi xa'!AH272</f>
        <v>907291</v>
      </c>
      <c r="G71" s="357">
        <f t="shared" si="8"/>
        <v>0</v>
      </c>
      <c r="H71" s="369"/>
      <c r="I71" s="369"/>
      <c r="J71" s="357">
        <f t="shared" si="9"/>
        <v>0</v>
      </c>
      <c r="K71" s="369"/>
      <c r="L71" s="369"/>
      <c r="M71" s="369"/>
    </row>
    <row r="72" spans="1:13" s="372" customFormat="1" ht="22.5" customHeight="1" x14ac:dyDescent="0.25">
      <c r="A72" s="364">
        <v>46</v>
      </c>
      <c r="B72" s="370" t="s">
        <v>1160</v>
      </c>
      <c r="C72" s="356">
        <f t="shared" si="6"/>
        <v>5528396</v>
      </c>
      <c r="D72" s="357">
        <f t="shared" si="7"/>
        <v>4528032</v>
      </c>
      <c r="E72" s="358">
        <f>'178Khoi xa'!AG275</f>
        <v>0</v>
      </c>
      <c r="F72" s="358">
        <f>'178Khoi xa'!AH275</f>
        <v>4528032</v>
      </c>
      <c r="G72" s="357">
        <f t="shared" si="8"/>
        <v>1000364</v>
      </c>
      <c r="H72" s="371">
        <f>'154'!AP9</f>
        <v>1000364</v>
      </c>
      <c r="I72" s="370"/>
      <c r="J72" s="357">
        <f t="shared" si="9"/>
        <v>0</v>
      </c>
      <c r="K72" s="371"/>
      <c r="L72" s="370"/>
      <c r="M72" s="370"/>
    </row>
    <row r="73" spans="1:13" s="353" customFormat="1" ht="22.5" customHeight="1" x14ac:dyDescent="0.25">
      <c r="A73" s="364">
        <v>47</v>
      </c>
      <c r="B73" s="369" t="s">
        <v>1161</v>
      </c>
      <c r="C73" s="356">
        <f t="shared" si="6"/>
        <v>4372363</v>
      </c>
      <c r="D73" s="357">
        <f t="shared" si="7"/>
        <v>4372363</v>
      </c>
      <c r="E73" s="358">
        <f>'178Khoi xa'!AG282</f>
        <v>1329939</v>
      </c>
      <c r="F73" s="358">
        <f>'178Khoi xa'!AH282</f>
        <v>3042424</v>
      </c>
      <c r="G73" s="357">
        <f t="shared" si="8"/>
        <v>0</v>
      </c>
      <c r="H73" s="369"/>
      <c r="I73" s="369"/>
      <c r="J73" s="357">
        <f t="shared" si="9"/>
        <v>0</v>
      </c>
      <c r="K73" s="369"/>
      <c r="L73" s="369"/>
      <c r="M73" s="369"/>
    </row>
    <row r="74" spans="1:13" s="353" customFormat="1" ht="22.5" customHeight="1" x14ac:dyDescent="0.25">
      <c r="A74" s="364">
        <v>48</v>
      </c>
      <c r="B74" s="369" t="s">
        <v>1162</v>
      </c>
      <c r="C74" s="356">
        <f t="shared" si="6"/>
        <v>2671593</v>
      </c>
      <c r="D74" s="357">
        <f t="shared" si="7"/>
        <v>2671593</v>
      </c>
      <c r="E74" s="358">
        <f>'178Khoi xa'!AG287</f>
        <v>0</v>
      </c>
      <c r="F74" s="358">
        <f>'178Khoi xa'!AH287</f>
        <v>2671593</v>
      </c>
      <c r="G74" s="357">
        <f t="shared" si="8"/>
        <v>0</v>
      </c>
      <c r="H74" s="369"/>
      <c r="I74" s="369"/>
      <c r="J74" s="357">
        <f t="shared" si="9"/>
        <v>0</v>
      </c>
      <c r="K74" s="369"/>
      <c r="L74" s="369"/>
      <c r="M74" s="369"/>
    </row>
    <row r="75" spans="1:13" s="353" customFormat="1" ht="22.5" customHeight="1" x14ac:dyDescent="0.25">
      <c r="A75" s="364">
        <v>49</v>
      </c>
      <c r="B75" s="369" t="s">
        <v>1163</v>
      </c>
      <c r="C75" s="356">
        <f t="shared" si="6"/>
        <v>7719433</v>
      </c>
      <c r="D75" s="357">
        <f t="shared" si="7"/>
        <v>7719433</v>
      </c>
      <c r="E75" s="358">
        <f>'178Khoi xa'!AG291</f>
        <v>1216215</v>
      </c>
      <c r="F75" s="358">
        <f>'178Khoi xa'!AH291</f>
        <v>6503218</v>
      </c>
      <c r="G75" s="357">
        <f t="shared" si="8"/>
        <v>0</v>
      </c>
      <c r="H75" s="369"/>
      <c r="I75" s="369"/>
      <c r="J75" s="357">
        <f t="shared" si="9"/>
        <v>0</v>
      </c>
      <c r="K75" s="369"/>
      <c r="L75" s="369"/>
      <c r="M75" s="369"/>
    </row>
    <row r="76" spans="1:13" s="353" customFormat="1" ht="22.5" customHeight="1" x14ac:dyDescent="0.25">
      <c r="A76" s="364">
        <v>50</v>
      </c>
      <c r="B76" s="369" t="s">
        <v>1164</v>
      </c>
      <c r="C76" s="356">
        <f t="shared" si="6"/>
        <v>687960</v>
      </c>
      <c r="D76" s="357">
        <f t="shared" si="7"/>
        <v>687960</v>
      </c>
      <c r="E76" s="358">
        <f>'178Khoi xa'!AG301</f>
        <v>0</v>
      </c>
      <c r="F76" s="358">
        <f>'178Khoi xa'!AH301</f>
        <v>687960</v>
      </c>
      <c r="G76" s="357">
        <f t="shared" si="8"/>
        <v>0</v>
      </c>
      <c r="H76" s="369"/>
      <c r="I76" s="369"/>
      <c r="J76" s="357">
        <f t="shared" si="9"/>
        <v>0</v>
      </c>
      <c r="K76" s="369"/>
      <c r="L76" s="369"/>
      <c r="M76" s="369"/>
    </row>
    <row r="77" spans="1:13" s="353" customFormat="1" ht="22.5" customHeight="1" x14ac:dyDescent="0.25">
      <c r="A77" s="364">
        <v>51</v>
      </c>
      <c r="B77" s="369" t="s">
        <v>1165</v>
      </c>
      <c r="C77" s="356">
        <f t="shared" si="6"/>
        <v>5050341</v>
      </c>
      <c r="D77" s="357">
        <f t="shared" si="7"/>
        <v>5050341</v>
      </c>
      <c r="E77" s="358">
        <f>'178Khoi xa'!AG303</f>
        <v>0</v>
      </c>
      <c r="F77" s="358">
        <f>'178Khoi xa'!AH303</f>
        <v>5050341</v>
      </c>
      <c r="G77" s="357">
        <f t="shared" si="8"/>
        <v>0</v>
      </c>
      <c r="H77" s="369"/>
      <c r="I77" s="369"/>
      <c r="J77" s="357">
        <f t="shared" si="9"/>
        <v>0</v>
      </c>
      <c r="K77" s="369"/>
      <c r="L77" s="369"/>
      <c r="M77" s="369"/>
    </row>
    <row r="78" spans="1:13" s="372" customFormat="1" ht="22.5" customHeight="1" x14ac:dyDescent="0.25">
      <c r="A78" s="364">
        <v>52</v>
      </c>
      <c r="B78" s="370" t="s">
        <v>1166</v>
      </c>
      <c r="C78" s="356">
        <f t="shared" si="6"/>
        <v>1899390</v>
      </c>
      <c r="D78" s="357">
        <f t="shared" si="7"/>
        <v>1112883</v>
      </c>
      <c r="E78" s="358">
        <f>'178Khoi xa'!AG310</f>
        <v>0</v>
      </c>
      <c r="F78" s="358">
        <f>'178Khoi xa'!AH310</f>
        <v>1112883</v>
      </c>
      <c r="G78" s="357">
        <f t="shared" si="8"/>
        <v>786507</v>
      </c>
      <c r="H78" s="370"/>
      <c r="I78" s="371">
        <f>'154'!AT17</f>
        <v>786507</v>
      </c>
      <c r="J78" s="357">
        <f t="shared" si="9"/>
        <v>0</v>
      </c>
      <c r="K78" s="370"/>
      <c r="L78" s="371"/>
      <c r="M78" s="370"/>
    </row>
    <row r="79" spans="1:13" s="353" customFormat="1" ht="22.5" customHeight="1" x14ac:dyDescent="0.25">
      <c r="A79" s="364">
        <v>53</v>
      </c>
      <c r="B79" s="369" t="s">
        <v>1167</v>
      </c>
      <c r="C79" s="356">
        <f t="shared" si="6"/>
        <v>3824496</v>
      </c>
      <c r="D79" s="357">
        <f t="shared" si="7"/>
        <v>3824496</v>
      </c>
      <c r="E79" s="358">
        <f>'178Khoi xa'!AG312</f>
        <v>1257282</v>
      </c>
      <c r="F79" s="358">
        <f>'178Khoi xa'!AH312</f>
        <v>2567214</v>
      </c>
      <c r="G79" s="357">
        <f t="shared" si="8"/>
        <v>0</v>
      </c>
      <c r="H79" s="369"/>
      <c r="I79" s="369"/>
      <c r="J79" s="357">
        <f t="shared" si="9"/>
        <v>0</v>
      </c>
      <c r="K79" s="369"/>
      <c r="L79" s="369"/>
      <c r="M79" s="369"/>
    </row>
    <row r="80" spans="1:13" s="353" customFormat="1" ht="22.5" customHeight="1" x14ac:dyDescent="0.25">
      <c r="A80" s="364">
        <v>54</v>
      </c>
      <c r="B80" s="369" t="s">
        <v>1168</v>
      </c>
      <c r="C80" s="356">
        <f t="shared" si="6"/>
        <v>687960</v>
      </c>
      <c r="D80" s="357">
        <f t="shared" si="7"/>
        <v>687960</v>
      </c>
      <c r="E80" s="358">
        <f>'178Khoi xa'!AG317</f>
        <v>0</v>
      </c>
      <c r="F80" s="358">
        <f>'178Khoi xa'!AH317</f>
        <v>687960</v>
      </c>
      <c r="G80" s="357">
        <f t="shared" si="8"/>
        <v>0</v>
      </c>
      <c r="H80" s="369"/>
      <c r="I80" s="369"/>
      <c r="J80" s="357">
        <f t="shared" si="9"/>
        <v>0</v>
      </c>
      <c r="K80" s="369"/>
      <c r="L80" s="369"/>
      <c r="M80" s="369"/>
    </row>
    <row r="81" spans="1:13" s="353" customFormat="1" ht="22.5" customHeight="1" x14ac:dyDescent="0.25">
      <c r="A81" s="364">
        <v>55</v>
      </c>
      <c r="B81" s="369" t="s">
        <v>1169</v>
      </c>
      <c r="C81" s="356">
        <f t="shared" si="6"/>
        <v>7848404</v>
      </c>
      <c r="D81" s="357">
        <f t="shared" si="7"/>
        <v>7848404</v>
      </c>
      <c r="E81" s="358">
        <f>'178Khoi xa'!AG319</f>
        <v>0</v>
      </c>
      <c r="F81" s="358">
        <f>'178Khoi xa'!AH319</f>
        <v>7848404</v>
      </c>
      <c r="G81" s="357">
        <f t="shared" si="8"/>
        <v>0</v>
      </c>
      <c r="H81" s="369"/>
      <c r="I81" s="369"/>
      <c r="J81" s="357">
        <f t="shared" si="9"/>
        <v>0</v>
      </c>
      <c r="K81" s="369"/>
      <c r="L81" s="369"/>
      <c r="M81" s="369"/>
    </row>
    <row r="82" spans="1:13" s="353" customFormat="1" ht="22.5" customHeight="1" x14ac:dyDescent="0.25">
      <c r="A82" s="364">
        <v>56</v>
      </c>
      <c r="B82" s="369" t="s">
        <v>1170</v>
      </c>
      <c r="C82" s="356">
        <f t="shared" si="6"/>
        <v>3247415</v>
      </c>
      <c r="D82" s="357">
        <f t="shared" si="7"/>
        <v>3247415</v>
      </c>
      <c r="E82" s="358">
        <f>'178Khoi xa'!AG331</f>
        <v>0</v>
      </c>
      <c r="F82" s="358">
        <f>'178Khoi xa'!AH331</f>
        <v>3247415</v>
      </c>
      <c r="G82" s="357">
        <f t="shared" si="8"/>
        <v>0</v>
      </c>
      <c r="H82" s="369"/>
      <c r="I82" s="369"/>
      <c r="J82" s="357">
        <f t="shared" si="9"/>
        <v>0</v>
      </c>
      <c r="K82" s="369"/>
      <c r="L82" s="369"/>
      <c r="M82" s="369"/>
    </row>
    <row r="83" spans="1:13" s="353" customFormat="1" ht="22.5" customHeight="1" x14ac:dyDescent="0.25">
      <c r="A83" s="364">
        <v>57</v>
      </c>
      <c r="B83" s="369" t="s">
        <v>1171</v>
      </c>
      <c r="C83" s="356">
        <f t="shared" si="6"/>
        <v>8560263</v>
      </c>
      <c r="D83" s="357">
        <f t="shared" si="7"/>
        <v>8560263</v>
      </c>
      <c r="E83" s="358">
        <f>'178Khoi xa'!AG336</f>
        <v>2265713</v>
      </c>
      <c r="F83" s="358">
        <f>'178Khoi xa'!AH336</f>
        <v>6294550</v>
      </c>
      <c r="G83" s="369"/>
      <c r="H83" s="369"/>
      <c r="I83" s="369"/>
      <c r="J83" s="369"/>
      <c r="K83" s="369"/>
      <c r="L83" s="369"/>
      <c r="M83" s="369"/>
    </row>
    <row r="84" spans="1:13" s="353" customFormat="1" ht="22.5" customHeight="1" x14ac:dyDescent="0.25">
      <c r="A84" s="364">
        <v>58</v>
      </c>
      <c r="B84" s="369" t="s">
        <v>1172</v>
      </c>
      <c r="C84" s="356">
        <f t="shared" si="6"/>
        <v>2081645</v>
      </c>
      <c r="D84" s="357">
        <f t="shared" si="7"/>
        <v>2081645</v>
      </c>
      <c r="E84" s="358">
        <f>'178Khoi xa'!AG347</f>
        <v>0</v>
      </c>
      <c r="F84" s="358">
        <f>'178Khoi xa'!AH347</f>
        <v>2081645</v>
      </c>
      <c r="G84" s="369"/>
      <c r="H84" s="369"/>
      <c r="I84" s="369"/>
      <c r="J84" s="369"/>
      <c r="K84" s="369"/>
      <c r="L84" s="369"/>
      <c r="M84" s="369"/>
    </row>
    <row r="85" spans="1:13" s="353" customFormat="1" ht="22.5" customHeight="1" x14ac:dyDescent="0.25">
      <c r="A85" s="364">
        <v>59</v>
      </c>
      <c r="B85" s="369" t="s">
        <v>1173</v>
      </c>
      <c r="C85" s="356">
        <f t="shared" si="6"/>
        <v>4293439</v>
      </c>
      <c r="D85" s="357">
        <f t="shared" si="7"/>
        <v>4293439</v>
      </c>
      <c r="E85" s="358">
        <f>'178Khoi xa'!AG350</f>
        <v>3330602</v>
      </c>
      <c r="F85" s="358">
        <f>'178Khoi xa'!AH350</f>
        <v>962837</v>
      </c>
      <c r="G85" s="369"/>
      <c r="H85" s="369"/>
      <c r="I85" s="369"/>
      <c r="J85" s="369"/>
      <c r="K85" s="369"/>
      <c r="L85" s="369"/>
      <c r="M85" s="369"/>
    </row>
    <row r="86" spans="1:13" s="353" customFormat="1" ht="22.5" customHeight="1" x14ac:dyDescent="0.25">
      <c r="A86" s="364">
        <v>60</v>
      </c>
      <c r="B86" s="369" t="s">
        <v>1174</v>
      </c>
      <c r="C86" s="356">
        <f t="shared" si="6"/>
        <v>2677808</v>
      </c>
      <c r="D86" s="357">
        <f t="shared" si="7"/>
        <v>2677808</v>
      </c>
      <c r="E86" s="358">
        <f>'178Khoi xa'!AG355</f>
        <v>1221597</v>
      </c>
      <c r="F86" s="358">
        <f>'178Khoi xa'!AH355</f>
        <v>1456211</v>
      </c>
      <c r="G86" s="369"/>
      <c r="H86" s="369"/>
      <c r="I86" s="369"/>
      <c r="J86" s="369"/>
      <c r="K86" s="369"/>
      <c r="L86" s="369"/>
      <c r="M86" s="369"/>
    </row>
    <row r="87" spans="1:13" s="353" customFormat="1" ht="22.5" customHeight="1" x14ac:dyDescent="0.25">
      <c r="A87" s="364">
        <v>61</v>
      </c>
      <c r="B87" s="369" t="s">
        <v>1175</v>
      </c>
      <c r="C87" s="356">
        <f t="shared" si="6"/>
        <v>4134517</v>
      </c>
      <c r="D87" s="357">
        <f t="shared" si="7"/>
        <v>4134517</v>
      </c>
      <c r="E87" s="358">
        <f>'178Khoi xa'!AG359</f>
        <v>1134783</v>
      </c>
      <c r="F87" s="358">
        <f>'178Khoi xa'!AH359</f>
        <v>2999734</v>
      </c>
      <c r="G87" s="369"/>
      <c r="H87" s="369"/>
      <c r="I87" s="369"/>
      <c r="J87" s="369"/>
      <c r="K87" s="369"/>
      <c r="L87" s="369"/>
      <c r="M87" s="369"/>
    </row>
    <row r="88" spans="1:13" s="353" customFormat="1" ht="22.5" customHeight="1" x14ac:dyDescent="0.25">
      <c r="A88" s="364">
        <v>62</v>
      </c>
      <c r="B88" s="369" t="s">
        <v>1176</v>
      </c>
      <c r="C88" s="356">
        <f t="shared" si="6"/>
        <v>8560277</v>
      </c>
      <c r="D88" s="357">
        <f t="shared" si="7"/>
        <v>8560277</v>
      </c>
      <c r="E88" s="358">
        <f>'178Khoi xa'!AG365</f>
        <v>0</v>
      </c>
      <c r="F88" s="358">
        <f>'178Khoi xa'!AH365</f>
        <v>8560277</v>
      </c>
      <c r="G88" s="369"/>
      <c r="H88" s="369"/>
      <c r="I88" s="369"/>
      <c r="J88" s="369"/>
      <c r="K88" s="369"/>
      <c r="L88" s="369"/>
      <c r="M88" s="369"/>
    </row>
    <row r="89" spans="1:13" s="353" customFormat="1" ht="22.5" customHeight="1" x14ac:dyDescent="0.25">
      <c r="A89" s="364">
        <v>63</v>
      </c>
      <c r="B89" s="369" t="s">
        <v>1177</v>
      </c>
      <c r="C89" s="356">
        <f t="shared" si="6"/>
        <v>3608105</v>
      </c>
      <c r="D89" s="357">
        <f t="shared" si="7"/>
        <v>3608105</v>
      </c>
      <c r="E89" s="358">
        <f>'178Khoi xa'!AG375</f>
        <v>1307826</v>
      </c>
      <c r="F89" s="358">
        <f>'178Khoi xa'!AH375</f>
        <v>2300279</v>
      </c>
      <c r="G89" s="369"/>
      <c r="H89" s="369"/>
      <c r="I89" s="369"/>
      <c r="J89" s="369"/>
      <c r="K89" s="369"/>
      <c r="L89" s="369"/>
      <c r="M89" s="369"/>
    </row>
    <row r="90" spans="1:13" s="353" customFormat="1" ht="22.5" customHeight="1" x14ac:dyDescent="0.25">
      <c r="A90" s="364">
        <v>64</v>
      </c>
      <c r="B90" s="369" t="s">
        <v>1178</v>
      </c>
      <c r="C90" s="356">
        <f t="shared" ref="C90:C91" si="10">D90+G90</f>
        <v>8812658</v>
      </c>
      <c r="D90" s="357">
        <f t="shared" ref="D90:D91" si="11">E90+F90</f>
        <v>8812658</v>
      </c>
      <c r="E90" s="358">
        <f>'178Khoi xa'!AG379</f>
        <v>3104896</v>
      </c>
      <c r="F90" s="358">
        <f>'178Khoi xa'!AH379</f>
        <v>5707762</v>
      </c>
      <c r="G90" s="369"/>
      <c r="H90" s="369"/>
      <c r="I90" s="369"/>
      <c r="J90" s="369"/>
      <c r="K90" s="369"/>
      <c r="L90" s="369"/>
      <c r="M90" s="369"/>
    </row>
    <row r="91" spans="1:13" s="353" customFormat="1" ht="22.5" customHeight="1" x14ac:dyDescent="0.25">
      <c r="A91" s="373">
        <v>65</v>
      </c>
      <c r="B91" s="374" t="s">
        <v>1179</v>
      </c>
      <c r="C91" s="375">
        <f t="shared" si="10"/>
        <v>4832086</v>
      </c>
      <c r="D91" s="376">
        <f t="shared" si="11"/>
        <v>4832086</v>
      </c>
      <c r="E91" s="377">
        <f>'178Khoi xa'!AG390</f>
        <v>2550235</v>
      </c>
      <c r="F91" s="377">
        <f>'178Khoi xa'!AH390</f>
        <v>2281851</v>
      </c>
      <c r="G91" s="374"/>
      <c r="H91" s="374"/>
      <c r="I91" s="374"/>
      <c r="J91" s="374"/>
      <c r="K91" s="374"/>
      <c r="L91" s="374"/>
      <c r="M91" s="374"/>
    </row>
  </sheetData>
  <mergeCells count="19">
    <mergeCell ref="H6:H8"/>
    <mergeCell ref="I6:I8"/>
    <mergeCell ref="J5:L5"/>
    <mergeCell ref="J6:J8"/>
    <mergeCell ref="K6:K8"/>
    <mergeCell ref="L6:L8"/>
    <mergeCell ref="A2:M2"/>
    <mergeCell ref="A3:M3"/>
    <mergeCell ref="F4:M4"/>
    <mergeCell ref="A5:A8"/>
    <mergeCell ref="B5:B8"/>
    <mergeCell ref="C5:C8"/>
    <mergeCell ref="D5:F5"/>
    <mergeCell ref="G5:I5"/>
    <mergeCell ref="M5:M8"/>
    <mergeCell ref="D6:D8"/>
    <mergeCell ref="E6:E8"/>
    <mergeCell ref="F6:F8"/>
    <mergeCell ref="G6:G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verticalDpi="0" r:id="rId1"/>
  <headerFoot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96"/>
  <sheetViews>
    <sheetView topLeftCell="A87" zoomScaleNormal="100" zoomScaleSheetLayoutView="70" workbookViewId="0">
      <selection activeCell="E93" sqref="E93"/>
    </sheetView>
  </sheetViews>
  <sheetFormatPr defaultColWidth="9.109375" defaultRowHeight="15.6" x14ac:dyDescent="0.25"/>
  <cols>
    <col min="1" max="1" width="5.109375" style="281" customWidth="1"/>
    <col min="2" max="2" width="25.44140625" style="337" customWidth="1"/>
    <col min="3" max="3" width="15.109375" style="281" customWidth="1"/>
    <col min="4" max="4" width="12.6640625" style="125" hidden="1" customWidth="1"/>
    <col min="5" max="5" width="19.44140625" style="125" customWidth="1"/>
    <col min="6" max="6" width="9.44140625" style="281" hidden="1" customWidth="1"/>
    <col min="7" max="7" width="7.109375" style="125" hidden="1" customWidth="1"/>
    <col min="8" max="8" width="8.5546875" style="125" hidden="1" customWidth="1"/>
    <col min="9" max="9" width="8.6640625" style="125" hidden="1" customWidth="1"/>
    <col min="10" max="10" width="9" style="125" hidden="1" customWidth="1"/>
    <col min="11" max="11" width="6.5546875" style="125" hidden="1" customWidth="1"/>
    <col min="12" max="12" width="7" style="125" hidden="1" customWidth="1"/>
    <col min="13" max="13" width="8.5546875" style="125" hidden="1" customWidth="1"/>
    <col min="14" max="14" width="11" style="125" hidden="1" customWidth="1"/>
    <col min="15" max="15" width="10" style="125" hidden="1" customWidth="1"/>
    <col min="16" max="16" width="12.6640625" style="281" hidden="1" customWidth="1"/>
    <col min="17" max="17" width="12.88671875" style="281" hidden="1" customWidth="1"/>
    <col min="18" max="18" width="11.109375" style="125" hidden="1" customWidth="1"/>
    <col min="19" max="19" width="6.109375" style="125" hidden="1" customWidth="1"/>
    <col min="20" max="20" width="7.109375" style="125" hidden="1" customWidth="1"/>
    <col min="21" max="21" width="13.6640625" style="125" hidden="1" customWidth="1"/>
    <col min="22" max="22" width="12.109375" style="125" hidden="1" customWidth="1"/>
    <col min="23" max="23" width="5.33203125" style="125" hidden="1" customWidth="1"/>
    <col min="24" max="24" width="6.33203125" style="125" hidden="1" customWidth="1"/>
    <col min="25" max="25" width="17.6640625" style="282" hidden="1" customWidth="1"/>
    <col min="26" max="26" width="17.6640625" style="283" hidden="1" customWidth="1"/>
    <col min="27" max="28" width="17.33203125" style="282" hidden="1" customWidth="1"/>
    <col min="29" max="29" width="16.109375" style="284" hidden="1" customWidth="1"/>
    <col min="30" max="30" width="16.6640625" style="284" hidden="1" customWidth="1"/>
    <col min="31" max="32" width="16.109375" style="284" hidden="1" customWidth="1"/>
    <col min="33" max="33" width="17.33203125" style="285" customWidth="1"/>
    <col min="34" max="34" width="17" style="282" customWidth="1"/>
    <col min="35" max="35" width="18" style="282" customWidth="1"/>
    <col min="36" max="36" width="24" style="285" customWidth="1"/>
    <col min="37" max="37" width="23.44140625" style="125" hidden="1" customWidth="1"/>
    <col min="38" max="38" width="0" style="125" hidden="1" customWidth="1"/>
    <col min="39" max="39" width="12.44140625" style="125" hidden="1" customWidth="1"/>
    <col min="40" max="46" width="0" style="125" hidden="1" customWidth="1"/>
    <col min="47" max="50" width="9.109375" style="125"/>
    <col min="51" max="51" width="32.6640625" style="125" customWidth="1"/>
    <col min="52" max="16384" width="9.109375" style="125"/>
  </cols>
  <sheetData>
    <row r="1" spans="1:51" s="275" customFormat="1" ht="23.25" customHeight="1" x14ac:dyDescent="0.25">
      <c r="A1" s="274"/>
      <c r="E1" s="276"/>
      <c r="P1" s="274"/>
      <c r="Q1" s="274"/>
      <c r="V1" s="277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 t="s">
        <v>226</v>
      </c>
    </row>
    <row r="2" spans="1:51" ht="13.5" customHeight="1" x14ac:dyDescent="0.25">
      <c r="A2" s="531" t="s">
        <v>1190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1"/>
      <c r="P2" s="531"/>
      <c r="Q2" s="531"/>
      <c r="R2" s="531"/>
      <c r="S2" s="531"/>
      <c r="T2" s="531"/>
      <c r="U2" s="531"/>
      <c r="V2" s="531"/>
      <c r="W2" s="531"/>
      <c r="X2" s="531"/>
      <c r="Y2" s="531"/>
      <c r="Z2" s="531"/>
      <c r="AA2" s="531"/>
      <c r="AB2" s="531"/>
      <c r="AC2" s="531"/>
      <c r="AD2" s="531"/>
      <c r="AE2" s="531"/>
      <c r="AF2" s="531"/>
      <c r="AG2" s="531"/>
      <c r="AH2" s="531"/>
      <c r="AI2" s="531"/>
      <c r="AJ2" s="531"/>
    </row>
    <row r="3" spans="1:51" ht="52.95" customHeight="1" x14ac:dyDescent="0.25">
      <c r="A3" s="531"/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  <c r="N3" s="531"/>
      <c r="O3" s="531"/>
      <c r="P3" s="531"/>
      <c r="Q3" s="531"/>
      <c r="R3" s="531"/>
      <c r="S3" s="531"/>
      <c r="T3" s="531"/>
      <c r="U3" s="531"/>
      <c r="V3" s="531"/>
      <c r="W3" s="531"/>
      <c r="X3" s="531"/>
      <c r="Y3" s="531"/>
      <c r="Z3" s="531"/>
      <c r="AA3" s="531"/>
      <c r="AB3" s="531"/>
      <c r="AC3" s="531"/>
      <c r="AD3" s="531"/>
      <c r="AE3" s="531"/>
      <c r="AF3" s="531"/>
      <c r="AG3" s="531"/>
      <c r="AH3" s="531"/>
      <c r="AI3" s="531"/>
      <c r="AJ3" s="531"/>
    </row>
    <row r="4" spans="1:51" ht="29.4" customHeight="1" x14ac:dyDescent="0.25">
      <c r="A4" s="500" t="s">
        <v>1202</v>
      </c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  <c r="R4" s="500"/>
      <c r="S4" s="500"/>
      <c r="T4" s="500"/>
      <c r="U4" s="500"/>
      <c r="V4" s="500"/>
      <c r="W4" s="500"/>
      <c r="X4" s="500"/>
      <c r="Y4" s="500"/>
      <c r="Z4" s="500"/>
      <c r="AA4" s="500"/>
      <c r="AB4" s="500"/>
      <c r="AC4" s="500"/>
      <c r="AD4" s="500"/>
      <c r="AE4" s="500"/>
      <c r="AF4" s="500"/>
      <c r="AG4" s="500"/>
      <c r="AH4" s="500"/>
      <c r="AI4" s="500"/>
      <c r="AJ4" s="500"/>
    </row>
    <row r="5" spans="1:51" ht="31.2" customHeight="1" x14ac:dyDescent="0.25">
      <c r="A5" s="279"/>
      <c r="B5" s="493"/>
      <c r="C5" s="493"/>
      <c r="D5" s="493"/>
      <c r="E5" s="493"/>
      <c r="Z5" s="283">
        <f>L15</f>
        <v>0</v>
      </c>
      <c r="AH5" s="492" t="s">
        <v>50</v>
      </c>
      <c r="AI5" s="492"/>
      <c r="AJ5" s="492"/>
      <c r="AK5" s="282"/>
    </row>
    <row r="6" spans="1:51" ht="49.2" customHeight="1" x14ac:dyDescent="0.25">
      <c r="A6" s="523" t="s">
        <v>0</v>
      </c>
      <c r="B6" s="523" t="s">
        <v>1</v>
      </c>
      <c r="C6" s="524" t="s">
        <v>2</v>
      </c>
      <c r="D6" s="523" t="s">
        <v>3</v>
      </c>
      <c r="E6" s="523" t="s">
        <v>28</v>
      </c>
      <c r="F6" s="512" t="s">
        <v>9</v>
      </c>
      <c r="G6" s="507" t="s">
        <v>19</v>
      </c>
      <c r="H6" s="507"/>
      <c r="I6" s="507"/>
      <c r="J6" s="507"/>
      <c r="K6" s="507"/>
      <c r="L6" s="507"/>
      <c r="M6" s="507"/>
      <c r="N6" s="507"/>
      <c r="O6" s="508" t="s">
        <v>27</v>
      </c>
      <c r="P6" s="515" t="s">
        <v>14</v>
      </c>
      <c r="Q6" s="524" t="s">
        <v>15</v>
      </c>
      <c r="R6" s="508" t="s">
        <v>10</v>
      </c>
      <c r="S6" s="540" t="s">
        <v>11</v>
      </c>
      <c r="T6" s="541"/>
      <c r="U6" s="512" t="s">
        <v>4</v>
      </c>
      <c r="V6" s="519" t="s">
        <v>32</v>
      </c>
      <c r="W6" s="518" t="s">
        <v>11</v>
      </c>
      <c r="X6" s="518"/>
      <c r="Y6" s="501" t="s">
        <v>21</v>
      </c>
      <c r="Z6" s="542" t="s">
        <v>29</v>
      </c>
      <c r="AA6" s="522" t="s">
        <v>11</v>
      </c>
      <c r="AB6" s="522"/>
      <c r="AC6" s="501" t="s">
        <v>30</v>
      </c>
      <c r="AD6" s="504" t="s">
        <v>11</v>
      </c>
      <c r="AE6" s="505"/>
      <c r="AF6" s="506"/>
      <c r="AG6" s="534" t="s">
        <v>1189</v>
      </c>
      <c r="AH6" s="535"/>
      <c r="AI6" s="535"/>
      <c r="AJ6" s="536"/>
      <c r="AK6" s="286"/>
    </row>
    <row r="7" spans="1:51" ht="48" customHeight="1" x14ac:dyDescent="0.25">
      <c r="A7" s="523"/>
      <c r="B7" s="523"/>
      <c r="C7" s="524"/>
      <c r="D7" s="523"/>
      <c r="E7" s="523"/>
      <c r="F7" s="513"/>
      <c r="G7" s="525" t="s">
        <v>48</v>
      </c>
      <c r="H7" s="511" t="s">
        <v>42</v>
      </c>
      <c r="I7" s="511" t="s">
        <v>43</v>
      </c>
      <c r="J7" s="511" t="s">
        <v>44</v>
      </c>
      <c r="K7" s="511" t="s">
        <v>45</v>
      </c>
      <c r="L7" s="511" t="s">
        <v>46</v>
      </c>
      <c r="M7" s="511" t="s">
        <v>18</v>
      </c>
      <c r="N7" s="511" t="s">
        <v>47</v>
      </c>
      <c r="O7" s="509"/>
      <c r="P7" s="516"/>
      <c r="Q7" s="524"/>
      <c r="R7" s="509"/>
      <c r="S7" s="527" t="s">
        <v>12</v>
      </c>
      <c r="T7" s="527" t="s">
        <v>13</v>
      </c>
      <c r="U7" s="513"/>
      <c r="V7" s="520"/>
      <c r="W7" s="518" t="s">
        <v>24</v>
      </c>
      <c r="X7" s="518" t="s">
        <v>25</v>
      </c>
      <c r="Y7" s="503"/>
      <c r="Z7" s="543"/>
      <c r="AA7" s="532" t="s">
        <v>5</v>
      </c>
      <c r="AB7" s="532" t="s">
        <v>6</v>
      </c>
      <c r="AC7" s="503"/>
      <c r="AD7" s="532" t="s">
        <v>7</v>
      </c>
      <c r="AE7" s="532" t="s">
        <v>41</v>
      </c>
      <c r="AF7" s="532" t="s">
        <v>8</v>
      </c>
      <c r="AG7" s="537" t="s">
        <v>26</v>
      </c>
      <c r="AH7" s="537"/>
      <c r="AI7" s="538" t="s">
        <v>31</v>
      </c>
      <c r="AJ7" s="501" t="s">
        <v>51</v>
      </c>
    </row>
    <row r="8" spans="1:51" ht="65.25" customHeight="1" x14ac:dyDescent="0.25">
      <c r="A8" s="523"/>
      <c r="B8" s="523"/>
      <c r="C8" s="524"/>
      <c r="D8" s="523"/>
      <c r="E8" s="523"/>
      <c r="F8" s="514"/>
      <c r="G8" s="526"/>
      <c r="H8" s="511"/>
      <c r="I8" s="511"/>
      <c r="J8" s="511"/>
      <c r="K8" s="511"/>
      <c r="L8" s="511"/>
      <c r="M8" s="511"/>
      <c r="N8" s="511"/>
      <c r="O8" s="510"/>
      <c r="P8" s="517"/>
      <c r="Q8" s="524"/>
      <c r="R8" s="510"/>
      <c r="S8" s="528"/>
      <c r="T8" s="528"/>
      <c r="U8" s="514"/>
      <c r="V8" s="521"/>
      <c r="W8" s="518"/>
      <c r="X8" s="518"/>
      <c r="Y8" s="502"/>
      <c r="Z8" s="544"/>
      <c r="AA8" s="533"/>
      <c r="AB8" s="533"/>
      <c r="AC8" s="502"/>
      <c r="AD8" s="533"/>
      <c r="AE8" s="533"/>
      <c r="AF8" s="533"/>
      <c r="AG8" s="288" t="s">
        <v>52</v>
      </c>
      <c r="AH8" s="288" t="s">
        <v>53</v>
      </c>
      <c r="AI8" s="539"/>
      <c r="AJ8" s="502"/>
    </row>
    <row r="9" spans="1:51" s="295" customFormat="1" x14ac:dyDescent="0.25">
      <c r="A9" s="290">
        <v>1</v>
      </c>
      <c r="B9" s="290">
        <v>2</v>
      </c>
      <c r="C9" s="290">
        <v>3</v>
      </c>
      <c r="D9" s="290"/>
      <c r="E9" s="290" t="s">
        <v>20</v>
      </c>
      <c r="F9" s="291">
        <v>5</v>
      </c>
      <c r="G9" s="290" t="s">
        <v>16</v>
      </c>
      <c r="H9" s="290"/>
      <c r="I9" s="290" t="s">
        <v>17</v>
      </c>
      <c r="J9" s="291">
        <v>8</v>
      </c>
      <c r="K9" s="290" t="s">
        <v>22</v>
      </c>
      <c r="L9" s="290" t="s">
        <v>33</v>
      </c>
      <c r="M9" s="291">
        <v>11</v>
      </c>
      <c r="N9" s="291"/>
      <c r="O9" s="290" t="s">
        <v>34</v>
      </c>
      <c r="P9" s="290" t="s">
        <v>23</v>
      </c>
      <c r="Q9" s="291">
        <v>5</v>
      </c>
      <c r="R9" s="290" t="s">
        <v>35</v>
      </c>
      <c r="S9" s="290" t="s">
        <v>33</v>
      </c>
      <c r="T9" s="291">
        <v>11</v>
      </c>
      <c r="U9" s="290" t="s">
        <v>36</v>
      </c>
      <c r="V9" s="290" t="s">
        <v>37</v>
      </c>
      <c r="W9" s="292"/>
      <c r="X9" s="290"/>
      <c r="Y9" s="293" t="s">
        <v>38</v>
      </c>
      <c r="Z9" s="294" t="s">
        <v>40</v>
      </c>
      <c r="AA9" s="294">
        <v>20</v>
      </c>
      <c r="AB9" s="294">
        <v>21</v>
      </c>
      <c r="AC9" s="294" t="s">
        <v>39</v>
      </c>
      <c r="AD9" s="294">
        <v>23</v>
      </c>
      <c r="AE9" s="294">
        <v>24</v>
      </c>
      <c r="AF9" s="294">
        <v>25</v>
      </c>
      <c r="AG9" s="294">
        <v>5</v>
      </c>
      <c r="AH9" s="294">
        <v>6</v>
      </c>
      <c r="AI9" s="294">
        <v>7</v>
      </c>
      <c r="AJ9" s="294" t="s">
        <v>55</v>
      </c>
    </row>
    <row r="10" spans="1:51" s="295" customFormat="1" ht="32.25" customHeight="1" x14ac:dyDescent="0.25">
      <c r="A10" s="141"/>
      <c r="B10" s="141" t="s">
        <v>54</v>
      </c>
      <c r="C10" s="142"/>
      <c r="D10" s="142"/>
      <c r="E10" s="143"/>
      <c r="F10" s="144"/>
      <c r="G10" s="142"/>
      <c r="H10" s="142"/>
      <c r="I10" s="142"/>
      <c r="J10" s="144"/>
      <c r="K10" s="142"/>
      <c r="L10" s="142"/>
      <c r="M10" s="144"/>
      <c r="N10" s="144"/>
      <c r="O10" s="142"/>
      <c r="P10" s="142"/>
      <c r="Q10" s="144"/>
      <c r="R10" s="142"/>
      <c r="S10" s="142"/>
      <c r="T10" s="144"/>
      <c r="U10" s="142"/>
      <c r="V10" s="142"/>
      <c r="W10" s="142"/>
      <c r="X10" s="142"/>
      <c r="Y10" s="287">
        <f t="shared" ref="Y10:AJ10" si="0">Y11+Y15+Y17+Y19+Y24+Y31+Y68+Y72+Y75+Y82+Y86+Y91+Y94</f>
        <v>23030196.695999999</v>
      </c>
      <c r="Z10" s="287">
        <f t="shared" si="0"/>
        <v>17325006.543000001</v>
      </c>
      <c r="AA10" s="287">
        <f t="shared" si="0"/>
        <v>12476842.794000002</v>
      </c>
      <c r="AB10" s="287">
        <f t="shared" si="0"/>
        <v>4848163.7489999998</v>
      </c>
      <c r="AC10" s="287">
        <f t="shared" si="0"/>
        <v>17255425.180500001</v>
      </c>
      <c r="AD10" s="287">
        <f t="shared" si="0"/>
        <v>9878229.5040000007</v>
      </c>
      <c r="AE10" s="287">
        <f t="shared" si="0"/>
        <v>6982573.3965000007</v>
      </c>
      <c r="AF10" s="287">
        <f t="shared" si="0"/>
        <v>394622.28</v>
      </c>
      <c r="AG10" s="287">
        <f t="shared" si="0"/>
        <v>40355205</v>
      </c>
      <c r="AH10" s="287">
        <f t="shared" si="0"/>
        <v>17255426</v>
      </c>
      <c r="AI10" s="287">
        <f t="shared" si="0"/>
        <v>0</v>
      </c>
      <c r="AJ10" s="287">
        <f t="shared" si="0"/>
        <v>57610631</v>
      </c>
      <c r="AK10" s="416"/>
      <c r="AN10" s="296"/>
      <c r="AS10" s="297">
        <f>ROUND(Y10+Z10+AC10,0)-AJ10</f>
        <v>-3</v>
      </c>
      <c r="AY10" s="441"/>
    </row>
    <row r="11" spans="1:51" s="295" customFormat="1" ht="32.25" customHeight="1" x14ac:dyDescent="0.25">
      <c r="A11" s="147" t="s">
        <v>57</v>
      </c>
      <c r="B11" s="499" t="s">
        <v>362</v>
      </c>
      <c r="C11" s="499"/>
      <c r="D11" s="499"/>
      <c r="E11" s="499"/>
      <c r="F11" s="151"/>
      <c r="G11" s="149"/>
      <c r="H11" s="149"/>
      <c r="I11" s="149"/>
      <c r="J11" s="151"/>
      <c r="K11" s="149"/>
      <c r="L11" s="149"/>
      <c r="M11" s="151"/>
      <c r="N11" s="151"/>
      <c r="O11" s="149"/>
      <c r="P11" s="149"/>
      <c r="Q11" s="151"/>
      <c r="R11" s="149"/>
      <c r="S11" s="149"/>
      <c r="T11" s="151"/>
      <c r="U11" s="149"/>
      <c r="V11" s="149"/>
      <c r="W11" s="149"/>
      <c r="X11" s="149"/>
      <c r="Y11" s="383">
        <f>SUM(Y12:Y14)</f>
        <v>2110212</v>
      </c>
      <c r="Z11" s="383">
        <f t="shared" ref="Z11:AJ11" si="1">SUM(Z12:Z14)</f>
        <v>1510411.5</v>
      </c>
      <c r="AA11" s="383">
        <f t="shared" si="1"/>
        <v>1051245</v>
      </c>
      <c r="AB11" s="383">
        <f t="shared" si="1"/>
        <v>459166.5</v>
      </c>
      <c r="AC11" s="383">
        <f t="shared" si="1"/>
        <v>1162906.875</v>
      </c>
      <c r="AD11" s="383">
        <f t="shared" si="1"/>
        <v>652860</v>
      </c>
      <c r="AE11" s="383">
        <f t="shared" si="1"/>
        <v>469243.125</v>
      </c>
      <c r="AF11" s="383">
        <f t="shared" si="1"/>
        <v>40803.75</v>
      </c>
      <c r="AG11" s="383">
        <f t="shared" si="1"/>
        <v>3620623</v>
      </c>
      <c r="AH11" s="383">
        <f t="shared" si="1"/>
        <v>1162907</v>
      </c>
      <c r="AI11" s="383">
        <f t="shared" si="1"/>
        <v>0</v>
      </c>
      <c r="AJ11" s="383">
        <f t="shared" si="1"/>
        <v>4783530</v>
      </c>
      <c r="AK11" s="416"/>
      <c r="AN11" s="296"/>
      <c r="AS11" s="297">
        <f t="shared" ref="AS11:AS93" si="2">Y11+Z11+AC11-AJ11</f>
        <v>0.375</v>
      </c>
    </row>
    <row r="12" spans="1:51" ht="39" customHeight="1" x14ac:dyDescent="0.25">
      <c r="A12" s="153">
        <v>1</v>
      </c>
      <c r="B12" s="201" t="s">
        <v>58</v>
      </c>
      <c r="C12" s="199">
        <v>26569</v>
      </c>
      <c r="D12" s="199" t="s">
        <v>59</v>
      </c>
      <c r="E12" s="202" t="s">
        <v>60</v>
      </c>
      <c r="F12" s="155">
        <v>6.2</v>
      </c>
      <c r="G12" s="113"/>
      <c r="H12" s="113">
        <v>0.7</v>
      </c>
      <c r="I12" s="156"/>
      <c r="J12" s="156"/>
      <c r="K12" s="157"/>
      <c r="L12" s="157"/>
      <c r="M12" s="157">
        <f t="shared" ref="M12" si="3">(F12+G12+H12+I12)*25%</f>
        <v>1.7250000000000001</v>
      </c>
      <c r="N12" s="157"/>
      <c r="O12" s="190">
        <f t="shared" ref="O12" si="4">SUM(F12:N12)*2340</f>
        <v>20182.5</v>
      </c>
      <c r="P12" s="199">
        <v>48000</v>
      </c>
      <c r="Q12" s="174" t="s">
        <v>56</v>
      </c>
      <c r="R12" s="171">
        <f>(S12)+(IF(T12=0,0,IF(T12&lt;7,1/2,1)))</f>
        <v>30.5</v>
      </c>
      <c r="S12" s="113">
        <v>30</v>
      </c>
      <c r="T12" s="113">
        <v>4</v>
      </c>
      <c r="U12" s="113">
        <f>(W12*12)+X12</f>
        <v>69</v>
      </c>
      <c r="V12" s="209">
        <f>(W12)+(IF(X12=0,0,IF(X12&lt;7,1/2,1)))</f>
        <v>6</v>
      </c>
      <c r="W12" s="113">
        <v>5</v>
      </c>
      <c r="X12" s="113">
        <v>9</v>
      </c>
      <c r="Y12" s="157">
        <f t="shared" ref="Y12" si="5">0.9*60*O12</f>
        <v>1089855</v>
      </c>
      <c r="Z12" s="157">
        <f t="shared" ref="Z12" si="6">SUM(AA12:AB12)</f>
        <v>721524.375</v>
      </c>
      <c r="AA12" s="157">
        <f>4*V12*O12</f>
        <v>484380</v>
      </c>
      <c r="AB12" s="157">
        <f t="shared" ref="AB12" si="7">SUM(4*O12)+(0.5*(R12-15)*O12)</f>
        <v>237144.375</v>
      </c>
      <c r="AC12" s="242"/>
      <c r="AD12" s="242"/>
      <c r="AE12" s="242"/>
      <c r="AF12" s="242"/>
      <c r="AG12" s="180">
        <f>ROUND(Y12+Z12,0)</f>
        <v>1811379</v>
      </c>
      <c r="AH12" s="180">
        <v>0</v>
      </c>
      <c r="AI12" s="180"/>
      <c r="AJ12" s="384">
        <f>AG12+AH12+AI12</f>
        <v>1811379</v>
      </c>
      <c r="AK12" s="282"/>
      <c r="AN12" s="296"/>
      <c r="AS12" s="297">
        <f t="shared" si="2"/>
        <v>0.375</v>
      </c>
    </row>
    <row r="13" spans="1:51" ht="39" customHeight="1" x14ac:dyDescent="0.25">
      <c r="A13" s="153">
        <v>2</v>
      </c>
      <c r="B13" s="201" t="s">
        <v>61</v>
      </c>
      <c r="C13" s="199">
        <v>26926</v>
      </c>
      <c r="D13" s="199" t="s">
        <v>49</v>
      </c>
      <c r="E13" s="202" t="s">
        <v>60</v>
      </c>
      <c r="F13" s="155">
        <v>5.76</v>
      </c>
      <c r="G13" s="113"/>
      <c r="H13" s="113">
        <v>0.7</v>
      </c>
      <c r="I13" s="156"/>
      <c r="J13" s="156"/>
      <c r="K13" s="157"/>
      <c r="L13" s="157"/>
      <c r="M13" s="157">
        <f t="shared" ref="M13" si="8">(F13+G13+H13+I13)*25%</f>
        <v>1.615</v>
      </c>
      <c r="N13" s="157"/>
      <c r="O13" s="190">
        <f t="shared" ref="O13:O14" si="9">SUM(F13:N13)*2340</f>
        <v>18895.5</v>
      </c>
      <c r="P13" s="199">
        <v>48488</v>
      </c>
      <c r="Q13" s="174" t="s">
        <v>56</v>
      </c>
      <c r="R13" s="171">
        <f>(S13)+(IF(T13=0,0,IF(T13&lt;7,1/2,1)))</f>
        <v>30.5</v>
      </c>
      <c r="S13" s="113">
        <v>30</v>
      </c>
      <c r="T13" s="113">
        <v>1</v>
      </c>
      <c r="U13" s="113">
        <f>(W13*12)+X13</f>
        <v>85</v>
      </c>
      <c r="V13" s="209">
        <f>(W13)+(IF(X13=0,0,IF(X13&lt;7,1/2,1)))</f>
        <v>7.5</v>
      </c>
      <c r="W13" s="113">
        <v>7</v>
      </c>
      <c r="X13" s="113">
        <v>1</v>
      </c>
      <c r="Y13" s="157">
        <f t="shared" ref="Y13" si="10">0.9*60*O13</f>
        <v>1020357</v>
      </c>
      <c r="Z13" s="157">
        <f t="shared" ref="Z13" si="11">SUM(AA13:AB13)</f>
        <v>788887.125</v>
      </c>
      <c r="AA13" s="157">
        <f>4*V13*O13</f>
        <v>566865</v>
      </c>
      <c r="AB13" s="157">
        <f t="shared" ref="AB13" si="12">SUM(4*O13)+(0.5*(R13-15)*O13)</f>
        <v>222022.125</v>
      </c>
      <c r="AC13" s="242"/>
      <c r="AD13" s="242"/>
      <c r="AE13" s="242"/>
      <c r="AF13" s="242"/>
      <c r="AG13" s="180">
        <f>ROUND(Y13+Z13,0)</f>
        <v>1809244</v>
      </c>
      <c r="AH13" s="180">
        <v>0</v>
      </c>
      <c r="AI13" s="180"/>
      <c r="AJ13" s="384">
        <f>AG13+AH13+AI13</f>
        <v>1809244</v>
      </c>
      <c r="AK13" s="282"/>
      <c r="AN13" s="296"/>
      <c r="AS13" s="297">
        <f t="shared" si="2"/>
        <v>0.125</v>
      </c>
    </row>
    <row r="14" spans="1:51" s="276" customFormat="1" ht="39" customHeight="1" x14ac:dyDescent="0.25">
      <c r="A14" s="153">
        <v>3</v>
      </c>
      <c r="B14" s="168" t="s">
        <v>62</v>
      </c>
      <c r="C14" s="169">
        <v>28037</v>
      </c>
      <c r="D14" s="112" t="s">
        <v>49</v>
      </c>
      <c r="E14" s="423" t="s">
        <v>63</v>
      </c>
      <c r="F14" s="113">
        <v>4.6500000000000004</v>
      </c>
      <c r="G14" s="157"/>
      <c r="H14" s="157"/>
      <c r="I14" s="156"/>
      <c r="J14" s="156"/>
      <c r="K14" s="157"/>
      <c r="L14" s="171"/>
      <c r="M14" s="157">
        <f t="shared" ref="M14" si="13">(F14+G14+H14)*25%</f>
        <v>1.1625000000000001</v>
      </c>
      <c r="N14" s="172"/>
      <c r="O14" s="190">
        <f t="shared" si="9"/>
        <v>13601.25</v>
      </c>
      <c r="P14" s="112">
        <v>49980</v>
      </c>
      <c r="Q14" s="174" t="s">
        <v>56</v>
      </c>
      <c r="R14" s="171">
        <f t="shared" ref="R14" si="14">(S14)+(IF(T14=0,0,IF(T14&lt;7,1/2,1)))</f>
        <v>23</v>
      </c>
      <c r="S14" s="113">
        <v>22</v>
      </c>
      <c r="T14" s="113">
        <v>8</v>
      </c>
      <c r="U14" s="113">
        <f t="shared" ref="U14" si="15">(W14*12)+X14</f>
        <v>134</v>
      </c>
      <c r="V14" s="209">
        <f t="shared" ref="V14" si="16">(W14)+(IF(X14=0,0,IF(X14&lt;7,1/2,1)))</f>
        <v>11.5</v>
      </c>
      <c r="W14" s="113">
        <v>11</v>
      </c>
      <c r="X14" s="113">
        <v>2</v>
      </c>
      <c r="Y14" s="157"/>
      <c r="Z14" s="157"/>
      <c r="AA14" s="385"/>
      <c r="AB14" s="385"/>
      <c r="AC14" s="180">
        <f t="shared" ref="AC14" si="17">AD14+AE14+AF14</f>
        <v>1162906.875</v>
      </c>
      <c r="AD14" s="180">
        <f t="shared" ref="AD14" si="18">0.8*60*O14</f>
        <v>652860</v>
      </c>
      <c r="AE14" s="180">
        <f t="shared" ref="AE14" si="19">1.5*O14*R14</f>
        <v>469243.125</v>
      </c>
      <c r="AF14" s="180">
        <f t="shared" ref="AF14" si="20">3*O14</f>
        <v>40803.75</v>
      </c>
      <c r="AG14" s="180">
        <f t="shared" ref="AG14" si="21">ROUND(Y14+Z14,0)</f>
        <v>0</v>
      </c>
      <c r="AH14" s="180">
        <f>ROUND(AC14,0)</f>
        <v>1162907</v>
      </c>
      <c r="AI14" s="180"/>
      <c r="AJ14" s="384">
        <f t="shared" ref="AJ14" si="22">AG14+AH14+AI14</f>
        <v>1162907</v>
      </c>
      <c r="AK14" s="285"/>
      <c r="AN14" s="296"/>
      <c r="AS14" s="297">
        <f t="shared" si="2"/>
        <v>-0.125</v>
      </c>
    </row>
    <row r="15" spans="1:51" s="295" customFormat="1" ht="32.25" customHeight="1" x14ac:dyDescent="0.25">
      <c r="A15" s="181" t="s">
        <v>64</v>
      </c>
      <c r="B15" s="498" t="s">
        <v>363</v>
      </c>
      <c r="C15" s="498"/>
      <c r="D15" s="498"/>
      <c r="E15" s="498"/>
      <c r="F15" s="185"/>
      <c r="G15" s="183"/>
      <c r="H15" s="183"/>
      <c r="I15" s="183"/>
      <c r="J15" s="185"/>
      <c r="K15" s="183"/>
      <c r="L15" s="183"/>
      <c r="M15" s="185"/>
      <c r="N15" s="185"/>
      <c r="O15" s="183"/>
      <c r="P15" s="183"/>
      <c r="Q15" s="185"/>
      <c r="R15" s="183"/>
      <c r="S15" s="183"/>
      <c r="T15" s="185"/>
      <c r="U15" s="183"/>
      <c r="V15" s="183"/>
      <c r="W15" s="183"/>
      <c r="X15" s="183"/>
      <c r="Y15" s="386">
        <f>SUM(Y16)</f>
        <v>1042470</v>
      </c>
      <c r="Z15" s="386">
        <f t="shared" ref="Z15:AJ15" si="23">SUM(Z16)</f>
        <v>646717.5</v>
      </c>
      <c r="AA15" s="386">
        <f t="shared" si="23"/>
        <v>424710</v>
      </c>
      <c r="AB15" s="386">
        <f t="shared" si="23"/>
        <v>222007.5</v>
      </c>
      <c r="AC15" s="386">
        <f t="shared" si="23"/>
        <v>0</v>
      </c>
      <c r="AD15" s="386">
        <f t="shared" si="23"/>
        <v>0</v>
      </c>
      <c r="AE15" s="386">
        <f t="shared" si="23"/>
        <v>0</v>
      </c>
      <c r="AF15" s="386">
        <f t="shared" si="23"/>
        <v>0</v>
      </c>
      <c r="AG15" s="386">
        <f t="shared" si="23"/>
        <v>1689188</v>
      </c>
      <c r="AH15" s="386">
        <f t="shared" si="23"/>
        <v>0</v>
      </c>
      <c r="AI15" s="386">
        <f t="shared" si="23"/>
        <v>0</v>
      </c>
      <c r="AJ15" s="386">
        <f t="shared" si="23"/>
        <v>1689188</v>
      </c>
      <c r="AK15" s="296"/>
      <c r="AN15" s="296"/>
      <c r="AS15" s="297">
        <f t="shared" si="2"/>
        <v>-0.5</v>
      </c>
    </row>
    <row r="16" spans="1:51" ht="79.95" customHeight="1" x14ac:dyDescent="0.25">
      <c r="A16" s="153">
        <v>1</v>
      </c>
      <c r="B16" s="201" t="s">
        <v>65</v>
      </c>
      <c r="C16" s="199">
        <v>26512</v>
      </c>
      <c r="D16" s="199" t="s">
        <v>59</v>
      </c>
      <c r="E16" s="202" t="s">
        <v>66</v>
      </c>
      <c r="F16" s="155">
        <v>6.1</v>
      </c>
      <c r="G16" s="113">
        <v>0.2</v>
      </c>
      <c r="H16" s="113">
        <v>0.3</v>
      </c>
      <c r="I16" s="156"/>
      <c r="J16" s="156"/>
      <c r="K16" s="157"/>
      <c r="L16" s="157"/>
      <c r="M16" s="157">
        <f t="shared" ref="M16" si="24">(F16+G16+H16+I16)*25%</f>
        <v>1.65</v>
      </c>
      <c r="N16" s="157"/>
      <c r="O16" s="190">
        <f t="shared" ref="O16" si="25">SUM(F16:N16)*2340</f>
        <v>19305</v>
      </c>
      <c r="P16" s="199">
        <v>47849</v>
      </c>
      <c r="Q16" s="174" t="s">
        <v>56</v>
      </c>
      <c r="R16" s="171">
        <f>(S16)+(IF(T16=0,0,IF(T16&lt;7,1/2,1)))</f>
        <v>30</v>
      </c>
      <c r="S16" s="113">
        <v>29</v>
      </c>
      <c r="T16" s="113">
        <v>11</v>
      </c>
      <c r="U16" s="113">
        <f>(W16*12)+X16</f>
        <v>64</v>
      </c>
      <c r="V16" s="209">
        <f>(W16)+(IF(X16=0,0,IF(X16&lt;7,1/2,1)))</f>
        <v>5.5</v>
      </c>
      <c r="W16" s="113">
        <v>5</v>
      </c>
      <c r="X16" s="113">
        <v>4</v>
      </c>
      <c r="Y16" s="157">
        <f t="shared" ref="Y16" si="26">0.9*60*O16</f>
        <v>1042470</v>
      </c>
      <c r="Z16" s="157">
        <f t="shared" ref="Z16" si="27">SUM(AA16:AB16)</f>
        <v>646717.5</v>
      </c>
      <c r="AA16" s="157">
        <f>4*V16*O16</f>
        <v>424710</v>
      </c>
      <c r="AB16" s="157">
        <f t="shared" ref="AB16" si="28">SUM(4*O16)+(0.5*(R16-15)*O16)</f>
        <v>222007.5</v>
      </c>
      <c r="AC16" s="242"/>
      <c r="AD16" s="242"/>
      <c r="AE16" s="242"/>
      <c r="AF16" s="242"/>
      <c r="AG16" s="180">
        <f>ROUND(Y16+Z16,0)</f>
        <v>1689188</v>
      </c>
      <c r="AH16" s="180">
        <v>0</v>
      </c>
      <c r="AI16" s="180"/>
      <c r="AJ16" s="384">
        <f>AG16+AH16+AI16</f>
        <v>1689188</v>
      </c>
      <c r="AK16" s="282"/>
      <c r="AN16" s="296"/>
      <c r="AS16" s="297">
        <f t="shared" si="2"/>
        <v>-0.5</v>
      </c>
    </row>
    <row r="17" spans="1:45" s="295" customFormat="1" ht="32.25" customHeight="1" x14ac:dyDescent="0.25">
      <c r="A17" s="181" t="s">
        <v>67</v>
      </c>
      <c r="B17" s="498" t="s">
        <v>364</v>
      </c>
      <c r="C17" s="498"/>
      <c r="D17" s="498"/>
      <c r="E17" s="498"/>
      <c r="F17" s="185"/>
      <c r="G17" s="183"/>
      <c r="H17" s="183"/>
      <c r="I17" s="183"/>
      <c r="J17" s="185"/>
      <c r="K17" s="183"/>
      <c r="L17" s="183"/>
      <c r="M17" s="185"/>
      <c r="N17" s="185"/>
      <c r="O17" s="183"/>
      <c r="P17" s="183"/>
      <c r="Q17" s="185"/>
      <c r="R17" s="183"/>
      <c r="S17" s="183"/>
      <c r="T17" s="185"/>
      <c r="U17" s="183"/>
      <c r="V17" s="183"/>
      <c r="W17" s="183"/>
      <c r="X17" s="183"/>
      <c r="Y17" s="386">
        <f>SUM(Y18)</f>
        <v>0</v>
      </c>
      <c r="Z17" s="386">
        <f t="shared" ref="Z17" si="29">SUM(Z18)</f>
        <v>0</v>
      </c>
      <c r="AA17" s="386">
        <f t="shared" ref="AA17" si="30">SUM(AA18)</f>
        <v>0</v>
      </c>
      <c r="AB17" s="386">
        <f t="shared" ref="AB17" si="31">SUM(AB18)</f>
        <v>0</v>
      </c>
      <c r="AC17" s="386">
        <f t="shared" ref="AC17" si="32">SUM(AC18)</f>
        <v>927824.62500000023</v>
      </c>
      <c r="AD17" s="386">
        <f t="shared" ref="AD17" si="33">SUM(AD18)</f>
        <v>560196.00000000012</v>
      </c>
      <c r="AE17" s="386">
        <f t="shared" ref="AE17" si="34">SUM(AE18)</f>
        <v>332616.37500000006</v>
      </c>
      <c r="AF17" s="386">
        <f t="shared" ref="AF17" si="35">SUM(AF18)</f>
        <v>35012.250000000007</v>
      </c>
      <c r="AG17" s="386">
        <f t="shared" ref="AG17" si="36">SUM(AG18)</f>
        <v>0</v>
      </c>
      <c r="AH17" s="386">
        <f t="shared" ref="AH17" si="37">SUM(AH18)</f>
        <v>927825</v>
      </c>
      <c r="AI17" s="386">
        <f t="shared" ref="AI17" si="38">SUM(AI18)</f>
        <v>0</v>
      </c>
      <c r="AJ17" s="386">
        <f t="shared" ref="AJ17" si="39">SUM(AJ18)</f>
        <v>927825</v>
      </c>
      <c r="AK17" s="296"/>
      <c r="AN17" s="296"/>
      <c r="AS17" s="297">
        <f t="shared" si="2"/>
        <v>-0.37499999976716936</v>
      </c>
    </row>
    <row r="18" spans="1:45" s="276" customFormat="1" ht="109.2" x14ac:dyDescent="0.25">
      <c r="A18" s="153">
        <v>1</v>
      </c>
      <c r="B18" s="168" t="s">
        <v>68</v>
      </c>
      <c r="C18" s="169" t="s">
        <v>69</v>
      </c>
      <c r="D18" s="112" t="s">
        <v>70</v>
      </c>
      <c r="E18" s="423" t="s">
        <v>71</v>
      </c>
      <c r="F18" s="113">
        <v>3.99</v>
      </c>
      <c r="G18" s="157"/>
      <c r="H18" s="157"/>
      <c r="I18" s="156"/>
      <c r="J18" s="156"/>
      <c r="K18" s="157"/>
      <c r="L18" s="171"/>
      <c r="M18" s="157">
        <f t="shared" ref="M18" si="40">(F18+G18+H18)*25%</f>
        <v>0.99750000000000005</v>
      </c>
      <c r="N18" s="172"/>
      <c r="O18" s="190">
        <f t="shared" ref="O18" si="41">SUM(F18:N18)*2340</f>
        <v>11670.750000000002</v>
      </c>
      <c r="P18" s="112" t="s">
        <v>72</v>
      </c>
      <c r="Q18" s="174" t="s">
        <v>56</v>
      </c>
      <c r="R18" s="171">
        <f t="shared" ref="R18" si="42">(S18)+(IF(T18=0,0,IF(T18&lt;7,1/2,1)))</f>
        <v>19</v>
      </c>
      <c r="S18" s="113">
        <v>18</v>
      </c>
      <c r="T18" s="113">
        <v>9</v>
      </c>
      <c r="U18" s="113">
        <f t="shared" ref="U18" si="43">(W18*12)+X18</f>
        <v>183</v>
      </c>
      <c r="V18" s="209">
        <f t="shared" ref="V18" si="44">(W18)+(IF(X18=0,0,IF(X18&lt;7,1/2,1)))</f>
        <v>15.5</v>
      </c>
      <c r="W18" s="113">
        <v>15</v>
      </c>
      <c r="X18" s="113">
        <v>3</v>
      </c>
      <c r="Y18" s="157"/>
      <c r="Z18" s="157"/>
      <c r="AA18" s="385"/>
      <c r="AB18" s="385"/>
      <c r="AC18" s="180">
        <f t="shared" ref="AC18" si="45">AD18+AE18+AF18</f>
        <v>927824.62500000023</v>
      </c>
      <c r="AD18" s="180">
        <f t="shared" ref="AD18" si="46">0.8*60*O18</f>
        <v>560196.00000000012</v>
      </c>
      <c r="AE18" s="180">
        <f t="shared" ref="AE18" si="47">1.5*O18*R18</f>
        <v>332616.37500000006</v>
      </c>
      <c r="AF18" s="180">
        <f t="shared" ref="AF18" si="48">3*O18</f>
        <v>35012.250000000007</v>
      </c>
      <c r="AG18" s="180">
        <f t="shared" ref="AG18" si="49">ROUND(Y18+Z18,0)</f>
        <v>0</v>
      </c>
      <c r="AH18" s="180">
        <f>ROUND(AC18,0)</f>
        <v>927825</v>
      </c>
      <c r="AI18" s="180"/>
      <c r="AJ18" s="384">
        <f t="shared" ref="AJ18" si="50">AG18+AH18+AI18</f>
        <v>927825</v>
      </c>
      <c r="AK18" s="285"/>
      <c r="AN18" s="296"/>
      <c r="AS18" s="297">
        <f t="shared" si="2"/>
        <v>-0.37499999976716936</v>
      </c>
    </row>
    <row r="19" spans="1:45" s="295" customFormat="1" ht="32.25" customHeight="1" x14ac:dyDescent="0.25">
      <c r="A19" s="181" t="s">
        <v>73</v>
      </c>
      <c r="B19" s="498" t="s">
        <v>365</v>
      </c>
      <c r="C19" s="498"/>
      <c r="D19" s="498"/>
      <c r="E19" s="498"/>
      <c r="F19" s="185"/>
      <c r="G19" s="183"/>
      <c r="H19" s="183"/>
      <c r="I19" s="183"/>
      <c r="J19" s="185"/>
      <c r="K19" s="183"/>
      <c r="L19" s="183"/>
      <c r="M19" s="185"/>
      <c r="N19" s="185"/>
      <c r="O19" s="183"/>
      <c r="P19" s="183"/>
      <c r="Q19" s="185"/>
      <c r="R19" s="183"/>
      <c r="S19" s="183"/>
      <c r="T19" s="185"/>
      <c r="U19" s="183"/>
      <c r="V19" s="183"/>
      <c r="W19" s="183"/>
      <c r="X19" s="183"/>
      <c r="Y19" s="386">
        <f>SUM(Y20:Y23)</f>
        <v>1689749.0999999999</v>
      </c>
      <c r="Z19" s="386">
        <f t="shared" ref="Z19:AJ19" si="51">SUM(Z20:Z23)</f>
        <v>1370764.6875</v>
      </c>
      <c r="AA19" s="386">
        <f t="shared" si="51"/>
        <v>1061248.5</v>
      </c>
      <c r="AB19" s="386">
        <f t="shared" si="51"/>
        <v>309516.1875</v>
      </c>
      <c r="AC19" s="386">
        <f t="shared" si="51"/>
        <v>2191766.85</v>
      </c>
      <c r="AD19" s="386">
        <f t="shared" si="51"/>
        <v>1260230.4000000001</v>
      </c>
      <c r="AE19" s="386">
        <f t="shared" si="51"/>
        <v>852772.05000000016</v>
      </c>
      <c r="AF19" s="386">
        <f t="shared" si="51"/>
        <v>78764.400000000009</v>
      </c>
      <c r="AG19" s="386">
        <f t="shared" si="51"/>
        <v>3060514</v>
      </c>
      <c r="AH19" s="386">
        <f t="shared" si="51"/>
        <v>2191767</v>
      </c>
      <c r="AI19" s="386">
        <f t="shared" si="51"/>
        <v>0</v>
      </c>
      <c r="AJ19" s="386">
        <f t="shared" si="51"/>
        <v>5252281</v>
      </c>
      <c r="AK19" s="296"/>
      <c r="AN19" s="296"/>
      <c r="AS19" s="297">
        <f t="shared" si="2"/>
        <v>-0.36250000074505806</v>
      </c>
    </row>
    <row r="20" spans="1:45" ht="53.25" customHeight="1" x14ac:dyDescent="0.25">
      <c r="A20" s="153">
        <v>1</v>
      </c>
      <c r="B20" s="201" t="s">
        <v>74</v>
      </c>
      <c r="C20" s="199" t="s">
        <v>75</v>
      </c>
      <c r="D20" s="199" t="s">
        <v>49</v>
      </c>
      <c r="E20" s="202" t="s">
        <v>76</v>
      </c>
      <c r="F20" s="155">
        <v>4.6500000000000004</v>
      </c>
      <c r="G20" s="113"/>
      <c r="H20" s="113"/>
      <c r="I20" s="156"/>
      <c r="J20" s="156"/>
      <c r="K20" s="157"/>
      <c r="L20" s="157"/>
      <c r="M20" s="157">
        <f t="shared" ref="M20" si="52">(F20+G20+H20+I20)*25%</f>
        <v>1.1625000000000001</v>
      </c>
      <c r="N20" s="157"/>
      <c r="O20" s="190">
        <f t="shared" ref="O20" si="53">SUM(F20:N20)*2340</f>
        <v>13601.25</v>
      </c>
      <c r="P20" s="199" t="s">
        <v>77</v>
      </c>
      <c r="Q20" s="174" t="s">
        <v>56</v>
      </c>
      <c r="R20" s="171">
        <f>(S20)+(IF(T20=0,0,IF(T20&lt;7,1/2,1)))</f>
        <v>26.5</v>
      </c>
      <c r="S20" s="113">
        <v>26</v>
      </c>
      <c r="T20" s="113">
        <v>4</v>
      </c>
      <c r="U20" s="113">
        <f>(W20*12)+X20</f>
        <v>73</v>
      </c>
      <c r="V20" s="209">
        <f>(W20)+(IF(X20=0,0,IF(X20&lt;7,1/2,1)))</f>
        <v>6.5</v>
      </c>
      <c r="W20" s="113">
        <v>6</v>
      </c>
      <c r="X20" s="113">
        <v>1</v>
      </c>
      <c r="Y20" s="157">
        <f t="shared" ref="Y20" si="54">0.9*60*O20</f>
        <v>734467.5</v>
      </c>
      <c r="Z20" s="157">
        <f t="shared" ref="Z20" si="55">SUM(AA20:AB20)</f>
        <v>486244.6875</v>
      </c>
      <c r="AA20" s="157">
        <f>4*V20*O20</f>
        <v>353632.5</v>
      </c>
      <c r="AB20" s="157">
        <f t="shared" ref="AB20" si="56">SUM(4*O20)+(0.5*(R20-15)*O20)</f>
        <v>132612.1875</v>
      </c>
      <c r="AC20" s="242"/>
      <c r="AD20" s="242"/>
      <c r="AE20" s="242"/>
      <c r="AF20" s="242"/>
      <c r="AG20" s="180">
        <f>ROUND(Y20+Z20,0)</f>
        <v>1220712</v>
      </c>
      <c r="AH20" s="180">
        <v>0</v>
      </c>
      <c r="AI20" s="180"/>
      <c r="AJ20" s="384">
        <f>AG20+AH20+AI20</f>
        <v>1220712</v>
      </c>
      <c r="AK20" s="282"/>
      <c r="AN20" s="296"/>
      <c r="AS20" s="297">
        <f t="shared" si="2"/>
        <v>0.1875</v>
      </c>
    </row>
    <row r="21" spans="1:45" ht="55.5" customHeight="1" x14ac:dyDescent="0.25">
      <c r="A21" s="153">
        <v>2</v>
      </c>
      <c r="B21" s="201" t="s">
        <v>78</v>
      </c>
      <c r="C21" s="199" t="s">
        <v>79</v>
      </c>
      <c r="D21" s="199" t="s">
        <v>49</v>
      </c>
      <c r="E21" s="202" t="s">
        <v>80</v>
      </c>
      <c r="F21" s="155">
        <v>4.74</v>
      </c>
      <c r="G21" s="113"/>
      <c r="H21" s="113">
        <v>0.3</v>
      </c>
      <c r="I21" s="155"/>
      <c r="J21" s="155">
        <f>(F21+G21+H21)*5%</f>
        <v>0.252</v>
      </c>
      <c r="K21" s="387">
        <f>(F21+H21)*20%</f>
        <v>1.008</v>
      </c>
      <c r="L21" s="157"/>
      <c r="M21" s="157">
        <f>(F21+G21+H21+I21)*25%</f>
        <v>1.26</v>
      </c>
      <c r="N21" s="157"/>
      <c r="O21" s="190">
        <f t="shared" ref="O21:O22" si="57">SUM(F21:N21)*2340</f>
        <v>17690.399999999998</v>
      </c>
      <c r="P21" s="199" t="s">
        <v>81</v>
      </c>
      <c r="Q21" s="174" t="s">
        <v>56</v>
      </c>
      <c r="R21" s="171">
        <f>(S21)+(IF(T21=0,0,IF(T21&lt;7,1/2,1)))</f>
        <v>27</v>
      </c>
      <c r="S21" s="113">
        <v>26</v>
      </c>
      <c r="T21" s="113">
        <v>8</v>
      </c>
      <c r="U21" s="113">
        <f>(W21*12)+X21</f>
        <v>119</v>
      </c>
      <c r="V21" s="209">
        <f>(W21)+(IF(X21=0,0,IF(X21&lt;7,1/2,1)))</f>
        <v>10</v>
      </c>
      <c r="W21" s="113">
        <v>9</v>
      </c>
      <c r="X21" s="113">
        <v>11</v>
      </c>
      <c r="Y21" s="157">
        <f t="shared" ref="Y21" si="58">0.9*60*O21</f>
        <v>955281.59999999986</v>
      </c>
      <c r="Z21" s="157">
        <f t="shared" ref="Z21" si="59">SUM(AA21:AB21)</f>
        <v>884519.99999999988</v>
      </c>
      <c r="AA21" s="157">
        <f>4*V21*O21</f>
        <v>707615.99999999988</v>
      </c>
      <c r="AB21" s="157">
        <f t="shared" ref="AB21" si="60">SUM(4*O21)+(0.5*(R21-15)*O21)</f>
        <v>176904</v>
      </c>
      <c r="AC21" s="242"/>
      <c r="AD21" s="242"/>
      <c r="AE21" s="242"/>
      <c r="AF21" s="242"/>
      <c r="AG21" s="180">
        <f>ROUND(Y21+Z21,0)</f>
        <v>1839802</v>
      </c>
      <c r="AH21" s="180">
        <v>0</v>
      </c>
      <c r="AI21" s="180"/>
      <c r="AJ21" s="384">
        <f>AG21+AH21+AI21</f>
        <v>1839802</v>
      </c>
      <c r="AK21" s="282"/>
      <c r="AN21" s="296"/>
      <c r="AS21" s="297">
        <f t="shared" si="2"/>
        <v>-0.40000000037252903</v>
      </c>
    </row>
    <row r="22" spans="1:45" s="276" customFormat="1" ht="65.25" customHeight="1" x14ac:dyDescent="0.25">
      <c r="A22" s="153">
        <v>3</v>
      </c>
      <c r="B22" s="168" t="s">
        <v>82</v>
      </c>
      <c r="C22" s="169" t="s">
        <v>83</v>
      </c>
      <c r="D22" s="112" t="s">
        <v>70</v>
      </c>
      <c r="E22" s="170" t="s">
        <v>84</v>
      </c>
      <c r="F22" s="113">
        <v>4.9800000000000004</v>
      </c>
      <c r="G22" s="157"/>
      <c r="H22" s="157"/>
      <c r="I22" s="156"/>
      <c r="J22" s="156"/>
      <c r="K22" s="387">
        <f>F22*25%</f>
        <v>1.2450000000000001</v>
      </c>
      <c r="L22" s="171"/>
      <c r="M22" s="157">
        <f t="shared" ref="M22" si="61">(F22+G22+H22)*25%</f>
        <v>1.2450000000000001</v>
      </c>
      <c r="N22" s="172"/>
      <c r="O22" s="190">
        <f t="shared" si="57"/>
        <v>17479.800000000003</v>
      </c>
      <c r="P22" s="112" t="s">
        <v>85</v>
      </c>
      <c r="Q22" s="174" t="s">
        <v>56</v>
      </c>
      <c r="R22" s="171">
        <f t="shared" ref="R22" si="62">(S22)+(IF(T22=0,0,IF(T22&lt;7,1/2,1)))</f>
        <v>26.5</v>
      </c>
      <c r="S22" s="113">
        <v>26</v>
      </c>
      <c r="T22" s="113">
        <v>2</v>
      </c>
      <c r="U22" s="113">
        <f t="shared" ref="U22" si="63">(W22*12)+X22</f>
        <v>126</v>
      </c>
      <c r="V22" s="209">
        <f t="shared" ref="V22" si="64">(W22)+(IF(X22=0,0,IF(X22&lt;7,1/2,1)))</f>
        <v>10.5</v>
      </c>
      <c r="W22" s="113">
        <v>10</v>
      </c>
      <c r="X22" s="113">
        <v>6</v>
      </c>
      <c r="Y22" s="157"/>
      <c r="Z22" s="157"/>
      <c r="AA22" s="385"/>
      <c r="AB22" s="385"/>
      <c r="AC22" s="180">
        <f t="shared" ref="AC22" si="65">AD22+AE22+AF22</f>
        <v>1586291.85</v>
      </c>
      <c r="AD22" s="180">
        <f t="shared" ref="AD22" si="66">0.8*60*O22</f>
        <v>839030.40000000014</v>
      </c>
      <c r="AE22" s="180">
        <f t="shared" ref="AE22" si="67">1.5*O22*R22</f>
        <v>694822.05000000016</v>
      </c>
      <c r="AF22" s="180">
        <f t="shared" ref="AF22" si="68">3*O22</f>
        <v>52439.400000000009</v>
      </c>
      <c r="AG22" s="180">
        <f t="shared" ref="AG22" si="69">ROUND(Y22+Z22,0)</f>
        <v>0</v>
      </c>
      <c r="AH22" s="180">
        <f>ROUND(AC22,0)</f>
        <v>1586292</v>
      </c>
      <c r="AI22" s="180"/>
      <c r="AJ22" s="384">
        <f t="shared" ref="AJ22" si="70">AG22+AH22+AI22</f>
        <v>1586292</v>
      </c>
      <c r="AK22" s="285"/>
      <c r="AN22" s="296"/>
      <c r="AS22" s="297">
        <f t="shared" si="2"/>
        <v>-0.14999999990686774</v>
      </c>
    </row>
    <row r="23" spans="1:45" s="276" customFormat="1" ht="54" customHeight="1" x14ac:dyDescent="0.25">
      <c r="A23" s="153">
        <v>4</v>
      </c>
      <c r="B23" s="168" t="s">
        <v>86</v>
      </c>
      <c r="C23" s="169" t="s">
        <v>87</v>
      </c>
      <c r="D23" s="112" t="s">
        <v>70</v>
      </c>
      <c r="E23" s="170" t="s">
        <v>88</v>
      </c>
      <c r="F23" s="113">
        <v>3</v>
      </c>
      <c r="G23" s="157"/>
      <c r="H23" s="157"/>
      <c r="I23" s="156"/>
      <c r="J23" s="156"/>
      <c r="K23" s="157"/>
      <c r="L23" s="171"/>
      <c r="M23" s="157">
        <f t="shared" ref="M23" si="71">(F23+G23+H23)*25%</f>
        <v>0.75</v>
      </c>
      <c r="N23" s="172"/>
      <c r="O23" s="190">
        <f t="shared" ref="O23" si="72">SUM(F23:N23)*2340</f>
        <v>8775</v>
      </c>
      <c r="P23" s="112" t="s">
        <v>89</v>
      </c>
      <c r="Q23" s="174" t="s">
        <v>56</v>
      </c>
      <c r="R23" s="171">
        <f t="shared" ref="R23" si="73">(S23)+(IF(T23=0,0,IF(T23&lt;7,1/2,1)))</f>
        <v>12</v>
      </c>
      <c r="S23" s="113">
        <v>11</v>
      </c>
      <c r="T23" s="113">
        <v>9</v>
      </c>
      <c r="U23" s="113">
        <f t="shared" ref="U23" si="74">(W23*12)+X23</f>
        <v>273</v>
      </c>
      <c r="V23" s="209">
        <f t="shared" ref="V23" si="75">(W23)+(IF(X23=0,0,IF(X23&lt;7,1/2,1)))</f>
        <v>23</v>
      </c>
      <c r="W23" s="113">
        <v>22</v>
      </c>
      <c r="X23" s="113">
        <v>9</v>
      </c>
      <c r="Y23" s="157"/>
      <c r="Z23" s="157"/>
      <c r="AA23" s="385"/>
      <c r="AB23" s="385"/>
      <c r="AC23" s="180">
        <f t="shared" ref="AC23" si="76">AD23+AE23+AF23</f>
        <v>605475</v>
      </c>
      <c r="AD23" s="180">
        <f t="shared" ref="AD23" si="77">0.8*60*O23</f>
        <v>421200</v>
      </c>
      <c r="AE23" s="180">
        <f t="shared" ref="AE23" si="78">1.5*O23*R23</f>
        <v>157950</v>
      </c>
      <c r="AF23" s="180">
        <f t="shared" ref="AF23" si="79">3*O23</f>
        <v>26325</v>
      </c>
      <c r="AG23" s="180">
        <f t="shared" ref="AG23" si="80">ROUND(Y23+Z23,0)</f>
        <v>0</v>
      </c>
      <c r="AH23" s="180">
        <f>ROUND(AC23,0)</f>
        <v>605475</v>
      </c>
      <c r="AI23" s="180"/>
      <c r="AJ23" s="384">
        <f t="shared" ref="AJ23" si="81">AG23+AH23+AI23</f>
        <v>605475</v>
      </c>
      <c r="AK23" s="285"/>
      <c r="AN23" s="296"/>
      <c r="AS23" s="297">
        <f t="shared" si="2"/>
        <v>0</v>
      </c>
    </row>
    <row r="24" spans="1:45" s="295" customFormat="1" ht="32.25" customHeight="1" x14ac:dyDescent="0.25">
      <c r="A24" s="181" t="s">
        <v>90</v>
      </c>
      <c r="B24" s="498" t="s">
        <v>366</v>
      </c>
      <c r="C24" s="498"/>
      <c r="D24" s="498"/>
      <c r="E24" s="498"/>
      <c r="F24" s="185"/>
      <c r="G24" s="183"/>
      <c r="H24" s="183"/>
      <c r="I24" s="183"/>
      <c r="J24" s="185"/>
      <c r="K24" s="183"/>
      <c r="L24" s="183"/>
      <c r="M24" s="185"/>
      <c r="N24" s="185"/>
      <c r="O24" s="183"/>
      <c r="P24" s="183"/>
      <c r="Q24" s="185"/>
      <c r="R24" s="183"/>
      <c r="S24" s="183"/>
      <c r="T24" s="185"/>
      <c r="U24" s="183"/>
      <c r="V24" s="183"/>
      <c r="W24" s="183"/>
      <c r="X24" s="183"/>
      <c r="Y24" s="386">
        <f>SUM(Y25:Y30)</f>
        <v>2527200</v>
      </c>
      <c r="Z24" s="386">
        <f t="shared" ref="Z24:AJ24" si="82">SUM(Z25:Z30)</f>
        <v>1854771.75</v>
      </c>
      <c r="AA24" s="386">
        <f t="shared" si="82"/>
        <v>1336842</v>
      </c>
      <c r="AB24" s="386">
        <f t="shared" si="82"/>
        <v>517929.75</v>
      </c>
      <c r="AC24" s="386">
        <f t="shared" si="82"/>
        <v>2537814.2399999998</v>
      </c>
      <c r="AD24" s="386">
        <f t="shared" si="82"/>
        <v>1528450.56</v>
      </c>
      <c r="AE24" s="386">
        <f t="shared" si="82"/>
        <v>976236.3</v>
      </c>
      <c r="AF24" s="386">
        <f t="shared" si="82"/>
        <v>33127.380000000005</v>
      </c>
      <c r="AG24" s="386">
        <f t="shared" si="82"/>
        <v>4381972</v>
      </c>
      <c r="AH24" s="386">
        <f t="shared" si="82"/>
        <v>2537814</v>
      </c>
      <c r="AI24" s="386">
        <f t="shared" si="82"/>
        <v>0</v>
      </c>
      <c r="AJ24" s="386">
        <f t="shared" si="82"/>
        <v>6919786</v>
      </c>
      <c r="AK24" s="296"/>
      <c r="AN24" s="296"/>
      <c r="AS24" s="297">
        <f t="shared" si="2"/>
        <v>-9.9999997764825821E-3</v>
      </c>
    </row>
    <row r="25" spans="1:45" ht="79.95" customHeight="1" x14ac:dyDescent="0.25">
      <c r="A25" s="153">
        <v>1</v>
      </c>
      <c r="B25" s="201" t="s">
        <v>91</v>
      </c>
      <c r="C25" s="199">
        <v>25434</v>
      </c>
      <c r="D25" s="199" t="s">
        <v>49</v>
      </c>
      <c r="E25" s="202" t="s">
        <v>92</v>
      </c>
      <c r="F25" s="155">
        <v>6.1</v>
      </c>
      <c r="G25" s="113"/>
      <c r="H25" s="113">
        <v>0.7</v>
      </c>
      <c r="I25" s="156"/>
      <c r="J25" s="156"/>
      <c r="K25" s="157"/>
      <c r="L25" s="157"/>
      <c r="M25" s="157">
        <f t="shared" ref="M25" si="83">(F25+G25+H25+I25)*25%</f>
        <v>1.7</v>
      </c>
      <c r="N25" s="157"/>
      <c r="O25" s="190">
        <f t="shared" ref="O25" si="84">SUM(F25:N25)*2340</f>
        <v>19890</v>
      </c>
      <c r="P25" s="199">
        <v>48092</v>
      </c>
      <c r="Q25" s="174" t="s">
        <v>56</v>
      </c>
      <c r="R25" s="171">
        <f>(S25)+(IF(T25=0,0,IF(T25&lt;7,1/2,1)))</f>
        <v>32</v>
      </c>
      <c r="S25" s="113">
        <v>31</v>
      </c>
      <c r="T25" s="113">
        <v>9</v>
      </c>
      <c r="U25" s="113">
        <f>(W25*12)+X25</f>
        <v>72</v>
      </c>
      <c r="V25" s="209">
        <f>(W25)+(IF(X25=0,0,IF(X25&lt;7,1/2,1)))</f>
        <v>6</v>
      </c>
      <c r="W25" s="113">
        <v>6</v>
      </c>
      <c r="X25" s="113"/>
      <c r="Y25" s="157">
        <f t="shared" ref="Y25" si="85">0.9*60*O25</f>
        <v>1074060</v>
      </c>
      <c r="Z25" s="157">
        <f t="shared" ref="Z25" si="86">SUM(AA25:AB25)</f>
        <v>725985</v>
      </c>
      <c r="AA25" s="157">
        <f>4*V25*O25</f>
        <v>477360</v>
      </c>
      <c r="AB25" s="157">
        <f t="shared" ref="AB25" si="87">SUM(4*O25)+(0.5*(R25-15)*O25)</f>
        <v>248625</v>
      </c>
      <c r="AC25" s="242"/>
      <c r="AD25" s="242"/>
      <c r="AE25" s="242"/>
      <c r="AF25" s="242"/>
      <c r="AG25" s="180">
        <f>ROUND(Y25+Z25,0)</f>
        <v>1800045</v>
      </c>
      <c r="AH25" s="180">
        <v>0</v>
      </c>
      <c r="AI25" s="180"/>
      <c r="AJ25" s="384">
        <f>AG25+AH25+AI25</f>
        <v>1800045</v>
      </c>
      <c r="AK25" s="282"/>
      <c r="AN25" s="296"/>
      <c r="AS25" s="297">
        <f t="shared" si="2"/>
        <v>0</v>
      </c>
    </row>
    <row r="26" spans="1:45" ht="51.75" customHeight="1" x14ac:dyDescent="0.25">
      <c r="A26" s="153">
        <v>2</v>
      </c>
      <c r="B26" s="201" t="s">
        <v>93</v>
      </c>
      <c r="C26" s="199">
        <v>27550</v>
      </c>
      <c r="D26" s="199" t="s">
        <v>49</v>
      </c>
      <c r="E26" s="202" t="s">
        <v>94</v>
      </c>
      <c r="F26" s="155">
        <v>5.08</v>
      </c>
      <c r="G26" s="113"/>
      <c r="H26" s="113"/>
      <c r="I26" s="156"/>
      <c r="J26" s="156"/>
      <c r="K26" s="157"/>
      <c r="L26" s="157"/>
      <c r="M26" s="157">
        <f t="shared" ref="M26" si="88">(F26+G26+H26+I26)*25%</f>
        <v>1.27</v>
      </c>
      <c r="N26" s="157"/>
      <c r="O26" s="190">
        <f t="shared" ref="O26" si="89">SUM(F26:N26)*2340</f>
        <v>14859</v>
      </c>
      <c r="P26" s="199">
        <v>49491</v>
      </c>
      <c r="Q26" s="174" t="s">
        <v>56</v>
      </c>
      <c r="R26" s="171">
        <f>(S26)+(IF(T26=0,0,IF(T26&lt;7,1/2,1)))</f>
        <v>25</v>
      </c>
      <c r="S26" s="113">
        <v>25</v>
      </c>
      <c r="T26" s="113"/>
      <c r="U26" s="113">
        <f>(W26*12)+X26</f>
        <v>118</v>
      </c>
      <c r="V26" s="209">
        <f>(W26)+(IF(X26=0,0,IF(X26&lt;7,1/2,1)))</f>
        <v>10</v>
      </c>
      <c r="W26" s="113">
        <v>9</v>
      </c>
      <c r="X26" s="113">
        <v>10</v>
      </c>
      <c r="Y26" s="157">
        <f t="shared" ref="Y26" si="90">0.9*60*O26</f>
        <v>802386</v>
      </c>
      <c r="Z26" s="157">
        <f t="shared" ref="Z26" si="91">SUM(AA26:AB26)</f>
        <v>728091</v>
      </c>
      <c r="AA26" s="157">
        <f>4*V26*O26</f>
        <v>594360</v>
      </c>
      <c r="AB26" s="157">
        <f t="shared" ref="AB26" si="92">SUM(4*O26)+(0.5*(R26-15)*O26)</f>
        <v>133731</v>
      </c>
      <c r="AC26" s="242"/>
      <c r="AD26" s="242"/>
      <c r="AE26" s="242"/>
      <c r="AF26" s="242"/>
      <c r="AG26" s="180">
        <f>ROUND(Y26+Z26,0)</f>
        <v>1530477</v>
      </c>
      <c r="AH26" s="180">
        <v>0</v>
      </c>
      <c r="AI26" s="180"/>
      <c r="AJ26" s="384">
        <f>AG26+AH26+AI26</f>
        <v>1530477</v>
      </c>
      <c r="AK26" s="282"/>
      <c r="AN26" s="296"/>
      <c r="AS26" s="297">
        <f t="shared" si="2"/>
        <v>0</v>
      </c>
    </row>
    <row r="27" spans="1:45" ht="114.6" customHeight="1" x14ac:dyDescent="0.25">
      <c r="A27" s="153">
        <v>3</v>
      </c>
      <c r="B27" s="201" t="s">
        <v>95</v>
      </c>
      <c r="C27" s="199">
        <v>25524</v>
      </c>
      <c r="D27" s="199" t="s">
        <v>49</v>
      </c>
      <c r="E27" s="202" t="s">
        <v>96</v>
      </c>
      <c r="F27" s="155">
        <v>3.66</v>
      </c>
      <c r="G27" s="113"/>
      <c r="H27" s="113"/>
      <c r="I27" s="156"/>
      <c r="J27" s="156"/>
      <c r="K27" s="157"/>
      <c r="L27" s="157"/>
      <c r="M27" s="157"/>
      <c r="N27" s="157"/>
      <c r="O27" s="190">
        <f t="shared" ref="O27:O28" si="93">SUM(F27:N27)*2340</f>
        <v>8564.4</v>
      </c>
      <c r="P27" s="199">
        <v>48183</v>
      </c>
      <c r="Q27" s="174" t="s">
        <v>56</v>
      </c>
      <c r="R27" s="171">
        <f>(S27)+(IF(T27=0,0,IF(T27&lt;7,1/2,1)))</f>
        <v>14</v>
      </c>
      <c r="S27" s="113">
        <v>13</v>
      </c>
      <c r="T27" s="113">
        <v>8</v>
      </c>
      <c r="U27" s="113">
        <f>(W27*12)+X27</f>
        <v>75</v>
      </c>
      <c r="V27" s="209">
        <f>(W27)+(IF(X27=0,0,IF(X27&lt;7,1/2,1)))</f>
        <v>6.5</v>
      </c>
      <c r="W27" s="113">
        <v>6</v>
      </c>
      <c r="X27" s="113">
        <v>3</v>
      </c>
      <c r="Y27" s="157"/>
      <c r="Z27" s="157">
        <f t="shared" ref="Z27" si="94">SUM(AA27:AB27)</f>
        <v>0</v>
      </c>
      <c r="AA27" s="157"/>
      <c r="AB27" s="157"/>
      <c r="AC27" s="180">
        <f>AD27+AE27+AF27</f>
        <v>590943.59999999986</v>
      </c>
      <c r="AD27" s="180">
        <f t="shared" ref="AD27:AD28" si="95">0.8*60*O27</f>
        <v>411091.19999999995</v>
      </c>
      <c r="AE27" s="180">
        <f t="shared" ref="AE27:AE28" si="96">1.5*O27*R27</f>
        <v>179852.39999999997</v>
      </c>
      <c r="AF27" s="180"/>
      <c r="AG27" s="180">
        <f>ROUND(Y27+Z27,0)</f>
        <v>0</v>
      </c>
      <c r="AH27" s="180">
        <f>ROUND(AC27,0)</f>
        <v>590944</v>
      </c>
      <c r="AI27" s="180"/>
      <c r="AJ27" s="384">
        <f>AG27+AH27+AI27</f>
        <v>590944</v>
      </c>
      <c r="AK27" s="282" t="s">
        <v>124</v>
      </c>
      <c r="AN27" s="296"/>
      <c r="AS27" s="297">
        <f t="shared" si="2"/>
        <v>-0.40000000013969839</v>
      </c>
    </row>
    <row r="28" spans="1:45" s="276" customFormat="1" ht="66" customHeight="1" x14ac:dyDescent="0.25">
      <c r="A28" s="153">
        <v>4</v>
      </c>
      <c r="B28" s="168" t="s">
        <v>97</v>
      </c>
      <c r="C28" s="169">
        <v>27311</v>
      </c>
      <c r="D28" s="112" t="s">
        <v>49</v>
      </c>
      <c r="E28" s="423" t="s">
        <v>98</v>
      </c>
      <c r="F28" s="113">
        <v>4.9800000000000004</v>
      </c>
      <c r="G28" s="157"/>
      <c r="H28" s="157"/>
      <c r="I28" s="155">
        <f>F28*5%</f>
        <v>0.24900000000000003</v>
      </c>
      <c r="J28" s="156"/>
      <c r="K28" s="157"/>
      <c r="L28" s="171"/>
      <c r="M28" s="157"/>
      <c r="N28" s="172"/>
      <c r="O28" s="190">
        <f t="shared" si="93"/>
        <v>12235.86</v>
      </c>
      <c r="P28" s="112">
        <v>49980</v>
      </c>
      <c r="Q28" s="174" t="s">
        <v>56</v>
      </c>
      <c r="R28" s="171">
        <f t="shared" ref="R28" si="97">(S28)+(IF(T28=0,0,IF(T28&lt;7,1/2,1)))</f>
        <v>28.5</v>
      </c>
      <c r="S28" s="113">
        <v>28</v>
      </c>
      <c r="T28" s="113">
        <v>5</v>
      </c>
      <c r="U28" s="113">
        <f t="shared" ref="U28" si="98">(W28*12)+X28</f>
        <v>134</v>
      </c>
      <c r="V28" s="209">
        <f t="shared" ref="V28" si="99">(W28)+(IF(X28=0,0,IF(X28&lt;7,1/2,1)))</f>
        <v>11.5</v>
      </c>
      <c r="W28" s="113">
        <v>11</v>
      </c>
      <c r="X28" s="113">
        <v>2</v>
      </c>
      <c r="Y28" s="157"/>
      <c r="Z28" s="157"/>
      <c r="AA28" s="157"/>
      <c r="AB28" s="157"/>
      <c r="AC28" s="180">
        <f t="shared" ref="AC28" si="100">AD28+AE28+AF28</f>
        <v>1110404.2949999999</v>
      </c>
      <c r="AD28" s="180">
        <f t="shared" si="95"/>
        <v>587321.28</v>
      </c>
      <c r="AE28" s="180">
        <f t="shared" si="96"/>
        <v>523083.01500000001</v>
      </c>
      <c r="AF28" s="180"/>
      <c r="AG28" s="180">
        <f t="shared" ref="AG28" si="101">ROUND(Y28+Z28,0)</f>
        <v>0</v>
      </c>
      <c r="AH28" s="180">
        <f>ROUND(AC28,0)</f>
        <v>1110404</v>
      </c>
      <c r="AI28" s="180"/>
      <c r="AJ28" s="384">
        <f t="shared" ref="AJ28" si="102">AG28+AH28+AI28</f>
        <v>1110404</v>
      </c>
      <c r="AK28" s="285"/>
      <c r="AN28" s="296"/>
      <c r="AS28" s="297">
        <f t="shared" si="2"/>
        <v>0.29499999992549419</v>
      </c>
    </row>
    <row r="29" spans="1:45" s="276" customFormat="1" ht="127.2" customHeight="1" x14ac:dyDescent="0.25">
      <c r="A29" s="153">
        <v>5</v>
      </c>
      <c r="B29" s="168" t="s">
        <v>99</v>
      </c>
      <c r="C29" s="169">
        <v>29547</v>
      </c>
      <c r="D29" s="112" t="s">
        <v>49</v>
      </c>
      <c r="E29" s="423" t="s">
        <v>100</v>
      </c>
      <c r="F29" s="113">
        <v>3.99</v>
      </c>
      <c r="G29" s="157"/>
      <c r="H29" s="157">
        <v>0.3</v>
      </c>
      <c r="I29" s="156"/>
      <c r="J29" s="156"/>
      <c r="K29" s="387">
        <f>(F29+H29)*10%</f>
        <v>0.42900000000000005</v>
      </c>
      <c r="L29" s="171"/>
      <c r="M29" s="157"/>
      <c r="N29" s="172"/>
      <c r="O29" s="190">
        <f t="shared" ref="O29" si="103">SUM(F29:N29)*2340</f>
        <v>11042.460000000001</v>
      </c>
      <c r="P29" s="112">
        <v>51471</v>
      </c>
      <c r="Q29" s="174" t="s">
        <v>56</v>
      </c>
      <c r="R29" s="171">
        <f t="shared" ref="R29" si="104">(S29)+(IF(T29=0,0,IF(T29&lt;7,1/2,1)))</f>
        <v>16.5</v>
      </c>
      <c r="S29" s="113">
        <v>16</v>
      </c>
      <c r="T29" s="113">
        <v>2</v>
      </c>
      <c r="U29" s="113">
        <f t="shared" ref="U29" si="105">(W29*12)+X29</f>
        <v>183</v>
      </c>
      <c r="V29" s="209">
        <f t="shared" ref="V29" si="106">(W29)+(IF(X29=0,0,IF(X29&lt;7,1/2,1)))</f>
        <v>15.5</v>
      </c>
      <c r="W29" s="113">
        <v>15</v>
      </c>
      <c r="X29" s="113">
        <v>3</v>
      </c>
      <c r="Y29" s="157"/>
      <c r="Z29" s="157"/>
      <c r="AA29" s="385"/>
      <c r="AB29" s="385"/>
      <c r="AC29" s="180">
        <f t="shared" ref="AC29" si="107">AD29+AE29+AF29</f>
        <v>836466.34500000009</v>
      </c>
      <c r="AD29" s="180">
        <f t="shared" ref="AD29" si="108">0.8*60*O29</f>
        <v>530038.08000000007</v>
      </c>
      <c r="AE29" s="180">
        <f t="shared" ref="AE29" si="109">1.5*O29*R29</f>
        <v>273300.88500000001</v>
      </c>
      <c r="AF29" s="180">
        <f t="shared" ref="AF29" si="110">3*O29</f>
        <v>33127.380000000005</v>
      </c>
      <c r="AG29" s="180">
        <f t="shared" ref="AG29" si="111">ROUND(Y29+Z29,0)</f>
        <v>0</v>
      </c>
      <c r="AH29" s="180">
        <f>ROUND(AC29,0)</f>
        <v>836466</v>
      </c>
      <c r="AI29" s="180"/>
      <c r="AJ29" s="384">
        <f t="shared" ref="AJ29" si="112">AG29+AH29+AI29</f>
        <v>836466</v>
      </c>
      <c r="AK29" s="285" t="s">
        <v>123</v>
      </c>
      <c r="AN29" s="296"/>
      <c r="AS29" s="297">
        <f t="shared" si="2"/>
        <v>0.34500000008847564</v>
      </c>
    </row>
    <row r="30" spans="1:45" s="276" customFormat="1" ht="62.4" customHeight="1" x14ac:dyDescent="0.25">
      <c r="A30" s="153">
        <v>6</v>
      </c>
      <c r="B30" s="168" t="s">
        <v>101</v>
      </c>
      <c r="C30" s="169">
        <v>26509</v>
      </c>
      <c r="D30" s="112" t="s">
        <v>49</v>
      </c>
      <c r="E30" s="423" t="s">
        <v>102</v>
      </c>
      <c r="F30" s="113">
        <v>4.6500000000000004</v>
      </c>
      <c r="G30" s="157"/>
      <c r="H30" s="157">
        <v>0.5</v>
      </c>
      <c r="I30" s="156"/>
      <c r="J30" s="156"/>
      <c r="K30" s="157"/>
      <c r="L30" s="171"/>
      <c r="M30" s="157"/>
      <c r="N30" s="172"/>
      <c r="O30" s="190">
        <f t="shared" ref="O30" si="113">SUM(F30:N30)*2340</f>
        <v>12051</v>
      </c>
      <c r="P30" s="112">
        <v>47818</v>
      </c>
      <c r="Q30" s="174" t="s">
        <v>56</v>
      </c>
      <c r="R30" s="171">
        <f t="shared" ref="R30" si="114">(S30)+(IF(T30=0,0,IF(T30&lt;7,1/2,1)))</f>
        <v>29.5</v>
      </c>
      <c r="S30" s="113">
        <v>29</v>
      </c>
      <c r="T30" s="113">
        <v>3</v>
      </c>
      <c r="U30" s="113">
        <f t="shared" ref="U30" si="115">(W30*12)+X30</f>
        <v>63</v>
      </c>
      <c r="V30" s="209">
        <f t="shared" ref="V30" si="116">(W30)+(IF(X30=0,0,IF(X30&lt;7,1/2,1)))</f>
        <v>5.5</v>
      </c>
      <c r="W30" s="113">
        <v>5</v>
      </c>
      <c r="X30" s="113">
        <v>3</v>
      </c>
      <c r="Y30" s="157">
        <f t="shared" ref="Y30" si="117">0.9*60*O30</f>
        <v>650754</v>
      </c>
      <c r="Z30" s="157">
        <f t="shared" ref="Z30" si="118">SUM(AA30:AB30)</f>
        <v>400695.75</v>
      </c>
      <c r="AA30" s="157">
        <f>4*V30*O30</f>
        <v>265122</v>
      </c>
      <c r="AB30" s="157">
        <f t="shared" ref="AB30" si="119">SUM(4*O30)+(0.5*(R30-15)*O30)</f>
        <v>135573.75</v>
      </c>
      <c r="AC30" s="180">
        <f t="shared" ref="AC30" si="120">AD30+AE30+AF30</f>
        <v>0</v>
      </c>
      <c r="AD30" s="180"/>
      <c r="AE30" s="180"/>
      <c r="AF30" s="180"/>
      <c r="AG30" s="180">
        <f t="shared" ref="AG30" si="121">ROUND(Y30+Z30,0)</f>
        <v>1051450</v>
      </c>
      <c r="AH30" s="180">
        <f>ROUND(AC30,0)</f>
        <v>0</v>
      </c>
      <c r="AI30" s="180"/>
      <c r="AJ30" s="384">
        <f t="shared" ref="AJ30" si="122">AG30+AH30+AI30</f>
        <v>1051450</v>
      </c>
      <c r="AK30" s="285" t="s">
        <v>125</v>
      </c>
      <c r="AN30" s="296"/>
      <c r="AS30" s="297">
        <f t="shared" si="2"/>
        <v>-0.25</v>
      </c>
    </row>
    <row r="31" spans="1:45" s="295" customFormat="1" ht="32.25" customHeight="1" x14ac:dyDescent="0.25">
      <c r="A31" s="181" t="s">
        <v>103</v>
      </c>
      <c r="B31" s="498" t="s">
        <v>367</v>
      </c>
      <c r="C31" s="498"/>
      <c r="D31" s="498"/>
      <c r="E31" s="498"/>
      <c r="F31" s="185"/>
      <c r="G31" s="183"/>
      <c r="H31" s="183"/>
      <c r="I31" s="183"/>
      <c r="J31" s="185"/>
      <c r="K31" s="183"/>
      <c r="L31" s="183"/>
      <c r="M31" s="185"/>
      <c r="N31" s="185"/>
      <c r="O31" s="183"/>
      <c r="P31" s="183"/>
      <c r="Q31" s="185"/>
      <c r="R31" s="183"/>
      <c r="S31" s="183"/>
      <c r="T31" s="185"/>
      <c r="U31" s="183"/>
      <c r="V31" s="183"/>
      <c r="W31" s="183"/>
      <c r="X31" s="183"/>
      <c r="Y31" s="386">
        <f t="shared" ref="Y31:AJ31" si="123">SUM(Y32:Y43)</f>
        <v>5517964.2960000001</v>
      </c>
      <c r="Z31" s="386">
        <f t="shared" si="123"/>
        <v>4212412.8930000002</v>
      </c>
      <c r="AA31" s="386">
        <f t="shared" si="123"/>
        <v>3132238.8240000005</v>
      </c>
      <c r="AB31" s="386">
        <f t="shared" si="123"/>
        <v>1080174.0689999999</v>
      </c>
      <c r="AC31" s="386">
        <f t="shared" si="123"/>
        <v>2477305.35</v>
      </c>
      <c r="AD31" s="386">
        <f t="shared" si="123"/>
        <v>1492732.8</v>
      </c>
      <c r="AE31" s="386">
        <f t="shared" si="123"/>
        <v>946664.55</v>
      </c>
      <c r="AF31" s="386">
        <f t="shared" si="123"/>
        <v>37908</v>
      </c>
      <c r="AG31" s="386">
        <f t="shared" si="123"/>
        <v>9730378</v>
      </c>
      <c r="AH31" s="386">
        <f t="shared" si="123"/>
        <v>2477306</v>
      </c>
      <c r="AI31" s="386">
        <f t="shared" si="123"/>
        <v>0</v>
      </c>
      <c r="AJ31" s="386">
        <f t="shared" si="123"/>
        <v>12207684</v>
      </c>
      <c r="AK31" s="296"/>
      <c r="AN31" s="296"/>
      <c r="AS31" s="297">
        <f t="shared" si="2"/>
        <v>-1.4610000010579824</v>
      </c>
    </row>
    <row r="32" spans="1:45" ht="79.95" customHeight="1" x14ac:dyDescent="0.25">
      <c r="A32" s="153">
        <v>1</v>
      </c>
      <c r="B32" s="201" t="s">
        <v>106</v>
      </c>
      <c r="C32" s="199" t="s">
        <v>107</v>
      </c>
      <c r="D32" s="199" t="s">
        <v>49</v>
      </c>
      <c r="E32" s="202" t="s">
        <v>108</v>
      </c>
      <c r="F32" s="155">
        <v>4.9800000000000004</v>
      </c>
      <c r="G32" s="113"/>
      <c r="H32" s="113">
        <v>0.2</v>
      </c>
      <c r="I32" s="156"/>
      <c r="J32" s="156"/>
      <c r="K32" s="157"/>
      <c r="L32" s="157"/>
      <c r="M32" s="157"/>
      <c r="N32" s="157"/>
      <c r="O32" s="190">
        <f t="shared" ref="O32" si="124">SUM(F32:N32)*2340</f>
        <v>12121.2</v>
      </c>
      <c r="P32" s="199" t="s">
        <v>109</v>
      </c>
      <c r="Q32" s="174" t="s">
        <v>56</v>
      </c>
      <c r="R32" s="171">
        <f t="shared" ref="R32:R35" si="125">(S32)+(IF(T32=0,0,IF(T32&lt;7,1/2,1)))</f>
        <v>33</v>
      </c>
      <c r="S32" s="113">
        <v>32</v>
      </c>
      <c r="T32" s="113">
        <v>11</v>
      </c>
      <c r="U32" s="113">
        <f t="shared" ref="U32:U35" si="126">(W32*12)+X32</f>
        <v>69</v>
      </c>
      <c r="V32" s="209">
        <f t="shared" ref="V32:V35" si="127">(W32)+(IF(X32=0,0,IF(X32&lt;7,1/2,1)))</f>
        <v>6</v>
      </c>
      <c r="W32" s="113">
        <v>5</v>
      </c>
      <c r="X32" s="113">
        <v>9</v>
      </c>
      <c r="Y32" s="157">
        <f t="shared" ref="Y32" si="128">0.9*60*O32</f>
        <v>654544.80000000005</v>
      </c>
      <c r="Z32" s="157">
        <f t="shared" ref="Z32" si="129">SUM(AA32:AB32)</f>
        <v>448484.4</v>
      </c>
      <c r="AA32" s="157">
        <f t="shared" ref="AA32:AA35" si="130">4*V32*O32</f>
        <v>290908.80000000005</v>
      </c>
      <c r="AB32" s="157">
        <f t="shared" ref="AB32" si="131">SUM(4*O32)+(0.5*(R32-15)*O32)</f>
        <v>157575.6</v>
      </c>
      <c r="AC32" s="242"/>
      <c r="AD32" s="242"/>
      <c r="AE32" s="242"/>
      <c r="AF32" s="242"/>
      <c r="AG32" s="180">
        <f t="shared" ref="AG32:AG35" si="132">ROUND(Y32+Z32,0)</f>
        <v>1103029</v>
      </c>
      <c r="AH32" s="180">
        <v>0</v>
      </c>
      <c r="AI32" s="180"/>
      <c r="AJ32" s="384">
        <f t="shared" ref="AJ32:AJ35" si="133">AG32+AH32+AI32</f>
        <v>1103029</v>
      </c>
      <c r="AK32" s="282"/>
      <c r="AN32" s="296"/>
      <c r="AS32" s="297">
        <f t="shared" si="2"/>
        <v>0.20000000018626451</v>
      </c>
    </row>
    <row r="33" spans="1:45" ht="79.95" customHeight="1" x14ac:dyDescent="0.25">
      <c r="A33" s="153">
        <v>2</v>
      </c>
      <c r="B33" s="201" t="s">
        <v>110</v>
      </c>
      <c r="C33" s="199" t="s">
        <v>111</v>
      </c>
      <c r="D33" s="199" t="s">
        <v>112</v>
      </c>
      <c r="E33" s="202" t="s">
        <v>113</v>
      </c>
      <c r="F33" s="155">
        <v>4.9800000000000004</v>
      </c>
      <c r="G33" s="113"/>
      <c r="H33" s="113">
        <v>0.3</v>
      </c>
      <c r="I33" s="156"/>
      <c r="J33" s="156"/>
      <c r="K33" s="157"/>
      <c r="L33" s="157"/>
      <c r="M33" s="157"/>
      <c r="N33" s="157"/>
      <c r="O33" s="190">
        <f t="shared" ref="O33" si="134">SUM(F33:N33)*2340</f>
        <v>12355.2</v>
      </c>
      <c r="P33" s="199">
        <v>49249</v>
      </c>
      <c r="Q33" s="174" t="s">
        <v>56</v>
      </c>
      <c r="R33" s="171">
        <f t="shared" si="125"/>
        <v>26</v>
      </c>
      <c r="S33" s="113">
        <v>25</v>
      </c>
      <c r="T33" s="113">
        <v>11</v>
      </c>
      <c r="U33" s="113">
        <f t="shared" si="126"/>
        <v>110</v>
      </c>
      <c r="V33" s="209">
        <f t="shared" si="127"/>
        <v>9.5</v>
      </c>
      <c r="W33" s="113">
        <v>9</v>
      </c>
      <c r="X33" s="113">
        <v>2</v>
      </c>
      <c r="Y33" s="157">
        <f t="shared" ref="Y33" si="135">0.9*60*O33</f>
        <v>667180.80000000005</v>
      </c>
      <c r="Z33" s="157">
        <f t="shared" ref="Z33" si="136">SUM(AA33:AB33)</f>
        <v>586872</v>
      </c>
      <c r="AA33" s="157">
        <f t="shared" si="130"/>
        <v>469497.60000000003</v>
      </c>
      <c r="AB33" s="157">
        <f t="shared" ref="AB33" si="137">SUM(4*O33)+(0.5*(R33-15)*O33)</f>
        <v>117374.40000000001</v>
      </c>
      <c r="AC33" s="242"/>
      <c r="AD33" s="242"/>
      <c r="AE33" s="242"/>
      <c r="AF33" s="242"/>
      <c r="AG33" s="180">
        <f t="shared" si="132"/>
        <v>1254053</v>
      </c>
      <c r="AH33" s="180">
        <v>0</v>
      </c>
      <c r="AI33" s="180"/>
      <c r="AJ33" s="384">
        <f t="shared" si="133"/>
        <v>1254053</v>
      </c>
      <c r="AK33" s="282"/>
      <c r="AN33" s="296"/>
      <c r="AS33" s="297">
        <f t="shared" si="2"/>
        <v>-0.19999999995343387</v>
      </c>
    </row>
    <row r="34" spans="1:45" ht="79.95" customHeight="1" x14ac:dyDescent="0.25">
      <c r="A34" s="153">
        <v>3</v>
      </c>
      <c r="B34" s="201" t="s">
        <v>114</v>
      </c>
      <c r="C34" s="199" t="s">
        <v>115</v>
      </c>
      <c r="D34" s="199" t="s">
        <v>116</v>
      </c>
      <c r="E34" s="202" t="s">
        <v>117</v>
      </c>
      <c r="F34" s="155">
        <v>3.99</v>
      </c>
      <c r="G34" s="113"/>
      <c r="H34" s="113">
        <v>0.2</v>
      </c>
      <c r="I34" s="156"/>
      <c r="J34" s="156"/>
      <c r="K34" s="157"/>
      <c r="L34" s="157"/>
      <c r="M34" s="157"/>
      <c r="N34" s="157"/>
      <c r="O34" s="190">
        <f t="shared" ref="O34" si="138">SUM(F34:N34)*2340</f>
        <v>9804.6</v>
      </c>
      <c r="P34" s="199" t="s">
        <v>118</v>
      </c>
      <c r="Q34" s="174" t="s">
        <v>56</v>
      </c>
      <c r="R34" s="171">
        <f t="shared" si="125"/>
        <v>22</v>
      </c>
      <c r="S34" s="113">
        <v>21</v>
      </c>
      <c r="T34" s="113">
        <v>11</v>
      </c>
      <c r="U34" s="113">
        <f t="shared" si="126"/>
        <v>104</v>
      </c>
      <c r="V34" s="209">
        <f t="shared" si="127"/>
        <v>9</v>
      </c>
      <c r="W34" s="113">
        <v>8</v>
      </c>
      <c r="X34" s="113">
        <v>8</v>
      </c>
      <c r="Y34" s="157">
        <f t="shared" ref="Y34" si="139">0.9*60*O34</f>
        <v>529448.4</v>
      </c>
      <c r="Z34" s="157">
        <f t="shared" ref="Z34" si="140">SUM(AA34:AB34)</f>
        <v>426500.10000000003</v>
      </c>
      <c r="AA34" s="157">
        <f t="shared" si="130"/>
        <v>352965.60000000003</v>
      </c>
      <c r="AB34" s="157">
        <f t="shared" ref="AB34" si="141">SUM(4*O34)+(0.5*(R34-15)*O34)</f>
        <v>73534.5</v>
      </c>
      <c r="AC34" s="242"/>
      <c r="AD34" s="242"/>
      <c r="AE34" s="242"/>
      <c r="AF34" s="242"/>
      <c r="AG34" s="180">
        <f t="shared" si="132"/>
        <v>955949</v>
      </c>
      <c r="AH34" s="180">
        <v>0</v>
      </c>
      <c r="AI34" s="180"/>
      <c r="AJ34" s="384">
        <f t="shared" si="133"/>
        <v>955949</v>
      </c>
      <c r="AK34" s="282"/>
      <c r="AN34" s="296"/>
      <c r="AS34" s="297">
        <f t="shared" si="2"/>
        <v>-0.5</v>
      </c>
    </row>
    <row r="35" spans="1:45" ht="79.95" customHeight="1" x14ac:dyDescent="0.25">
      <c r="A35" s="153">
        <v>4</v>
      </c>
      <c r="B35" s="201" t="s">
        <v>119</v>
      </c>
      <c r="C35" s="199" t="s">
        <v>120</v>
      </c>
      <c r="D35" s="199" t="s">
        <v>49</v>
      </c>
      <c r="E35" s="202" t="s">
        <v>121</v>
      </c>
      <c r="F35" s="155">
        <v>4.9800000000000004</v>
      </c>
      <c r="G35" s="113"/>
      <c r="H35" s="113"/>
      <c r="I35" s="156"/>
      <c r="J35" s="156"/>
      <c r="K35" s="157"/>
      <c r="L35" s="157"/>
      <c r="M35" s="157"/>
      <c r="N35" s="157"/>
      <c r="O35" s="190">
        <f t="shared" ref="O35" si="142">SUM(F35:N35)*2340</f>
        <v>11653.2</v>
      </c>
      <c r="P35" s="199" t="s">
        <v>122</v>
      </c>
      <c r="Q35" s="174" t="s">
        <v>56</v>
      </c>
      <c r="R35" s="171">
        <f t="shared" si="125"/>
        <v>30</v>
      </c>
      <c r="S35" s="113">
        <v>29</v>
      </c>
      <c r="T35" s="113">
        <v>9</v>
      </c>
      <c r="U35" s="113">
        <f t="shared" si="126"/>
        <v>96</v>
      </c>
      <c r="V35" s="209">
        <f t="shared" si="127"/>
        <v>8</v>
      </c>
      <c r="W35" s="113">
        <v>8</v>
      </c>
      <c r="X35" s="113">
        <v>0</v>
      </c>
      <c r="Y35" s="157">
        <f t="shared" ref="Y35" si="143">0.9*60*O35</f>
        <v>629272.80000000005</v>
      </c>
      <c r="Z35" s="157">
        <f t="shared" ref="Z35" si="144">SUM(AA35:AB35)</f>
        <v>506914.2</v>
      </c>
      <c r="AA35" s="157">
        <f t="shared" si="130"/>
        <v>372902.40000000002</v>
      </c>
      <c r="AB35" s="157">
        <f t="shared" ref="AB35" si="145">SUM(4*O35)+(0.5*(R35-15)*O35)</f>
        <v>134011.79999999999</v>
      </c>
      <c r="AC35" s="242"/>
      <c r="AD35" s="242"/>
      <c r="AE35" s="242"/>
      <c r="AF35" s="242"/>
      <c r="AG35" s="180">
        <f t="shared" si="132"/>
        <v>1136187</v>
      </c>
      <c r="AH35" s="180">
        <v>0</v>
      </c>
      <c r="AI35" s="180"/>
      <c r="AJ35" s="384">
        <f t="shared" si="133"/>
        <v>1136187</v>
      </c>
      <c r="AK35" s="282"/>
      <c r="AN35" s="296"/>
      <c r="AS35" s="297">
        <f t="shared" si="2"/>
        <v>0</v>
      </c>
    </row>
    <row r="36" spans="1:45" ht="79.95" customHeight="1" x14ac:dyDescent="0.25">
      <c r="A36" s="153">
        <v>5</v>
      </c>
      <c r="B36" s="201" t="s">
        <v>370</v>
      </c>
      <c r="C36" s="199">
        <v>26996</v>
      </c>
      <c r="D36" s="199" t="s">
        <v>49</v>
      </c>
      <c r="E36" s="202" t="s">
        <v>126</v>
      </c>
      <c r="F36" s="155">
        <v>4.32</v>
      </c>
      <c r="G36" s="113"/>
      <c r="H36" s="113"/>
      <c r="I36" s="156"/>
      <c r="J36" s="156"/>
      <c r="K36" s="157"/>
      <c r="L36" s="157"/>
      <c r="M36" s="157">
        <f t="shared" ref="M36" si="146">(F36+G36+H36+I36)*25%</f>
        <v>1.08</v>
      </c>
      <c r="N36" s="157"/>
      <c r="O36" s="190">
        <f t="shared" ref="O36" si="147">SUM(F36:N36)*2340</f>
        <v>12636</v>
      </c>
      <c r="P36" s="199">
        <v>49644</v>
      </c>
      <c r="Q36" s="174" t="s">
        <v>56</v>
      </c>
      <c r="R36" s="171">
        <f t="shared" ref="R36" si="148">(S36)+(IF(T36=0,0,IF(T36&lt;7,1/2,1)))</f>
        <v>18.5</v>
      </c>
      <c r="S36" s="113">
        <v>18</v>
      </c>
      <c r="T36" s="113">
        <v>5</v>
      </c>
      <c r="U36" s="113">
        <f t="shared" ref="U36" si="149">(W36*12)+X36</f>
        <v>123</v>
      </c>
      <c r="V36" s="209">
        <f t="shared" ref="V36:V43" si="150">(W36)+(IF(X36=0,0,IF(X36&lt;7,1/2,1)))</f>
        <v>10.5</v>
      </c>
      <c r="W36" s="113">
        <v>10</v>
      </c>
      <c r="X36" s="113">
        <v>3</v>
      </c>
      <c r="Y36" s="157"/>
      <c r="Z36" s="157"/>
      <c r="AA36" s="157"/>
      <c r="AB36" s="157"/>
      <c r="AC36" s="180">
        <f>AD36+AE36+AF36</f>
        <v>995085</v>
      </c>
      <c r="AD36" s="180">
        <f t="shared" ref="AD36" si="151">0.8*60*O36</f>
        <v>606528</v>
      </c>
      <c r="AE36" s="180">
        <f t="shared" ref="AE36" si="152">1.5*O36*R36</f>
        <v>350649</v>
      </c>
      <c r="AF36" s="180">
        <f t="shared" ref="AF36" si="153">3*O36</f>
        <v>37908</v>
      </c>
      <c r="AG36" s="180">
        <f t="shared" ref="AG36:AG43" si="154">ROUND(Y36+Z36,0)</f>
        <v>0</v>
      </c>
      <c r="AH36" s="180">
        <f>ROUND(AC36,0)</f>
        <v>995085</v>
      </c>
      <c r="AI36" s="180"/>
      <c r="AJ36" s="384">
        <f t="shared" ref="AJ36:AJ43" si="155">AG36+AH36+AI36</f>
        <v>995085</v>
      </c>
      <c r="AK36" s="282"/>
      <c r="AN36" s="296"/>
      <c r="AS36" s="297">
        <f t="shared" si="2"/>
        <v>0</v>
      </c>
    </row>
    <row r="37" spans="1:45" ht="58.2" customHeight="1" x14ac:dyDescent="0.25">
      <c r="A37" s="153">
        <v>6</v>
      </c>
      <c r="B37" s="111" t="s">
        <v>127</v>
      </c>
      <c r="C37" s="112">
        <v>26692</v>
      </c>
      <c r="D37" s="112" t="s">
        <v>49</v>
      </c>
      <c r="E37" s="113" t="s">
        <v>128</v>
      </c>
      <c r="F37" s="155">
        <v>4.9800000000000004</v>
      </c>
      <c r="G37" s="113"/>
      <c r="H37" s="113">
        <v>0.3</v>
      </c>
      <c r="I37" s="157">
        <f>F37*7%</f>
        <v>0.34860000000000008</v>
      </c>
      <c r="J37" s="156"/>
      <c r="K37" s="156"/>
      <c r="L37" s="113"/>
      <c r="M37" s="157"/>
      <c r="N37" s="157"/>
      <c r="O37" s="190">
        <f>SUM(F37:N37)*2340</f>
        <v>13170.924000000001</v>
      </c>
      <c r="P37" s="112">
        <v>48122</v>
      </c>
      <c r="Q37" s="212" t="s">
        <v>129</v>
      </c>
      <c r="R37" s="171">
        <f>(S37)+(IF(T37=0,0,IF(T37&lt;7,1/2,1)))</f>
        <v>31.5</v>
      </c>
      <c r="S37" s="113">
        <v>31</v>
      </c>
      <c r="T37" s="113">
        <v>5</v>
      </c>
      <c r="U37" s="113">
        <f>(W37*12)+X37</f>
        <v>73</v>
      </c>
      <c r="V37" s="209">
        <f t="shared" si="150"/>
        <v>6.5</v>
      </c>
      <c r="W37" s="113">
        <v>6</v>
      </c>
      <c r="X37" s="113">
        <v>1</v>
      </c>
      <c r="Y37" s="157">
        <f>0.9*60*O37</f>
        <v>711229.89600000007</v>
      </c>
      <c r="Z37" s="157">
        <f>SUM(AA37:AB37)</f>
        <v>503787.84300000005</v>
      </c>
      <c r="AA37" s="157">
        <f t="shared" ref="AA37:AA41" si="156">4*V37*O37</f>
        <v>342444.02400000003</v>
      </c>
      <c r="AB37" s="157">
        <f t="shared" ref="AB37:AB41" si="157">SUM(4*O37)+(0.5*O37*(R37-15))</f>
        <v>161343.81900000002</v>
      </c>
      <c r="AC37" s="242"/>
      <c r="AD37" s="242"/>
      <c r="AE37" s="242"/>
      <c r="AF37" s="242"/>
      <c r="AG37" s="180">
        <f t="shared" si="154"/>
        <v>1215018</v>
      </c>
      <c r="AH37" s="180">
        <v>0</v>
      </c>
      <c r="AI37" s="180"/>
      <c r="AJ37" s="388">
        <f t="shared" si="155"/>
        <v>1215018</v>
      </c>
      <c r="AM37" s="125" t="s">
        <v>130</v>
      </c>
      <c r="AS37" s="297">
        <f t="shared" si="2"/>
        <v>-0.26099999994039536</v>
      </c>
    </row>
    <row r="38" spans="1:45" ht="52.95" customHeight="1" x14ac:dyDescent="0.25">
      <c r="A38" s="153">
        <v>7</v>
      </c>
      <c r="B38" s="111" t="s">
        <v>131</v>
      </c>
      <c r="C38" s="169" t="s">
        <v>132</v>
      </c>
      <c r="D38" s="112" t="s">
        <v>49</v>
      </c>
      <c r="E38" s="113" t="s">
        <v>133</v>
      </c>
      <c r="F38" s="155">
        <v>4.0599999999999996</v>
      </c>
      <c r="G38" s="113"/>
      <c r="H38" s="113">
        <v>0.2</v>
      </c>
      <c r="I38" s="156"/>
      <c r="J38" s="157"/>
      <c r="K38" s="156"/>
      <c r="L38" s="113"/>
      <c r="M38" s="157"/>
      <c r="N38" s="157"/>
      <c r="O38" s="190">
        <f t="shared" ref="O38:O66" si="158">SUM(F38:N38)*2340</f>
        <v>9968.4</v>
      </c>
      <c r="P38" s="169" t="s">
        <v>134</v>
      </c>
      <c r="Q38" s="212" t="s">
        <v>129</v>
      </c>
      <c r="R38" s="171">
        <f t="shared" ref="R38:R67" si="159">(S38)+(IF(T38=0,0,IF(T38&lt;7,1/2,1)))</f>
        <v>23</v>
      </c>
      <c r="S38" s="113">
        <v>22</v>
      </c>
      <c r="T38" s="113">
        <v>8</v>
      </c>
      <c r="U38" s="113">
        <f t="shared" ref="U38:U43" si="160">(W38*12)+X38</f>
        <v>90</v>
      </c>
      <c r="V38" s="209">
        <f t="shared" si="150"/>
        <v>7.5</v>
      </c>
      <c r="W38" s="113">
        <v>7</v>
      </c>
      <c r="X38" s="113">
        <v>6</v>
      </c>
      <c r="Y38" s="157">
        <f>0.9*60*O38</f>
        <v>538293.6</v>
      </c>
      <c r="Z38" s="157">
        <f>SUM(AA38:AB38)</f>
        <v>378799.2</v>
      </c>
      <c r="AA38" s="157">
        <f t="shared" si="156"/>
        <v>299052</v>
      </c>
      <c r="AB38" s="157">
        <f t="shared" si="157"/>
        <v>79747.199999999997</v>
      </c>
      <c r="AC38" s="242"/>
      <c r="AD38" s="242"/>
      <c r="AE38" s="242"/>
      <c r="AF38" s="242"/>
      <c r="AG38" s="180">
        <f t="shared" si="154"/>
        <v>917093</v>
      </c>
      <c r="AH38" s="180">
        <v>0</v>
      </c>
      <c r="AI38" s="180"/>
      <c r="AJ38" s="388">
        <f t="shared" si="155"/>
        <v>917093</v>
      </c>
      <c r="AS38" s="297">
        <f t="shared" si="2"/>
        <v>-0.19999999995343387</v>
      </c>
    </row>
    <row r="39" spans="1:45" ht="58.95" customHeight="1" x14ac:dyDescent="0.25">
      <c r="A39" s="153">
        <v>8</v>
      </c>
      <c r="B39" s="111" t="s">
        <v>135</v>
      </c>
      <c r="C39" s="169" t="s">
        <v>136</v>
      </c>
      <c r="D39" s="112" t="s">
        <v>49</v>
      </c>
      <c r="E39" s="113" t="s">
        <v>137</v>
      </c>
      <c r="F39" s="155">
        <v>4.9800000000000004</v>
      </c>
      <c r="G39" s="113"/>
      <c r="H39" s="113"/>
      <c r="I39" s="157"/>
      <c r="J39" s="157"/>
      <c r="K39" s="156"/>
      <c r="L39" s="113"/>
      <c r="M39" s="157"/>
      <c r="N39" s="157"/>
      <c r="O39" s="190">
        <f t="shared" si="158"/>
        <v>11653.2</v>
      </c>
      <c r="P39" s="169" t="s">
        <v>138</v>
      </c>
      <c r="Q39" s="212" t="s">
        <v>129</v>
      </c>
      <c r="R39" s="171">
        <f t="shared" si="159"/>
        <v>31</v>
      </c>
      <c r="S39" s="113">
        <v>30</v>
      </c>
      <c r="T39" s="113">
        <v>8</v>
      </c>
      <c r="U39" s="113">
        <f t="shared" si="160"/>
        <v>97</v>
      </c>
      <c r="V39" s="209">
        <f t="shared" si="150"/>
        <v>8.5</v>
      </c>
      <c r="W39" s="113">
        <v>8</v>
      </c>
      <c r="X39" s="113">
        <v>1</v>
      </c>
      <c r="Y39" s="157">
        <f>0.9*60*O39</f>
        <v>629272.80000000005</v>
      </c>
      <c r="Z39" s="157">
        <f>SUM(AA39:AB39)</f>
        <v>536047.20000000007</v>
      </c>
      <c r="AA39" s="157">
        <f t="shared" si="156"/>
        <v>396208.80000000005</v>
      </c>
      <c r="AB39" s="157">
        <f t="shared" si="157"/>
        <v>139838.40000000002</v>
      </c>
      <c r="AC39" s="242"/>
      <c r="AD39" s="242"/>
      <c r="AE39" s="242"/>
      <c r="AF39" s="242"/>
      <c r="AG39" s="180">
        <f t="shared" si="154"/>
        <v>1165320</v>
      </c>
      <c r="AH39" s="180">
        <v>0</v>
      </c>
      <c r="AI39" s="180"/>
      <c r="AJ39" s="388">
        <f t="shared" si="155"/>
        <v>1165320</v>
      </c>
      <c r="AS39" s="297">
        <f t="shared" si="2"/>
        <v>0</v>
      </c>
    </row>
    <row r="40" spans="1:45" ht="57" customHeight="1" x14ac:dyDescent="0.25">
      <c r="A40" s="153">
        <v>9</v>
      </c>
      <c r="B40" s="111" t="s">
        <v>139</v>
      </c>
      <c r="C40" s="169" t="s">
        <v>140</v>
      </c>
      <c r="D40" s="112" t="s">
        <v>49</v>
      </c>
      <c r="E40" s="113" t="s">
        <v>141</v>
      </c>
      <c r="F40" s="155">
        <v>4.6500000000000004</v>
      </c>
      <c r="G40" s="113"/>
      <c r="H40" s="113">
        <v>0.2</v>
      </c>
      <c r="I40" s="156"/>
      <c r="J40" s="156"/>
      <c r="K40" s="156"/>
      <c r="L40" s="113"/>
      <c r="M40" s="157"/>
      <c r="N40" s="157"/>
      <c r="O40" s="190">
        <f t="shared" si="158"/>
        <v>11349.000000000002</v>
      </c>
      <c r="P40" s="169" t="s">
        <v>138</v>
      </c>
      <c r="Q40" s="212" t="s">
        <v>129</v>
      </c>
      <c r="R40" s="171">
        <f t="shared" si="159"/>
        <v>30.5</v>
      </c>
      <c r="S40" s="113">
        <v>30</v>
      </c>
      <c r="T40" s="113">
        <v>3</v>
      </c>
      <c r="U40" s="113">
        <f t="shared" si="160"/>
        <v>97</v>
      </c>
      <c r="V40" s="209">
        <f t="shared" si="150"/>
        <v>8.5</v>
      </c>
      <c r="W40" s="113">
        <v>8</v>
      </c>
      <c r="X40" s="113">
        <v>1</v>
      </c>
      <c r="Y40" s="157">
        <f>0.9*60*O40</f>
        <v>612846.00000000012</v>
      </c>
      <c r="Z40" s="157">
        <f>SUM(AA40:AB40)</f>
        <v>519216.75000000012</v>
      </c>
      <c r="AA40" s="157">
        <f t="shared" si="156"/>
        <v>385866.00000000006</v>
      </c>
      <c r="AB40" s="157">
        <f t="shared" si="157"/>
        <v>133350.75000000003</v>
      </c>
      <c r="AC40" s="242"/>
      <c r="AD40" s="242"/>
      <c r="AE40" s="242"/>
      <c r="AF40" s="242"/>
      <c r="AG40" s="180">
        <f t="shared" si="154"/>
        <v>1132063</v>
      </c>
      <c r="AH40" s="180">
        <v>0</v>
      </c>
      <c r="AI40" s="180"/>
      <c r="AJ40" s="388">
        <f t="shared" si="155"/>
        <v>1132063</v>
      </c>
      <c r="AS40" s="297">
        <f t="shared" si="2"/>
        <v>-0.24999999976716936</v>
      </c>
    </row>
    <row r="41" spans="1:45" ht="66.599999999999994" customHeight="1" x14ac:dyDescent="0.25">
      <c r="A41" s="153">
        <v>10</v>
      </c>
      <c r="B41" s="154" t="s">
        <v>142</v>
      </c>
      <c r="C41" s="169" t="s">
        <v>105</v>
      </c>
      <c r="D41" s="112" t="s">
        <v>49</v>
      </c>
      <c r="E41" s="113" t="s">
        <v>143</v>
      </c>
      <c r="F41" s="155">
        <v>4.32</v>
      </c>
      <c r="G41" s="113"/>
      <c r="H41" s="113"/>
      <c r="I41" s="156"/>
      <c r="J41" s="156"/>
      <c r="K41" s="156"/>
      <c r="L41" s="113"/>
      <c r="M41" s="157"/>
      <c r="N41" s="157"/>
      <c r="O41" s="190">
        <f t="shared" si="158"/>
        <v>10108.800000000001</v>
      </c>
      <c r="P41" s="169">
        <v>47849</v>
      </c>
      <c r="Q41" s="212" t="s">
        <v>129</v>
      </c>
      <c r="R41" s="171">
        <f t="shared" si="159"/>
        <v>23.5</v>
      </c>
      <c r="S41" s="113">
        <v>23</v>
      </c>
      <c r="T41" s="113">
        <v>2</v>
      </c>
      <c r="U41" s="113">
        <f t="shared" si="160"/>
        <v>64</v>
      </c>
      <c r="V41" s="209">
        <f t="shared" si="150"/>
        <v>5.5</v>
      </c>
      <c r="W41" s="113">
        <v>5</v>
      </c>
      <c r="X41" s="113">
        <v>4</v>
      </c>
      <c r="Y41" s="157">
        <f>0.9*60*O41</f>
        <v>545875.20000000007</v>
      </c>
      <c r="Z41" s="157">
        <f>SUM(AA41:AB41)</f>
        <v>305791.20000000007</v>
      </c>
      <c r="AA41" s="157">
        <f t="shared" si="156"/>
        <v>222393.60000000003</v>
      </c>
      <c r="AB41" s="157">
        <f t="shared" si="157"/>
        <v>83397.600000000006</v>
      </c>
      <c r="AC41" s="180"/>
      <c r="AD41" s="180"/>
      <c r="AE41" s="180"/>
      <c r="AF41" s="180"/>
      <c r="AG41" s="180">
        <f>ROUND(Y41+Z41,0)</f>
        <v>851666</v>
      </c>
      <c r="AH41" s="180"/>
      <c r="AI41" s="180"/>
      <c r="AJ41" s="388">
        <f t="shared" si="155"/>
        <v>851666</v>
      </c>
      <c r="AK41" s="125" t="s">
        <v>206</v>
      </c>
      <c r="AS41" s="297">
        <f t="shared" si="2"/>
        <v>0.40000000013969839</v>
      </c>
    </row>
    <row r="42" spans="1:45" ht="75" customHeight="1" x14ac:dyDescent="0.25">
      <c r="A42" s="153">
        <v>11</v>
      </c>
      <c r="B42" s="448" t="s">
        <v>144</v>
      </c>
      <c r="C42" s="449" t="s">
        <v>145</v>
      </c>
      <c r="D42" s="112" t="s">
        <v>104</v>
      </c>
      <c r="E42" s="113" t="s">
        <v>143</v>
      </c>
      <c r="F42" s="155">
        <v>3.86</v>
      </c>
      <c r="G42" s="113"/>
      <c r="H42" s="113"/>
      <c r="I42" s="156"/>
      <c r="J42" s="156"/>
      <c r="K42" s="156"/>
      <c r="L42" s="113"/>
      <c r="M42" s="157"/>
      <c r="N42" s="157"/>
      <c r="O42" s="190">
        <f t="shared" si="158"/>
        <v>9032.4</v>
      </c>
      <c r="P42" s="169" t="s">
        <v>146</v>
      </c>
      <c r="Q42" s="212" t="s">
        <v>129</v>
      </c>
      <c r="R42" s="171">
        <f t="shared" si="159"/>
        <v>20.5</v>
      </c>
      <c r="S42" s="113">
        <v>20</v>
      </c>
      <c r="T42" s="113">
        <v>3</v>
      </c>
      <c r="U42" s="113">
        <f t="shared" si="160"/>
        <v>145</v>
      </c>
      <c r="V42" s="209">
        <f t="shared" si="150"/>
        <v>12.5</v>
      </c>
      <c r="W42" s="113">
        <v>12</v>
      </c>
      <c r="X42" s="113">
        <v>1</v>
      </c>
      <c r="Y42" s="157"/>
      <c r="Z42" s="157"/>
      <c r="AA42" s="157"/>
      <c r="AB42" s="157"/>
      <c r="AC42" s="180">
        <f t="shared" ref="AC42:AC43" si="161">AD42+AE42+AF42</f>
        <v>711301.5</v>
      </c>
      <c r="AD42" s="180">
        <f>0.8*60*O42</f>
        <v>433555.19999999995</v>
      </c>
      <c r="AE42" s="180">
        <f t="shared" ref="AE42:AE43" si="162">1.5*O42*R42</f>
        <v>277746.3</v>
      </c>
      <c r="AF42" s="180"/>
      <c r="AG42" s="180">
        <f t="shared" si="154"/>
        <v>0</v>
      </c>
      <c r="AH42" s="180">
        <f>ROUND(AC42,0)</f>
        <v>711302</v>
      </c>
      <c r="AI42" s="157"/>
      <c r="AJ42" s="388">
        <f t="shared" si="155"/>
        <v>711302</v>
      </c>
      <c r="AK42" s="125" t="s">
        <v>205</v>
      </c>
      <c r="AS42" s="297">
        <f t="shared" si="2"/>
        <v>-0.5</v>
      </c>
    </row>
    <row r="43" spans="1:45" ht="61.5" customHeight="1" x14ac:dyDescent="0.25">
      <c r="A43" s="446">
        <v>12</v>
      </c>
      <c r="B43" s="389" t="s">
        <v>147</v>
      </c>
      <c r="C43" s="390" t="s">
        <v>148</v>
      </c>
      <c r="D43" s="447" t="s">
        <v>149</v>
      </c>
      <c r="E43" s="391" t="s">
        <v>150</v>
      </c>
      <c r="F43" s="155">
        <v>4.03</v>
      </c>
      <c r="G43" s="113"/>
      <c r="H43" s="113"/>
      <c r="I43" s="156"/>
      <c r="J43" s="156"/>
      <c r="K43" s="156"/>
      <c r="L43" s="113"/>
      <c r="M43" s="157"/>
      <c r="N43" s="157"/>
      <c r="O43" s="190">
        <f t="shared" si="158"/>
        <v>9430.2000000000007</v>
      </c>
      <c r="P43" s="390" t="s">
        <v>151</v>
      </c>
      <c r="Q43" s="212" t="s">
        <v>129</v>
      </c>
      <c r="R43" s="171">
        <f t="shared" si="159"/>
        <v>22.5</v>
      </c>
      <c r="S43" s="113">
        <v>22</v>
      </c>
      <c r="T43" s="113">
        <v>2</v>
      </c>
      <c r="U43" s="113">
        <f t="shared" si="160"/>
        <v>143</v>
      </c>
      <c r="V43" s="209">
        <f t="shared" si="150"/>
        <v>12</v>
      </c>
      <c r="W43" s="113">
        <v>11</v>
      </c>
      <c r="X43" s="113">
        <v>11</v>
      </c>
      <c r="Y43" s="157"/>
      <c r="Z43" s="157"/>
      <c r="AA43" s="157"/>
      <c r="AB43" s="157"/>
      <c r="AC43" s="180">
        <f t="shared" si="161"/>
        <v>770918.85000000009</v>
      </c>
      <c r="AD43" s="180">
        <f>0.8*60*O43</f>
        <v>452649.60000000003</v>
      </c>
      <c r="AE43" s="180">
        <f t="shared" si="162"/>
        <v>318269.25</v>
      </c>
      <c r="AF43" s="180"/>
      <c r="AG43" s="180">
        <f t="shared" si="154"/>
        <v>0</v>
      </c>
      <c r="AH43" s="180">
        <f>ROUND(AC43,0)</f>
        <v>770919</v>
      </c>
      <c r="AI43" s="157"/>
      <c r="AJ43" s="388">
        <f t="shared" si="155"/>
        <v>770919</v>
      </c>
      <c r="AS43" s="297">
        <f t="shared" si="2"/>
        <v>-0.14999999990686774</v>
      </c>
    </row>
    <row r="44" spans="1:45" ht="68.400000000000006" customHeight="1" x14ac:dyDescent="0.25">
      <c r="A44" s="153">
        <v>13</v>
      </c>
      <c r="B44" s="450" t="s">
        <v>291</v>
      </c>
      <c r="C44" s="451" t="s">
        <v>292</v>
      </c>
      <c r="D44" s="391"/>
      <c r="E44" s="391" t="s">
        <v>329</v>
      </c>
      <c r="F44" s="155">
        <v>4.0599999999999996</v>
      </c>
      <c r="G44" s="113"/>
      <c r="H44" s="113"/>
      <c r="I44" s="156"/>
      <c r="J44" s="156"/>
      <c r="K44" s="156"/>
      <c r="L44" s="113"/>
      <c r="M44" s="157"/>
      <c r="N44" s="157"/>
      <c r="O44" s="190">
        <f t="shared" si="158"/>
        <v>9500.4</v>
      </c>
      <c r="P44" s="393" t="s">
        <v>344</v>
      </c>
      <c r="Q44" s="212" t="s">
        <v>129</v>
      </c>
      <c r="R44" s="171">
        <f t="shared" si="159"/>
        <v>22.5</v>
      </c>
      <c r="S44" s="394">
        <v>22</v>
      </c>
      <c r="T44" s="394">
        <v>6</v>
      </c>
      <c r="U44" s="113">
        <f t="shared" ref="U44:U67" si="163">(W44*12)+X44</f>
        <v>52</v>
      </c>
      <c r="V44" s="209">
        <f t="shared" ref="V44:V67" si="164">(W44)+(IF(X44=0,0,IF(X44&lt;7,1/2,1)))</f>
        <v>4.5</v>
      </c>
      <c r="W44" s="394">
        <v>4</v>
      </c>
      <c r="X44" s="394">
        <v>4</v>
      </c>
      <c r="Y44" s="157">
        <f>U44*O44</f>
        <v>494020.8</v>
      </c>
      <c r="Z44" s="157">
        <f t="shared" ref="Z44" si="165">SUM(AA44:AB44)</f>
        <v>287387.09999999998</v>
      </c>
      <c r="AA44" s="157">
        <f>5*V44*O44</f>
        <v>213759</v>
      </c>
      <c r="AB44" s="157">
        <f t="shared" ref="AB44" si="166">SUM(4*O44)+(0.5*(R44-15)*O44)</f>
        <v>73628.100000000006</v>
      </c>
      <c r="AC44" s="180"/>
      <c r="AD44" s="180"/>
      <c r="AE44" s="180"/>
      <c r="AF44" s="180"/>
      <c r="AG44" s="180">
        <f t="shared" ref="AG44:AG67" si="167">ROUND(Y44+Z44,0)</f>
        <v>781408</v>
      </c>
      <c r="AH44" s="180">
        <f t="shared" ref="AH44:AH67" si="168">ROUND(AC44,0)</f>
        <v>0</v>
      </c>
      <c r="AI44" s="157"/>
      <c r="AJ44" s="388">
        <f t="shared" ref="AJ44:AJ67" si="169">AG44+AH44+AI44</f>
        <v>781408</v>
      </c>
      <c r="AS44" s="297"/>
    </row>
    <row r="45" spans="1:45" ht="68.400000000000006" customHeight="1" x14ac:dyDescent="0.25">
      <c r="A45" s="153">
        <v>14</v>
      </c>
      <c r="B45" s="111" t="s">
        <v>293</v>
      </c>
      <c r="C45" s="112">
        <v>27442</v>
      </c>
      <c r="D45" s="391"/>
      <c r="E45" s="391" t="s">
        <v>330</v>
      </c>
      <c r="F45" s="155">
        <v>4.32</v>
      </c>
      <c r="G45" s="113"/>
      <c r="H45" s="113"/>
      <c r="I45" s="156"/>
      <c r="J45" s="156"/>
      <c r="K45" s="156"/>
      <c r="L45" s="113"/>
      <c r="M45" s="157"/>
      <c r="N45" s="157"/>
      <c r="O45" s="190">
        <f t="shared" si="158"/>
        <v>10108.800000000001</v>
      </c>
      <c r="P45" s="112">
        <v>46569</v>
      </c>
      <c r="Q45" s="212" t="s">
        <v>129</v>
      </c>
      <c r="R45" s="171">
        <f t="shared" si="159"/>
        <v>29</v>
      </c>
      <c r="S45" s="395">
        <v>28</v>
      </c>
      <c r="T45" s="395">
        <v>8</v>
      </c>
      <c r="U45" s="113">
        <f t="shared" si="163"/>
        <v>22</v>
      </c>
      <c r="V45" s="209">
        <f t="shared" si="164"/>
        <v>2</v>
      </c>
      <c r="W45" s="395">
        <v>1</v>
      </c>
      <c r="X45" s="395">
        <v>10</v>
      </c>
      <c r="Y45" s="157">
        <f>U45*O45</f>
        <v>222393.60000000003</v>
      </c>
      <c r="Z45" s="157"/>
      <c r="AA45" s="157"/>
      <c r="AB45" s="157"/>
      <c r="AC45" s="180"/>
      <c r="AD45" s="180"/>
      <c r="AE45" s="180"/>
      <c r="AF45" s="180"/>
      <c r="AG45" s="180">
        <f t="shared" si="167"/>
        <v>222394</v>
      </c>
      <c r="AH45" s="180">
        <f t="shared" si="168"/>
        <v>0</v>
      </c>
      <c r="AI45" s="157"/>
      <c r="AJ45" s="388">
        <f t="shared" si="169"/>
        <v>222394</v>
      </c>
      <c r="AS45" s="297"/>
    </row>
    <row r="46" spans="1:45" ht="37.5" customHeight="1" x14ac:dyDescent="0.25">
      <c r="A46" s="153">
        <v>15</v>
      </c>
      <c r="B46" s="111" t="s">
        <v>294</v>
      </c>
      <c r="C46" s="112">
        <v>26553</v>
      </c>
      <c r="D46" s="391"/>
      <c r="E46" s="391" t="s">
        <v>331</v>
      </c>
      <c r="F46" s="155">
        <v>4.9800000000000004</v>
      </c>
      <c r="G46" s="113"/>
      <c r="H46" s="113"/>
      <c r="I46" s="156"/>
      <c r="J46" s="156"/>
      <c r="K46" s="156"/>
      <c r="L46" s="113"/>
      <c r="M46" s="157"/>
      <c r="N46" s="157"/>
      <c r="O46" s="190">
        <f t="shared" si="158"/>
        <v>11653.2</v>
      </c>
      <c r="P46" s="112">
        <v>48000</v>
      </c>
      <c r="Q46" s="212" t="s">
        <v>129</v>
      </c>
      <c r="R46" s="171">
        <f t="shared" si="159"/>
        <v>28</v>
      </c>
      <c r="S46" s="395">
        <v>27</v>
      </c>
      <c r="T46" s="395">
        <v>10</v>
      </c>
      <c r="U46" s="113">
        <f t="shared" si="163"/>
        <v>69</v>
      </c>
      <c r="V46" s="209">
        <f t="shared" si="164"/>
        <v>6</v>
      </c>
      <c r="W46" s="395">
        <v>5</v>
      </c>
      <c r="X46" s="395">
        <v>9</v>
      </c>
      <c r="Y46" s="157">
        <f t="shared" ref="Y46" si="170">0.9*60*O46</f>
        <v>629272.80000000005</v>
      </c>
      <c r="Z46" s="157">
        <f t="shared" ref="Z46:Z47" si="171">SUM(AA46:AB46)</f>
        <v>402035.4</v>
      </c>
      <c r="AA46" s="157">
        <f>4*V46*O46</f>
        <v>279676.80000000005</v>
      </c>
      <c r="AB46" s="157">
        <f t="shared" ref="AB46:AB47" si="172">SUM(4*O46)+(0.5*(R46-15)*O46)</f>
        <v>122358.6</v>
      </c>
      <c r="AC46" s="180"/>
      <c r="AD46" s="180"/>
      <c r="AE46" s="180"/>
      <c r="AF46" s="180"/>
      <c r="AG46" s="180">
        <f t="shared" si="167"/>
        <v>1031308</v>
      </c>
      <c r="AH46" s="180">
        <f t="shared" si="168"/>
        <v>0</v>
      </c>
      <c r="AI46" s="157"/>
      <c r="AJ46" s="388">
        <f t="shared" si="169"/>
        <v>1031308</v>
      </c>
      <c r="AK46" s="125" t="s">
        <v>358</v>
      </c>
      <c r="AS46" s="297"/>
    </row>
    <row r="47" spans="1:45" ht="37.5" customHeight="1" x14ac:dyDescent="0.25">
      <c r="A47" s="153">
        <v>16</v>
      </c>
      <c r="B47" s="111" t="s">
        <v>295</v>
      </c>
      <c r="C47" s="112">
        <v>24929</v>
      </c>
      <c r="D47" s="391"/>
      <c r="E47" s="391" t="s">
        <v>332</v>
      </c>
      <c r="F47" s="155">
        <v>4.03</v>
      </c>
      <c r="G47" s="113"/>
      <c r="H47" s="113"/>
      <c r="I47" s="155">
        <f>F47*23%</f>
        <v>0.92690000000000006</v>
      </c>
      <c r="J47" s="156"/>
      <c r="K47" s="156"/>
      <c r="L47" s="113"/>
      <c r="M47" s="157"/>
      <c r="N47" s="157"/>
      <c r="O47" s="190">
        <f t="shared" si="158"/>
        <v>11599.146000000001</v>
      </c>
      <c r="P47" s="112">
        <v>47604</v>
      </c>
      <c r="Q47" s="212" t="s">
        <v>129</v>
      </c>
      <c r="R47" s="171">
        <f t="shared" si="159"/>
        <v>36</v>
      </c>
      <c r="S47" s="395">
        <v>35</v>
      </c>
      <c r="T47" s="395">
        <v>7</v>
      </c>
      <c r="U47" s="113">
        <f t="shared" si="163"/>
        <v>56</v>
      </c>
      <c r="V47" s="209">
        <f t="shared" si="164"/>
        <v>5</v>
      </c>
      <c r="W47" s="395">
        <v>4</v>
      </c>
      <c r="X47" s="395">
        <v>8</v>
      </c>
      <c r="Y47" s="157">
        <f>U47*O47</f>
        <v>649552.17599999998</v>
      </c>
      <c r="Z47" s="157">
        <f t="shared" si="171"/>
        <v>458166.26700000005</v>
      </c>
      <c r="AA47" s="157">
        <f>5*V47*O47</f>
        <v>289978.65000000002</v>
      </c>
      <c r="AB47" s="157">
        <f t="shared" si="172"/>
        <v>168187.61700000003</v>
      </c>
      <c r="AC47" s="180"/>
      <c r="AD47" s="180"/>
      <c r="AE47" s="180"/>
      <c r="AF47" s="180"/>
      <c r="AG47" s="180">
        <f t="shared" si="167"/>
        <v>1107718</v>
      </c>
      <c r="AH47" s="180">
        <f t="shared" si="168"/>
        <v>0</v>
      </c>
      <c r="AI47" s="157"/>
      <c r="AJ47" s="388">
        <f t="shared" si="169"/>
        <v>1107718</v>
      </c>
      <c r="AS47" s="297"/>
    </row>
    <row r="48" spans="1:45" ht="60.75" customHeight="1" x14ac:dyDescent="0.25">
      <c r="A48" s="153">
        <v>17</v>
      </c>
      <c r="B48" s="396" t="s">
        <v>296</v>
      </c>
      <c r="C48" s="397" t="s">
        <v>297</v>
      </c>
      <c r="D48" s="391"/>
      <c r="E48" s="391" t="s">
        <v>137</v>
      </c>
      <c r="F48" s="155">
        <v>4.9800000000000004</v>
      </c>
      <c r="G48" s="113"/>
      <c r="H48" s="113"/>
      <c r="I48" s="156"/>
      <c r="J48" s="156"/>
      <c r="K48" s="156"/>
      <c r="L48" s="113"/>
      <c r="M48" s="157"/>
      <c r="N48" s="157"/>
      <c r="O48" s="190">
        <f t="shared" si="158"/>
        <v>11653.2</v>
      </c>
      <c r="P48" s="397" t="s">
        <v>345</v>
      </c>
      <c r="Q48" s="212" t="s">
        <v>129</v>
      </c>
      <c r="R48" s="171">
        <f t="shared" si="159"/>
        <v>26</v>
      </c>
      <c r="S48" s="398">
        <v>25</v>
      </c>
      <c r="T48" s="398">
        <v>11</v>
      </c>
      <c r="U48" s="113">
        <f t="shared" si="163"/>
        <v>116</v>
      </c>
      <c r="V48" s="209">
        <f t="shared" si="164"/>
        <v>10</v>
      </c>
      <c r="W48" s="398">
        <v>9</v>
      </c>
      <c r="X48" s="398">
        <v>8</v>
      </c>
      <c r="Y48" s="157">
        <f t="shared" ref="Y48" si="173">0.9*60*O48</f>
        <v>629272.80000000005</v>
      </c>
      <c r="Z48" s="157">
        <f t="shared" ref="Z48:Z49" si="174">SUM(AA48:AB48)</f>
        <v>576833.4</v>
      </c>
      <c r="AA48" s="157">
        <f>4*V48*O48</f>
        <v>466128</v>
      </c>
      <c r="AB48" s="157">
        <f t="shared" ref="AB48:AB49" si="175">SUM(4*O48)+(0.5*(R48-15)*O48)</f>
        <v>110705.40000000001</v>
      </c>
      <c r="AC48" s="180"/>
      <c r="AD48" s="180"/>
      <c r="AE48" s="180"/>
      <c r="AF48" s="180"/>
      <c r="AG48" s="180">
        <f t="shared" si="167"/>
        <v>1206106</v>
      </c>
      <c r="AH48" s="180">
        <f t="shared" si="168"/>
        <v>0</v>
      </c>
      <c r="AI48" s="157"/>
      <c r="AJ48" s="388">
        <f t="shared" si="169"/>
        <v>1206106</v>
      </c>
      <c r="AS48" s="297"/>
    </row>
    <row r="49" spans="1:45" ht="68.400000000000006" customHeight="1" x14ac:dyDescent="0.25">
      <c r="A49" s="153">
        <v>18</v>
      </c>
      <c r="B49" s="399" t="s">
        <v>298</v>
      </c>
      <c r="C49" s="400" t="s">
        <v>299</v>
      </c>
      <c r="D49" s="391"/>
      <c r="E49" s="391" t="s">
        <v>333</v>
      </c>
      <c r="F49" s="155">
        <v>4.0599999999999996</v>
      </c>
      <c r="G49" s="113"/>
      <c r="H49" s="113">
        <v>0.2</v>
      </c>
      <c r="I49" s="155">
        <f>F49*19%</f>
        <v>0.77139999999999997</v>
      </c>
      <c r="J49" s="156"/>
      <c r="K49" s="156"/>
      <c r="L49" s="113"/>
      <c r="M49" s="157"/>
      <c r="N49" s="157"/>
      <c r="O49" s="190">
        <f t="shared" si="158"/>
        <v>11773.475999999999</v>
      </c>
      <c r="P49" s="400" t="s">
        <v>346</v>
      </c>
      <c r="Q49" s="212" t="s">
        <v>129</v>
      </c>
      <c r="R49" s="171">
        <f t="shared" si="159"/>
        <v>40</v>
      </c>
      <c r="S49" s="398">
        <v>39</v>
      </c>
      <c r="T49" s="401">
        <v>10</v>
      </c>
      <c r="U49" s="113">
        <f t="shared" si="163"/>
        <v>45</v>
      </c>
      <c r="V49" s="209">
        <f t="shared" si="164"/>
        <v>4</v>
      </c>
      <c r="W49" s="398">
        <v>3</v>
      </c>
      <c r="X49" s="398">
        <v>9</v>
      </c>
      <c r="Y49" s="157">
        <f>U49*O49</f>
        <v>529806.41999999993</v>
      </c>
      <c r="Z49" s="157">
        <f t="shared" si="174"/>
        <v>429731.87399999995</v>
      </c>
      <c r="AA49" s="157">
        <f>5*V49*O49</f>
        <v>235469.51999999996</v>
      </c>
      <c r="AB49" s="157">
        <f t="shared" si="175"/>
        <v>194262.35399999999</v>
      </c>
      <c r="AC49" s="180"/>
      <c r="AD49" s="180"/>
      <c r="AE49" s="180"/>
      <c r="AF49" s="180"/>
      <c r="AG49" s="180">
        <f t="shared" si="167"/>
        <v>959538</v>
      </c>
      <c r="AH49" s="180">
        <f t="shared" si="168"/>
        <v>0</v>
      </c>
      <c r="AI49" s="157"/>
      <c r="AJ49" s="388">
        <f t="shared" si="169"/>
        <v>959538</v>
      </c>
      <c r="AS49" s="297"/>
    </row>
    <row r="50" spans="1:45" ht="68.400000000000006" customHeight="1" x14ac:dyDescent="0.25">
      <c r="A50" s="153">
        <v>19</v>
      </c>
      <c r="B50" s="396" t="s">
        <v>300</v>
      </c>
      <c r="C50" s="397" t="s">
        <v>301</v>
      </c>
      <c r="D50" s="391"/>
      <c r="E50" s="391" t="s">
        <v>334</v>
      </c>
      <c r="F50" s="155">
        <v>4.0599999999999996</v>
      </c>
      <c r="G50" s="113"/>
      <c r="H50" s="113"/>
      <c r="I50" s="155">
        <f>F50*9%</f>
        <v>0.36539999999999995</v>
      </c>
      <c r="J50" s="156"/>
      <c r="K50" s="156"/>
      <c r="L50" s="113"/>
      <c r="M50" s="157"/>
      <c r="N50" s="157"/>
      <c r="O50" s="190">
        <f t="shared" si="158"/>
        <v>10355.436</v>
      </c>
      <c r="P50" s="397" t="s">
        <v>109</v>
      </c>
      <c r="Q50" s="212" t="s">
        <v>129</v>
      </c>
      <c r="R50" s="171">
        <f t="shared" si="159"/>
        <v>26</v>
      </c>
      <c r="S50" s="398">
        <v>26</v>
      </c>
      <c r="T50" s="398">
        <v>0</v>
      </c>
      <c r="U50" s="113">
        <f t="shared" si="163"/>
        <v>69</v>
      </c>
      <c r="V50" s="209">
        <f t="shared" si="164"/>
        <v>6</v>
      </c>
      <c r="W50" s="398">
        <v>5</v>
      </c>
      <c r="X50" s="398">
        <v>9</v>
      </c>
      <c r="Y50" s="157">
        <f t="shared" ref="Y50:Y51" si="176">0.9*60*O50</f>
        <v>559193.54399999999</v>
      </c>
      <c r="Z50" s="157">
        <f t="shared" ref="Z50:Z52" si="177">SUM(AA50:AB50)</f>
        <v>346907.10599999997</v>
      </c>
      <c r="AA50" s="157">
        <f>4*V50*O50</f>
        <v>248530.46399999998</v>
      </c>
      <c r="AB50" s="157">
        <f t="shared" ref="AB50:AB52" si="178">SUM(4*O50)+(0.5*(R50-15)*O50)</f>
        <v>98376.641999999993</v>
      </c>
      <c r="AC50" s="180"/>
      <c r="AD50" s="180"/>
      <c r="AE50" s="180"/>
      <c r="AF50" s="180"/>
      <c r="AG50" s="180">
        <f t="shared" si="167"/>
        <v>906101</v>
      </c>
      <c r="AH50" s="180">
        <f t="shared" si="168"/>
        <v>0</v>
      </c>
      <c r="AI50" s="157"/>
      <c r="AJ50" s="388">
        <f t="shared" si="169"/>
        <v>906101</v>
      </c>
      <c r="AS50" s="297"/>
    </row>
    <row r="51" spans="1:45" ht="68.400000000000006" customHeight="1" x14ac:dyDescent="0.25">
      <c r="A51" s="153">
        <v>20</v>
      </c>
      <c r="B51" s="396" t="s">
        <v>302</v>
      </c>
      <c r="C51" s="402">
        <v>26316</v>
      </c>
      <c r="D51" s="391"/>
      <c r="E51" s="391" t="s">
        <v>335</v>
      </c>
      <c r="F51" s="155">
        <v>4.0599999999999996</v>
      </c>
      <c r="G51" s="113"/>
      <c r="H51" s="113"/>
      <c r="I51" s="155">
        <f>F51*13%</f>
        <v>0.52779999999999994</v>
      </c>
      <c r="J51" s="156"/>
      <c r="K51" s="156"/>
      <c r="L51" s="113"/>
      <c r="M51" s="157"/>
      <c r="N51" s="157"/>
      <c r="O51" s="190">
        <f t="shared" si="158"/>
        <v>10735.451999999999</v>
      </c>
      <c r="P51" s="402">
        <v>48976</v>
      </c>
      <c r="Q51" s="212" t="s">
        <v>129</v>
      </c>
      <c r="R51" s="171">
        <f t="shared" si="159"/>
        <v>32</v>
      </c>
      <c r="S51" s="398">
        <v>31</v>
      </c>
      <c r="T51" s="398">
        <v>8</v>
      </c>
      <c r="U51" s="113">
        <f t="shared" si="163"/>
        <v>101</v>
      </c>
      <c r="V51" s="209">
        <f t="shared" si="164"/>
        <v>8.5</v>
      </c>
      <c r="W51" s="398">
        <v>8</v>
      </c>
      <c r="X51" s="398">
        <v>5</v>
      </c>
      <c r="Y51" s="157">
        <f t="shared" si="176"/>
        <v>579714.40799999994</v>
      </c>
      <c r="Z51" s="157">
        <f t="shared" si="177"/>
        <v>499198.51799999992</v>
      </c>
      <c r="AA51" s="157">
        <f>4*V51*O51</f>
        <v>365005.36799999996</v>
      </c>
      <c r="AB51" s="157">
        <f t="shared" si="178"/>
        <v>134193.15</v>
      </c>
      <c r="AC51" s="180"/>
      <c r="AD51" s="180"/>
      <c r="AE51" s="180"/>
      <c r="AF51" s="180"/>
      <c r="AG51" s="180">
        <f t="shared" si="167"/>
        <v>1078913</v>
      </c>
      <c r="AH51" s="180">
        <f t="shared" si="168"/>
        <v>0</v>
      </c>
      <c r="AI51" s="157"/>
      <c r="AJ51" s="388">
        <f t="shared" si="169"/>
        <v>1078913</v>
      </c>
      <c r="AS51" s="297"/>
    </row>
    <row r="52" spans="1:45" ht="68.400000000000006" customHeight="1" x14ac:dyDescent="0.25">
      <c r="A52" s="153">
        <v>21</v>
      </c>
      <c r="B52" s="396" t="s">
        <v>303</v>
      </c>
      <c r="C52" s="397" t="s">
        <v>105</v>
      </c>
      <c r="D52" s="391"/>
      <c r="E52" s="391" t="s">
        <v>336</v>
      </c>
      <c r="F52" s="155">
        <v>4.0599999999999996</v>
      </c>
      <c r="G52" s="113"/>
      <c r="H52" s="113"/>
      <c r="I52" s="156"/>
      <c r="J52" s="156"/>
      <c r="K52" s="156"/>
      <c r="L52" s="113"/>
      <c r="M52" s="157"/>
      <c r="N52" s="157"/>
      <c r="O52" s="190">
        <f t="shared" si="158"/>
        <v>9500.4</v>
      </c>
      <c r="P52" s="402">
        <v>49188</v>
      </c>
      <c r="Q52" s="212" t="s">
        <v>129</v>
      </c>
      <c r="R52" s="171">
        <f t="shared" si="159"/>
        <v>24</v>
      </c>
      <c r="S52" s="398">
        <v>23</v>
      </c>
      <c r="T52" s="398">
        <v>10</v>
      </c>
      <c r="U52" s="113">
        <f t="shared" si="163"/>
        <v>108</v>
      </c>
      <c r="V52" s="209">
        <f t="shared" si="164"/>
        <v>9</v>
      </c>
      <c r="W52" s="398">
        <v>9</v>
      </c>
      <c r="X52" s="398">
        <v>0</v>
      </c>
      <c r="Y52" s="157">
        <f>0.9*60*O52</f>
        <v>513021.6</v>
      </c>
      <c r="Z52" s="157">
        <f t="shared" si="177"/>
        <v>422767.79999999993</v>
      </c>
      <c r="AA52" s="157">
        <f>4*V52*O52</f>
        <v>342014.39999999997</v>
      </c>
      <c r="AB52" s="157">
        <f t="shared" si="178"/>
        <v>80753.399999999994</v>
      </c>
      <c r="AC52" s="180"/>
      <c r="AD52" s="180"/>
      <c r="AE52" s="180"/>
      <c r="AF52" s="180"/>
      <c r="AG52" s="180">
        <f t="shared" si="167"/>
        <v>935789</v>
      </c>
      <c r="AH52" s="180">
        <f t="shared" si="168"/>
        <v>0</v>
      </c>
      <c r="AI52" s="157"/>
      <c r="AJ52" s="388">
        <f t="shared" si="169"/>
        <v>935789</v>
      </c>
      <c r="AS52" s="297"/>
    </row>
    <row r="53" spans="1:45" ht="68.400000000000006" customHeight="1" x14ac:dyDescent="0.25">
      <c r="A53" s="153">
        <v>22</v>
      </c>
      <c r="B53" s="396" t="s">
        <v>304</v>
      </c>
      <c r="C53" s="400">
        <v>31704</v>
      </c>
      <c r="D53" s="391"/>
      <c r="E53" s="391" t="s">
        <v>337</v>
      </c>
      <c r="F53" s="155">
        <v>3.26</v>
      </c>
      <c r="G53" s="113"/>
      <c r="H53" s="113"/>
      <c r="I53" s="155"/>
      <c r="J53" s="156"/>
      <c r="K53" s="156"/>
      <c r="L53" s="113"/>
      <c r="M53" s="157"/>
      <c r="N53" s="157"/>
      <c r="O53" s="190">
        <f t="shared" si="158"/>
        <v>7628.4</v>
      </c>
      <c r="P53" s="400">
        <v>54363</v>
      </c>
      <c r="Q53" s="212" t="s">
        <v>129</v>
      </c>
      <c r="R53" s="171">
        <f t="shared" si="159"/>
        <v>14</v>
      </c>
      <c r="S53" s="398">
        <v>13</v>
      </c>
      <c r="T53" s="398">
        <v>7</v>
      </c>
      <c r="U53" s="113">
        <f t="shared" si="163"/>
        <v>278</v>
      </c>
      <c r="V53" s="209">
        <f t="shared" si="164"/>
        <v>23.5</v>
      </c>
      <c r="W53" s="398">
        <v>23</v>
      </c>
      <c r="X53" s="398">
        <v>2</v>
      </c>
      <c r="Y53" s="157"/>
      <c r="Z53" s="157"/>
      <c r="AA53" s="157"/>
      <c r="AB53" s="157"/>
      <c r="AC53" s="180">
        <f t="shared" ref="AC53:AC56" si="179">AD53+AE53+AF53</f>
        <v>526359.59999999986</v>
      </c>
      <c r="AD53" s="180">
        <f t="shared" ref="AD53:AD63" si="180">0.8*60*O53</f>
        <v>366163.19999999995</v>
      </c>
      <c r="AE53" s="180">
        <f t="shared" ref="AE53:AE56" si="181">1.5*O53*R53</f>
        <v>160196.39999999997</v>
      </c>
      <c r="AF53" s="180"/>
      <c r="AG53" s="180">
        <f t="shared" si="167"/>
        <v>0</v>
      </c>
      <c r="AH53" s="180">
        <f t="shared" si="168"/>
        <v>526360</v>
      </c>
      <c r="AI53" s="157"/>
      <c r="AJ53" s="388">
        <f t="shared" si="169"/>
        <v>526360</v>
      </c>
      <c r="AS53" s="297"/>
    </row>
    <row r="54" spans="1:45" ht="68.400000000000006" customHeight="1" x14ac:dyDescent="0.25">
      <c r="A54" s="153">
        <v>23</v>
      </c>
      <c r="B54" s="396" t="s">
        <v>305</v>
      </c>
      <c r="C54" s="397" t="s">
        <v>306</v>
      </c>
      <c r="D54" s="391"/>
      <c r="E54" s="391" t="s">
        <v>338</v>
      </c>
      <c r="F54" s="155">
        <v>4.0599999999999996</v>
      </c>
      <c r="G54" s="113"/>
      <c r="H54" s="113"/>
      <c r="I54" s="156"/>
      <c r="J54" s="156"/>
      <c r="K54" s="156"/>
      <c r="L54" s="113"/>
      <c r="M54" s="157"/>
      <c r="N54" s="157"/>
      <c r="O54" s="190">
        <f t="shared" si="158"/>
        <v>9500.4</v>
      </c>
      <c r="P54" s="397" t="s">
        <v>347</v>
      </c>
      <c r="Q54" s="212" t="s">
        <v>129</v>
      </c>
      <c r="R54" s="171">
        <f t="shared" si="159"/>
        <v>23.5</v>
      </c>
      <c r="S54" s="398">
        <v>23</v>
      </c>
      <c r="T54" s="398">
        <v>4</v>
      </c>
      <c r="U54" s="113">
        <f t="shared" si="163"/>
        <v>191</v>
      </c>
      <c r="V54" s="209">
        <f t="shared" si="164"/>
        <v>16</v>
      </c>
      <c r="W54" s="398">
        <v>15</v>
      </c>
      <c r="X54" s="398">
        <v>11</v>
      </c>
      <c r="Y54" s="157"/>
      <c r="Z54" s="157"/>
      <c r="AA54" s="157"/>
      <c r="AB54" s="157"/>
      <c r="AC54" s="180">
        <f t="shared" si="179"/>
        <v>790908.29999999993</v>
      </c>
      <c r="AD54" s="180">
        <f t="shared" si="180"/>
        <v>456019.19999999995</v>
      </c>
      <c r="AE54" s="180">
        <f t="shared" si="181"/>
        <v>334889.09999999998</v>
      </c>
      <c r="AF54" s="180"/>
      <c r="AG54" s="180">
        <f t="shared" si="167"/>
        <v>0</v>
      </c>
      <c r="AH54" s="180">
        <f t="shared" si="168"/>
        <v>790908</v>
      </c>
      <c r="AI54" s="157"/>
      <c r="AJ54" s="388">
        <f t="shared" si="169"/>
        <v>790908</v>
      </c>
      <c r="AS54" s="297"/>
    </row>
    <row r="55" spans="1:45" ht="68.400000000000006" customHeight="1" x14ac:dyDescent="0.25">
      <c r="A55" s="153">
        <v>24</v>
      </c>
      <c r="B55" s="403" t="s">
        <v>307</v>
      </c>
      <c r="C55" s="397" t="s">
        <v>308</v>
      </c>
      <c r="D55" s="391"/>
      <c r="E55" s="391" t="s">
        <v>338</v>
      </c>
      <c r="F55" s="155">
        <v>3.26</v>
      </c>
      <c r="G55" s="113"/>
      <c r="H55" s="113"/>
      <c r="I55" s="156"/>
      <c r="J55" s="156"/>
      <c r="K55" s="156"/>
      <c r="L55" s="113"/>
      <c r="M55" s="157"/>
      <c r="N55" s="157"/>
      <c r="O55" s="190">
        <f t="shared" si="158"/>
        <v>7628.4</v>
      </c>
      <c r="P55" s="397" t="s">
        <v>348</v>
      </c>
      <c r="Q55" s="212" t="s">
        <v>129</v>
      </c>
      <c r="R55" s="171">
        <f t="shared" si="159"/>
        <v>14</v>
      </c>
      <c r="S55" s="398">
        <v>13</v>
      </c>
      <c r="T55" s="398">
        <v>7</v>
      </c>
      <c r="U55" s="113">
        <f t="shared" si="163"/>
        <v>258</v>
      </c>
      <c r="V55" s="209">
        <f t="shared" si="164"/>
        <v>21.5</v>
      </c>
      <c r="W55" s="398">
        <v>21</v>
      </c>
      <c r="X55" s="398">
        <v>6</v>
      </c>
      <c r="Y55" s="157"/>
      <c r="Z55" s="157"/>
      <c r="AA55" s="157"/>
      <c r="AB55" s="157"/>
      <c r="AC55" s="180">
        <f t="shared" si="179"/>
        <v>526359.59999999986</v>
      </c>
      <c r="AD55" s="180">
        <f t="shared" si="180"/>
        <v>366163.19999999995</v>
      </c>
      <c r="AE55" s="180">
        <f t="shared" si="181"/>
        <v>160196.39999999997</v>
      </c>
      <c r="AF55" s="180"/>
      <c r="AG55" s="180">
        <f t="shared" si="167"/>
        <v>0</v>
      </c>
      <c r="AH55" s="180">
        <f t="shared" si="168"/>
        <v>526360</v>
      </c>
      <c r="AI55" s="157"/>
      <c r="AJ55" s="388">
        <f t="shared" si="169"/>
        <v>526360</v>
      </c>
      <c r="AS55" s="297"/>
    </row>
    <row r="56" spans="1:45" ht="68.400000000000006" customHeight="1" x14ac:dyDescent="0.25">
      <c r="A56" s="153">
        <v>25</v>
      </c>
      <c r="B56" s="396" t="s">
        <v>309</v>
      </c>
      <c r="C56" s="397" t="s">
        <v>310</v>
      </c>
      <c r="D56" s="391"/>
      <c r="E56" s="391" t="s">
        <v>339</v>
      </c>
      <c r="F56" s="155">
        <v>3.66</v>
      </c>
      <c r="G56" s="113"/>
      <c r="H56" s="113"/>
      <c r="I56" s="156"/>
      <c r="J56" s="156"/>
      <c r="K56" s="156"/>
      <c r="L56" s="113"/>
      <c r="M56" s="157"/>
      <c r="N56" s="157"/>
      <c r="O56" s="190">
        <f t="shared" si="158"/>
        <v>8564.4</v>
      </c>
      <c r="P56" s="397" t="s">
        <v>349</v>
      </c>
      <c r="Q56" s="212" t="s">
        <v>129</v>
      </c>
      <c r="R56" s="171">
        <f t="shared" si="159"/>
        <v>20.5</v>
      </c>
      <c r="S56" s="398">
        <v>20</v>
      </c>
      <c r="T56" s="398">
        <v>3</v>
      </c>
      <c r="U56" s="113">
        <f t="shared" si="163"/>
        <v>177</v>
      </c>
      <c r="V56" s="209">
        <f t="shared" si="164"/>
        <v>15</v>
      </c>
      <c r="W56" s="398">
        <v>14</v>
      </c>
      <c r="X56" s="398">
        <v>9</v>
      </c>
      <c r="Y56" s="157"/>
      <c r="Z56" s="157"/>
      <c r="AA56" s="157"/>
      <c r="AB56" s="157"/>
      <c r="AC56" s="180">
        <f t="shared" si="179"/>
        <v>674446.5</v>
      </c>
      <c r="AD56" s="180">
        <f t="shared" si="180"/>
        <v>411091.19999999995</v>
      </c>
      <c r="AE56" s="180">
        <f t="shared" si="181"/>
        <v>263355.3</v>
      </c>
      <c r="AF56" s="180"/>
      <c r="AG56" s="180">
        <f t="shared" si="167"/>
        <v>0</v>
      </c>
      <c r="AH56" s="180">
        <f t="shared" si="168"/>
        <v>674447</v>
      </c>
      <c r="AI56" s="157"/>
      <c r="AJ56" s="388">
        <f t="shared" si="169"/>
        <v>674447</v>
      </c>
      <c r="AS56" s="297"/>
    </row>
    <row r="57" spans="1:45" ht="68.400000000000006" customHeight="1" x14ac:dyDescent="0.25">
      <c r="A57" s="153">
        <v>26</v>
      </c>
      <c r="B57" s="396" t="s">
        <v>311</v>
      </c>
      <c r="C57" s="397" t="s">
        <v>312</v>
      </c>
      <c r="D57" s="391"/>
      <c r="E57" s="391" t="s">
        <v>339</v>
      </c>
      <c r="F57" s="155">
        <v>4.0599999999999996</v>
      </c>
      <c r="G57" s="113"/>
      <c r="H57" s="113"/>
      <c r="I57" s="155">
        <f>F57*6%</f>
        <v>0.24359999999999996</v>
      </c>
      <c r="J57" s="156"/>
      <c r="K57" s="156"/>
      <c r="L57" s="113"/>
      <c r="M57" s="157"/>
      <c r="N57" s="157"/>
      <c r="O57" s="190">
        <f t="shared" si="158"/>
        <v>10070.423999999999</v>
      </c>
      <c r="P57" s="397" t="s">
        <v>350</v>
      </c>
      <c r="Q57" s="212" t="s">
        <v>129</v>
      </c>
      <c r="R57" s="171">
        <f t="shared" si="159"/>
        <v>26</v>
      </c>
      <c r="S57" s="398">
        <v>25</v>
      </c>
      <c r="T57" s="398">
        <v>8</v>
      </c>
      <c r="U57" s="113">
        <f t="shared" si="163"/>
        <v>91</v>
      </c>
      <c r="V57" s="209">
        <f t="shared" si="164"/>
        <v>8</v>
      </c>
      <c r="W57" s="398">
        <v>7</v>
      </c>
      <c r="X57" s="398">
        <v>7</v>
      </c>
      <c r="Y57" s="157"/>
      <c r="Z57" s="157"/>
      <c r="AA57" s="157"/>
      <c r="AB57" s="157"/>
      <c r="AC57" s="180">
        <f t="shared" ref="AC57" si="182">AD57+AE57+AF57</f>
        <v>876126.88799999992</v>
      </c>
      <c r="AD57" s="180">
        <f t="shared" si="180"/>
        <v>483380.35199999996</v>
      </c>
      <c r="AE57" s="180">
        <f t="shared" ref="AE57" si="183">1.5*O57*R57</f>
        <v>392746.53599999996</v>
      </c>
      <c r="AF57" s="180"/>
      <c r="AG57" s="180">
        <f t="shared" si="167"/>
        <v>0</v>
      </c>
      <c r="AH57" s="180">
        <f t="shared" si="168"/>
        <v>876127</v>
      </c>
      <c r="AI57" s="157"/>
      <c r="AJ57" s="388">
        <f t="shared" si="169"/>
        <v>876127</v>
      </c>
      <c r="AS57" s="297"/>
    </row>
    <row r="58" spans="1:45" ht="68.400000000000006" customHeight="1" x14ac:dyDescent="0.25">
      <c r="A58" s="153">
        <v>27</v>
      </c>
      <c r="B58" s="396" t="s">
        <v>313</v>
      </c>
      <c r="C58" s="397" t="s">
        <v>314</v>
      </c>
      <c r="D58" s="391"/>
      <c r="E58" s="391" t="s">
        <v>329</v>
      </c>
      <c r="F58" s="155">
        <v>3.66</v>
      </c>
      <c r="G58" s="113"/>
      <c r="H58" s="113"/>
      <c r="I58" s="156"/>
      <c r="J58" s="156"/>
      <c r="K58" s="156"/>
      <c r="L58" s="113"/>
      <c r="M58" s="157"/>
      <c r="N58" s="157"/>
      <c r="O58" s="190">
        <f t="shared" si="158"/>
        <v>8564.4</v>
      </c>
      <c r="P58" s="397" t="s">
        <v>351</v>
      </c>
      <c r="Q58" s="212" t="s">
        <v>129</v>
      </c>
      <c r="R58" s="171">
        <f t="shared" si="159"/>
        <v>22.5</v>
      </c>
      <c r="S58" s="398">
        <v>22</v>
      </c>
      <c r="T58" s="398">
        <v>6</v>
      </c>
      <c r="U58" s="113">
        <f t="shared" si="163"/>
        <v>204</v>
      </c>
      <c r="V58" s="209">
        <f t="shared" si="164"/>
        <v>17</v>
      </c>
      <c r="W58" s="398">
        <v>17</v>
      </c>
      <c r="X58" s="398">
        <v>0</v>
      </c>
      <c r="Y58" s="157"/>
      <c r="Z58" s="157"/>
      <c r="AA58" s="157"/>
      <c r="AB58" s="157"/>
      <c r="AC58" s="180">
        <f t="shared" ref="AC58:AC61" si="184">AD58+AE58+AF58</f>
        <v>700139.7</v>
      </c>
      <c r="AD58" s="180">
        <f t="shared" si="180"/>
        <v>411091.19999999995</v>
      </c>
      <c r="AE58" s="180">
        <f t="shared" ref="AE58:AE61" si="185">1.5*O58*R58</f>
        <v>289048.49999999994</v>
      </c>
      <c r="AF58" s="180"/>
      <c r="AG58" s="180">
        <f t="shared" si="167"/>
        <v>0</v>
      </c>
      <c r="AH58" s="180">
        <f t="shared" si="168"/>
        <v>700140</v>
      </c>
      <c r="AI58" s="157"/>
      <c r="AJ58" s="388">
        <f t="shared" si="169"/>
        <v>700140</v>
      </c>
      <c r="AS58" s="297"/>
    </row>
    <row r="59" spans="1:45" ht="68.400000000000006" customHeight="1" x14ac:dyDescent="0.25">
      <c r="A59" s="153">
        <v>28</v>
      </c>
      <c r="B59" s="396" t="s">
        <v>315</v>
      </c>
      <c r="C59" s="402">
        <v>30382</v>
      </c>
      <c r="D59" s="391"/>
      <c r="E59" s="391" t="s">
        <v>336</v>
      </c>
      <c r="F59" s="155">
        <v>3.26</v>
      </c>
      <c r="G59" s="113"/>
      <c r="H59" s="113"/>
      <c r="I59" s="156"/>
      <c r="J59" s="156"/>
      <c r="K59" s="156"/>
      <c r="L59" s="113"/>
      <c r="M59" s="157"/>
      <c r="N59" s="157"/>
      <c r="O59" s="190">
        <f t="shared" si="158"/>
        <v>7628.4</v>
      </c>
      <c r="P59" s="402">
        <v>52322</v>
      </c>
      <c r="Q59" s="212" t="s">
        <v>129</v>
      </c>
      <c r="R59" s="171">
        <f t="shared" si="159"/>
        <v>20.5</v>
      </c>
      <c r="S59" s="398">
        <v>20</v>
      </c>
      <c r="T59" s="398">
        <v>1</v>
      </c>
      <c r="U59" s="113">
        <f t="shared" si="163"/>
        <v>211</v>
      </c>
      <c r="V59" s="209">
        <f t="shared" si="164"/>
        <v>18</v>
      </c>
      <c r="W59" s="398">
        <v>17</v>
      </c>
      <c r="X59" s="398">
        <v>7</v>
      </c>
      <c r="Y59" s="157"/>
      <c r="Z59" s="157"/>
      <c r="AA59" s="157"/>
      <c r="AB59" s="157"/>
      <c r="AC59" s="180">
        <f t="shared" si="184"/>
        <v>600736.49999999988</v>
      </c>
      <c r="AD59" s="180">
        <f t="shared" si="180"/>
        <v>366163.19999999995</v>
      </c>
      <c r="AE59" s="180">
        <f t="shared" si="185"/>
        <v>234573.29999999996</v>
      </c>
      <c r="AF59" s="180"/>
      <c r="AG59" s="180">
        <f t="shared" si="167"/>
        <v>0</v>
      </c>
      <c r="AH59" s="180">
        <f t="shared" si="168"/>
        <v>600737</v>
      </c>
      <c r="AI59" s="157"/>
      <c r="AJ59" s="388">
        <f t="shared" si="169"/>
        <v>600737</v>
      </c>
      <c r="AS59" s="297"/>
    </row>
    <row r="60" spans="1:45" ht="68.400000000000006" customHeight="1" x14ac:dyDescent="0.25">
      <c r="A60" s="153">
        <v>29</v>
      </c>
      <c r="B60" s="396" t="s">
        <v>316</v>
      </c>
      <c r="C60" s="397" t="s">
        <v>317</v>
      </c>
      <c r="D60" s="391"/>
      <c r="E60" s="391" t="s">
        <v>338</v>
      </c>
      <c r="F60" s="155">
        <v>3.46</v>
      </c>
      <c r="G60" s="113"/>
      <c r="H60" s="113"/>
      <c r="I60" s="156"/>
      <c r="J60" s="156"/>
      <c r="K60" s="156"/>
      <c r="L60" s="113"/>
      <c r="M60" s="157"/>
      <c r="N60" s="157"/>
      <c r="O60" s="190">
        <f t="shared" si="158"/>
        <v>8096.4</v>
      </c>
      <c r="P60" s="397" t="s">
        <v>352</v>
      </c>
      <c r="Q60" s="212" t="s">
        <v>129</v>
      </c>
      <c r="R60" s="171">
        <f t="shared" si="159"/>
        <v>18</v>
      </c>
      <c r="S60" s="398">
        <v>17</v>
      </c>
      <c r="T60" s="398">
        <v>7</v>
      </c>
      <c r="U60" s="113">
        <f t="shared" si="163"/>
        <v>226</v>
      </c>
      <c r="V60" s="209">
        <f t="shared" si="164"/>
        <v>19</v>
      </c>
      <c r="W60" s="398">
        <v>18</v>
      </c>
      <c r="X60" s="398">
        <v>10</v>
      </c>
      <c r="Y60" s="157"/>
      <c r="Z60" s="157"/>
      <c r="AA60" s="157"/>
      <c r="AB60" s="157"/>
      <c r="AC60" s="180">
        <f t="shared" si="184"/>
        <v>607230</v>
      </c>
      <c r="AD60" s="180">
        <f t="shared" si="180"/>
        <v>388627.19999999995</v>
      </c>
      <c r="AE60" s="180">
        <f t="shared" si="185"/>
        <v>218602.8</v>
      </c>
      <c r="AF60" s="180"/>
      <c r="AG60" s="180">
        <f t="shared" si="167"/>
        <v>0</v>
      </c>
      <c r="AH60" s="180">
        <f t="shared" si="168"/>
        <v>607230</v>
      </c>
      <c r="AI60" s="157"/>
      <c r="AJ60" s="388">
        <f t="shared" si="169"/>
        <v>607230</v>
      </c>
      <c r="AS60" s="297"/>
    </row>
    <row r="61" spans="1:45" ht="68.400000000000006" customHeight="1" x14ac:dyDescent="0.25">
      <c r="A61" s="153">
        <v>30</v>
      </c>
      <c r="B61" s="396" t="s">
        <v>318</v>
      </c>
      <c r="C61" s="397" t="s">
        <v>319</v>
      </c>
      <c r="D61" s="391"/>
      <c r="E61" s="391" t="s">
        <v>340</v>
      </c>
      <c r="F61" s="155">
        <v>3.99</v>
      </c>
      <c r="G61" s="113"/>
      <c r="H61" s="113"/>
      <c r="I61" s="156"/>
      <c r="J61" s="156"/>
      <c r="K61" s="156"/>
      <c r="L61" s="113"/>
      <c r="M61" s="157"/>
      <c r="N61" s="157"/>
      <c r="O61" s="190">
        <f t="shared" si="158"/>
        <v>9336.6</v>
      </c>
      <c r="P61" s="397" t="s">
        <v>353</v>
      </c>
      <c r="Q61" s="212" t="s">
        <v>129</v>
      </c>
      <c r="R61" s="171">
        <f t="shared" si="159"/>
        <v>21.5</v>
      </c>
      <c r="S61" s="398">
        <v>21</v>
      </c>
      <c r="T61" s="398">
        <v>1</v>
      </c>
      <c r="U61" s="113">
        <f t="shared" si="163"/>
        <v>76</v>
      </c>
      <c r="V61" s="209">
        <f t="shared" si="164"/>
        <v>6.5</v>
      </c>
      <c r="W61" s="398">
        <v>6</v>
      </c>
      <c r="X61" s="398">
        <v>4</v>
      </c>
      <c r="Y61" s="157"/>
      <c r="Z61" s="157">
        <f t="shared" ref="Z61" si="186">SUM(AA61:AB61)</f>
        <v>0</v>
      </c>
      <c r="AA61" s="157"/>
      <c r="AB61" s="157"/>
      <c r="AC61" s="180">
        <f t="shared" si="184"/>
        <v>749262.15000000014</v>
      </c>
      <c r="AD61" s="180">
        <f t="shared" si="180"/>
        <v>448156.80000000005</v>
      </c>
      <c r="AE61" s="180">
        <f t="shared" si="185"/>
        <v>301105.35000000003</v>
      </c>
      <c r="AF61" s="180"/>
      <c r="AG61" s="180">
        <f t="shared" si="167"/>
        <v>0</v>
      </c>
      <c r="AH61" s="180">
        <f t="shared" si="168"/>
        <v>749262</v>
      </c>
      <c r="AI61" s="157"/>
      <c r="AJ61" s="388">
        <f t="shared" si="169"/>
        <v>749262</v>
      </c>
      <c r="AS61" s="297"/>
    </row>
    <row r="62" spans="1:45" ht="68.400000000000006" customHeight="1" x14ac:dyDescent="0.25">
      <c r="A62" s="153">
        <v>31</v>
      </c>
      <c r="B62" s="396" t="s">
        <v>320</v>
      </c>
      <c r="C62" s="397" t="s">
        <v>321</v>
      </c>
      <c r="D62" s="391"/>
      <c r="E62" s="391" t="s">
        <v>341</v>
      </c>
      <c r="F62" s="155">
        <v>3.27</v>
      </c>
      <c r="G62" s="113"/>
      <c r="H62" s="113"/>
      <c r="I62" s="156"/>
      <c r="J62" s="156"/>
      <c r="K62" s="156"/>
      <c r="L62" s="113"/>
      <c r="M62" s="157"/>
      <c r="N62" s="157"/>
      <c r="O62" s="190">
        <f t="shared" si="158"/>
        <v>7651.8</v>
      </c>
      <c r="P62" s="397" t="s">
        <v>354</v>
      </c>
      <c r="Q62" s="212" t="s">
        <v>129</v>
      </c>
      <c r="R62" s="171">
        <f t="shared" si="159"/>
        <v>23</v>
      </c>
      <c r="S62" s="398">
        <v>22</v>
      </c>
      <c r="T62" s="398">
        <v>9</v>
      </c>
      <c r="U62" s="113">
        <f t="shared" si="163"/>
        <v>82</v>
      </c>
      <c r="V62" s="209">
        <f t="shared" si="164"/>
        <v>7</v>
      </c>
      <c r="W62" s="398">
        <v>6</v>
      </c>
      <c r="X62" s="398">
        <v>10</v>
      </c>
      <c r="Y62" s="157"/>
      <c r="Z62" s="157"/>
      <c r="AA62" s="157"/>
      <c r="AB62" s="157"/>
      <c r="AC62" s="180">
        <f t="shared" ref="AC62" si="187">AD62+AE62+AF62</f>
        <v>631273.5</v>
      </c>
      <c r="AD62" s="180">
        <f t="shared" si="180"/>
        <v>367286.4</v>
      </c>
      <c r="AE62" s="180">
        <f t="shared" ref="AE62" si="188">1.5*O62*R62</f>
        <v>263987.10000000003</v>
      </c>
      <c r="AF62" s="180"/>
      <c r="AG62" s="180">
        <f t="shared" si="167"/>
        <v>0</v>
      </c>
      <c r="AH62" s="180">
        <f t="shared" si="168"/>
        <v>631274</v>
      </c>
      <c r="AI62" s="157"/>
      <c r="AJ62" s="388">
        <f t="shared" si="169"/>
        <v>631274</v>
      </c>
      <c r="AS62" s="297"/>
    </row>
    <row r="63" spans="1:45" ht="68.400000000000006" customHeight="1" x14ac:dyDescent="0.25">
      <c r="A63" s="153">
        <v>32</v>
      </c>
      <c r="B63" s="399" t="s">
        <v>322</v>
      </c>
      <c r="C63" s="400" t="s">
        <v>323</v>
      </c>
      <c r="D63" s="391"/>
      <c r="E63" s="391" t="s">
        <v>335</v>
      </c>
      <c r="F63" s="155">
        <v>3.86</v>
      </c>
      <c r="G63" s="113"/>
      <c r="H63" s="113"/>
      <c r="I63" s="156"/>
      <c r="J63" s="156"/>
      <c r="K63" s="156"/>
      <c r="L63" s="113"/>
      <c r="M63" s="157"/>
      <c r="N63" s="157"/>
      <c r="O63" s="190">
        <f t="shared" si="158"/>
        <v>9032.4</v>
      </c>
      <c r="P63" s="400" t="s">
        <v>355</v>
      </c>
      <c r="Q63" s="212" t="s">
        <v>129</v>
      </c>
      <c r="R63" s="171">
        <f t="shared" si="159"/>
        <v>22</v>
      </c>
      <c r="S63" s="398">
        <v>21</v>
      </c>
      <c r="T63" s="398">
        <v>8</v>
      </c>
      <c r="U63" s="113">
        <f t="shared" si="163"/>
        <v>203</v>
      </c>
      <c r="V63" s="209">
        <f t="shared" si="164"/>
        <v>17</v>
      </c>
      <c r="W63" s="398">
        <v>16</v>
      </c>
      <c r="X63" s="398">
        <v>11</v>
      </c>
      <c r="Y63" s="157"/>
      <c r="Z63" s="157"/>
      <c r="AA63" s="157"/>
      <c r="AB63" s="157"/>
      <c r="AC63" s="180">
        <f t="shared" ref="AC63" si="189">AD63+AE63+AF63</f>
        <v>731624.39999999991</v>
      </c>
      <c r="AD63" s="180">
        <f t="shared" si="180"/>
        <v>433555.19999999995</v>
      </c>
      <c r="AE63" s="180">
        <f t="shared" ref="AE63" si="190">1.5*O63*R63</f>
        <v>298069.19999999995</v>
      </c>
      <c r="AF63" s="180"/>
      <c r="AG63" s="180">
        <f t="shared" si="167"/>
        <v>0</v>
      </c>
      <c r="AH63" s="180">
        <f t="shared" si="168"/>
        <v>731624</v>
      </c>
      <c r="AI63" s="157"/>
      <c r="AJ63" s="388">
        <f t="shared" si="169"/>
        <v>731624</v>
      </c>
      <c r="AS63" s="297"/>
    </row>
    <row r="64" spans="1:45" ht="68.400000000000006" customHeight="1" x14ac:dyDescent="0.25">
      <c r="A64" s="153">
        <v>33</v>
      </c>
      <c r="B64" s="396" t="s">
        <v>324</v>
      </c>
      <c r="C64" s="397" t="s">
        <v>325</v>
      </c>
      <c r="D64" s="391"/>
      <c r="E64" s="391" t="s">
        <v>342</v>
      </c>
      <c r="F64" s="155">
        <v>4.9800000000000004</v>
      </c>
      <c r="G64" s="113"/>
      <c r="H64" s="113">
        <v>0.2</v>
      </c>
      <c r="I64" s="155">
        <f>F64*7%</f>
        <v>0.34860000000000008</v>
      </c>
      <c r="J64" s="156"/>
      <c r="K64" s="156"/>
      <c r="L64" s="113"/>
      <c r="M64" s="157"/>
      <c r="N64" s="157"/>
      <c r="O64" s="190">
        <f t="shared" si="158"/>
        <v>12936.924000000003</v>
      </c>
      <c r="P64" s="397" t="s">
        <v>356</v>
      </c>
      <c r="Q64" s="212" t="s">
        <v>129</v>
      </c>
      <c r="R64" s="171">
        <f t="shared" si="159"/>
        <v>37</v>
      </c>
      <c r="S64" s="398">
        <v>36</v>
      </c>
      <c r="T64" s="398">
        <v>11</v>
      </c>
      <c r="U64" s="113">
        <f t="shared" si="163"/>
        <v>63</v>
      </c>
      <c r="V64" s="209">
        <f t="shared" si="164"/>
        <v>5.5</v>
      </c>
      <c r="W64" s="398">
        <v>5</v>
      </c>
      <c r="X64" s="398">
        <v>3</v>
      </c>
      <c r="Y64" s="157">
        <f t="shared" ref="Y64:Y65" si="191">0.9*60*O64</f>
        <v>698593.89600000018</v>
      </c>
      <c r="Z64" s="157">
        <f t="shared" ref="Z64:Z65" si="192">SUM(AA64:AB64)</f>
        <v>478666.18800000008</v>
      </c>
      <c r="AA64" s="157">
        <f>4*V64*O64</f>
        <v>284612.32800000004</v>
      </c>
      <c r="AB64" s="157">
        <f t="shared" ref="AB64:AB65" si="193">SUM(4*O64)+(0.5*(R64-15)*O64)</f>
        <v>194053.86000000004</v>
      </c>
      <c r="AC64" s="180"/>
      <c r="AD64" s="180"/>
      <c r="AE64" s="180"/>
      <c r="AF64" s="180"/>
      <c r="AG64" s="180">
        <f t="shared" si="167"/>
        <v>1177260</v>
      </c>
      <c r="AH64" s="180">
        <f t="shared" si="168"/>
        <v>0</v>
      </c>
      <c r="AI64" s="157"/>
      <c r="AJ64" s="388">
        <f t="shared" si="169"/>
        <v>1177260</v>
      </c>
      <c r="AS64" s="297"/>
    </row>
    <row r="65" spans="1:45" ht="68.400000000000006" customHeight="1" x14ac:dyDescent="0.25">
      <c r="A65" s="153">
        <v>34</v>
      </c>
      <c r="B65" s="396" t="s">
        <v>326</v>
      </c>
      <c r="C65" s="397" t="s">
        <v>327</v>
      </c>
      <c r="D65" s="391"/>
      <c r="E65" s="391" t="s">
        <v>137</v>
      </c>
      <c r="F65" s="155">
        <v>4.03</v>
      </c>
      <c r="G65" s="113"/>
      <c r="H65" s="113">
        <v>0.3</v>
      </c>
      <c r="I65" s="155">
        <f>F65*13%</f>
        <v>0.52390000000000003</v>
      </c>
      <c r="J65" s="156"/>
      <c r="K65" s="156"/>
      <c r="L65" s="113"/>
      <c r="M65" s="157"/>
      <c r="N65" s="157"/>
      <c r="O65" s="190">
        <f t="shared" si="158"/>
        <v>11358.126</v>
      </c>
      <c r="P65" s="397" t="s">
        <v>357</v>
      </c>
      <c r="Q65" s="212" t="s">
        <v>129</v>
      </c>
      <c r="R65" s="171">
        <f t="shared" si="159"/>
        <v>37.5</v>
      </c>
      <c r="S65" s="398">
        <v>37</v>
      </c>
      <c r="T65" s="398">
        <v>6</v>
      </c>
      <c r="U65" s="113">
        <f t="shared" si="163"/>
        <v>64</v>
      </c>
      <c r="V65" s="209">
        <f t="shared" si="164"/>
        <v>5.5</v>
      </c>
      <c r="W65" s="398">
        <v>5</v>
      </c>
      <c r="X65" s="398">
        <v>4</v>
      </c>
      <c r="Y65" s="157">
        <f t="shared" si="191"/>
        <v>613338.804</v>
      </c>
      <c r="Z65" s="157">
        <f t="shared" si="192"/>
        <v>423090.19349999999</v>
      </c>
      <c r="AA65" s="157">
        <f>4*V65*O65</f>
        <v>249878.772</v>
      </c>
      <c r="AB65" s="157">
        <f t="shared" si="193"/>
        <v>173211.4215</v>
      </c>
      <c r="AC65" s="180"/>
      <c r="AD65" s="180"/>
      <c r="AE65" s="180"/>
      <c r="AF65" s="180"/>
      <c r="AG65" s="180">
        <f t="shared" si="167"/>
        <v>1036429</v>
      </c>
      <c r="AH65" s="180">
        <f t="shared" si="168"/>
        <v>0</v>
      </c>
      <c r="AI65" s="157"/>
      <c r="AJ65" s="388">
        <f t="shared" si="169"/>
        <v>1036429</v>
      </c>
      <c r="AS65" s="297"/>
    </row>
    <row r="66" spans="1:45" ht="66" customHeight="1" x14ac:dyDescent="0.25">
      <c r="A66" s="153">
        <v>35</v>
      </c>
      <c r="B66" s="396" t="s">
        <v>328</v>
      </c>
      <c r="C66" s="397">
        <v>27612</v>
      </c>
      <c r="D66" s="391"/>
      <c r="E66" s="391" t="s">
        <v>343</v>
      </c>
      <c r="F66" s="155">
        <v>4.32</v>
      </c>
      <c r="G66" s="113"/>
      <c r="H66" s="113"/>
      <c r="I66" s="156"/>
      <c r="J66" s="156"/>
      <c r="K66" s="156"/>
      <c r="L66" s="113"/>
      <c r="M66" s="157"/>
      <c r="N66" s="157"/>
      <c r="O66" s="190">
        <f t="shared" si="158"/>
        <v>10108.800000000001</v>
      </c>
      <c r="P66" s="397">
        <v>46753</v>
      </c>
      <c r="Q66" s="212" t="s">
        <v>129</v>
      </c>
      <c r="R66" s="171">
        <f t="shared" si="159"/>
        <v>25</v>
      </c>
      <c r="S66" s="398">
        <v>24</v>
      </c>
      <c r="T66" s="398">
        <v>7</v>
      </c>
      <c r="U66" s="113">
        <f t="shared" si="163"/>
        <v>28</v>
      </c>
      <c r="V66" s="209">
        <f t="shared" si="164"/>
        <v>2.5</v>
      </c>
      <c r="W66" s="398">
        <v>2</v>
      </c>
      <c r="X66" s="398">
        <v>4</v>
      </c>
      <c r="Y66" s="157">
        <f>U66*O66</f>
        <v>283046.40000000002</v>
      </c>
      <c r="Z66" s="157">
        <f t="shared" ref="Z66" si="194">SUM(AA66:AB66)</f>
        <v>217339.2</v>
      </c>
      <c r="AA66" s="157">
        <f>5*V66*O66</f>
        <v>126360.00000000001</v>
      </c>
      <c r="AB66" s="157">
        <f t="shared" ref="AB66:AB67" si="195">SUM(4*O66)+(0.5*(R66-15)*O66)</f>
        <v>90979.200000000012</v>
      </c>
      <c r="AC66" s="180"/>
      <c r="AD66" s="180"/>
      <c r="AE66" s="180"/>
      <c r="AF66" s="180"/>
      <c r="AG66" s="180">
        <f t="shared" si="167"/>
        <v>500386</v>
      </c>
      <c r="AH66" s="180">
        <f t="shared" si="168"/>
        <v>0</v>
      </c>
      <c r="AI66" s="157"/>
      <c r="AJ66" s="388">
        <f t="shared" si="169"/>
        <v>500386</v>
      </c>
      <c r="AS66" s="297"/>
    </row>
    <row r="67" spans="1:45" ht="105" customHeight="1" x14ac:dyDescent="0.25">
      <c r="A67" s="153">
        <v>36</v>
      </c>
      <c r="B67" s="396" t="s">
        <v>360</v>
      </c>
      <c r="C67" s="397">
        <v>25423</v>
      </c>
      <c r="D67" s="391"/>
      <c r="E67" s="391" t="s">
        <v>361</v>
      </c>
      <c r="F67" s="155">
        <v>4.8899999999999997</v>
      </c>
      <c r="G67" s="113"/>
      <c r="H67" s="113">
        <v>0.3</v>
      </c>
      <c r="I67" s="157">
        <f>F67*8%</f>
        <v>0.39119999999999999</v>
      </c>
      <c r="J67" s="156"/>
      <c r="K67" s="156"/>
      <c r="L67" s="113"/>
      <c r="M67" s="157"/>
      <c r="N67" s="157"/>
      <c r="O67" s="190">
        <f>SUM(F67:N67)*2340</f>
        <v>13060.007999999998</v>
      </c>
      <c r="P67" s="397">
        <v>48092</v>
      </c>
      <c r="Q67" s="212" t="s">
        <v>129</v>
      </c>
      <c r="R67" s="171">
        <f t="shared" si="159"/>
        <v>37</v>
      </c>
      <c r="S67" s="398">
        <v>37</v>
      </c>
      <c r="T67" s="398">
        <v>0</v>
      </c>
      <c r="U67" s="113">
        <f t="shared" si="163"/>
        <v>72</v>
      </c>
      <c r="V67" s="209">
        <f t="shared" si="164"/>
        <v>6</v>
      </c>
      <c r="W67" s="398">
        <v>6</v>
      </c>
      <c r="X67" s="398">
        <v>0</v>
      </c>
      <c r="Y67" s="157">
        <f t="shared" ref="Y67" si="196">0.9*60*O67</f>
        <v>705240.43199999991</v>
      </c>
      <c r="Z67" s="157">
        <f t="shared" ref="Z67" si="197">SUM(AA67:AB67)</f>
        <v>509340.31199999992</v>
      </c>
      <c r="AA67" s="157">
        <f>4*V67*O67</f>
        <v>313440.19199999992</v>
      </c>
      <c r="AB67" s="157">
        <f t="shared" si="195"/>
        <v>195900.12</v>
      </c>
      <c r="AC67" s="180"/>
      <c r="AD67" s="180"/>
      <c r="AE67" s="180"/>
      <c r="AF67" s="180"/>
      <c r="AG67" s="180">
        <f t="shared" si="167"/>
        <v>1214581</v>
      </c>
      <c r="AH67" s="180">
        <f t="shared" si="168"/>
        <v>0</v>
      </c>
      <c r="AI67" s="157"/>
      <c r="AJ67" s="388">
        <f t="shared" si="169"/>
        <v>1214581</v>
      </c>
      <c r="AS67" s="297"/>
    </row>
    <row r="68" spans="1:45" s="276" customFormat="1" ht="42.75" customHeight="1" x14ac:dyDescent="0.25">
      <c r="A68" s="206" t="s">
        <v>199</v>
      </c>
      <c r="B68" s="496" t="s">
        <v>210</v>
      </c>
      <c r="C68" s="496"/>
      <c r="D68" s="404"/>
      <c r="E68" s="188"/>
      <c r="F68" s="206"/>
      <c r="G68" s="188"/>
      <c r="H68" s="386"/>
      <c r="I68" s="386"/>
      <c r="J68" s="405"/>
      <c r="K68" s="188"/>
      <c r="L68" s="188"/>
      <c r="M68" s="386"/>
      <c r="N68" s="406"/>
      <c r="O68" s="407"/>
      <c r="P68" s="408"/>
      <c r="Q68" s="409"/>
      <c r="R68" s="406"/>
      <c r="S68" s="188"/>
      <c r="T68" s="188"/>
      <c r="U68" s="188"/>
      <c r="V68" s="410"/>
      <c r="W68" s="188"/>
      <c r="X68" s="188"/>
      <c r="Y68" s="386">
        <f t="shared" ref="Y68:AJ68" si="198">SUM(Y69:Y71)</f>
        <v>2443033.71</v>
      </c>
      <c r="Z68" s="386">
        <f t="shared" si="198"/>
        <v>2065482.3150000004</v>
      </c>
      <c r="AA68" s="386">
        <f t="shared" si="198"/>
        <v>1542774.87</v>
      </c>
      <c r="AB68" s="386">
        <f t="shared" si="198"/>
        <v>522707.44500000007</v>
      </c>
      <c r="AC68" s="386">
        <f t="shared" si="198"/>
        <v>0</v>
      </c>
      <c r="AD68" s="386">
        <f t="shared" si="198"/>
        <v>0</v>
      </c>
      <c r="AE68" s="386">
        <f t="shared" si="198"/>
        <v>0</v>
      </c>
      <c r="AF68" s="386">
        <f t="shared" si="198"/>
        <v>0</v>
      </c>
      <c r="AG68" s="386">
        <f t="shared" si="198"/>
        <v>4508515</v>
      </c>
      <c r="AH68" s="386">
        <f t="shared" si="198"/>
        <v>0</v>
      </c>
      <c r="AI68" s="386">
        <f t="shared" si="198"/>
        <v>0</v>
      </c>
      <c r="AJ68" s="386">
        <f t="shared" si="198"/>
        <v>4508515</v>
      </c>
      <c r="AK68" s="417"/>
      <c r="AL68" s="417"/>
      <c r="AS68" s="297">
        <f t="shared" si="2"/>
        <v>1.025000000372529</v>
      </c>
    </row>
    <row r="69" spans="1:45" ht="54" customHeight="1" x14ac:dyDescent="0.25">
      <c r="A69" s="153">
        <v>1</v>
      </c>
      <c r="B69" s="154" t="s">
        <v>152</v>
      </c>
      <c r="C69" s="169" t="s">
        <v>153</v>
      </c>
      <c r="D69" s="113" t="s">
        <v>154</v>
      </c>
      <c r="E69" s="113" t="s">
        <v>155</v>
      </c>
      <c r="F69" s="155">
        <v>4.9800000000000004</v>
      </c>
      <c r="G69" s="113"/>
      <c r="H69" s="113">
        <v>0.3</v>
      </c>
      <c r="I69" s="157">
        <f>F69*6%</f>
        <v>0.29880000000000001</v>
      </c>
      <c r="J69" s="156"/>
      <c r="K69" s="156"/>
      <c r="L69" s="113"/>
      <c r="M69" s="157">
        <f>(F69+G69+H69+I69)*25%</f>
        <v>1.3947000000000001</v>
      </c>
      <c r="N69" s="157"/>
      <c r="O69" s="190">
        <f>SUM(F69:N69)*2340</f>
        <v>16317.990000000002</v>
      </c>
      <c r="P69" s="169" t="s">
        <v>156</v>
      </c>
      <c r="Q69" s="212" t="s">
        <v>129</v>
      </c>
      <c r="R69" s="171">
        <f>(S69)+(IF(T69=0,0,IF(T69&lt;7,1/2,1)))</f>
        <v>30.5</v>
      </c>
      <c r="S69" s="113">
        <v>30</v>
      </c>
      <c r="T69" s="113">
        <v>5</v>
      </c>
      <c r="U69" s="113">
        <f>(W69*12)+X69</f>
        <v>111</v>
      </c>
      <c r="V69" s="209">
        <f t="shared" ref="V69:V90" si="199">(W69)+(IF(X69=0,0,IF(X69&lt;7,1/2,1)))</f>
        <v>9.5</v>
      </c>
      <c r="W69" s="113">
        <v>9</v>
      </c>
      <c r="X69" s="113">
        <v>3</v>
      </c>
      <c r="Y69" s="157">
        <f>0.9*60*O69</f>
        <v>881171.46000000008</v>
      </c>
      <c r="Z69" s="157">
        <f>SUM(AA69:AB69)</f>
        <v>811820.00250000018</v>
      </c>
      <c r="AA69" s="157">
        <f t="shared" ref="AA69" si="200">4*V69*O69</f>
        <v>620083.62000000011</v>
      </c>
      <c r="AB69" s="157">
        <f t="shared" ref="AB69:AB76" si="201">SUM(4*O69)+(0.5*O69*(R69-15))</f>
        <v>191736.38250000001</v>
      </c>
      <c r="AC69" s="242"/>
      <c r="AD69" s="242"/>
      <c r="AE69" s="242"/>
      <c r="AF69" s="242"/>
      <c r="AG69" s="180">
        <f>ROUND(Y69+Z69,0)</f>
        <v>1692991</v>
      </c>
      <c r="AH69" s="180">
        <v>0</v>
      </c>
      <c r="AI69" s="180"/>
      <c r="AJ69" s="388">
        <f t="shared" ref="AJ69" si="202">AG69+AH69+AI69</f>
        <v>1692991</v>
      </c>
      <c r="AK69" s="125" t="s">
        <v>157</v>
      </c>
      <c r="AS69" s="297">
        <f t="shared" si="2"/>
        <v>0.46250000037252903</v>
      </c>
    </row>
    <row r="70" spans="1:45" ht="51" customHeight="1" x14ac:dyDescent="0.25">
      <c r="A70" s="153">
        <v>2</v>
      </c>
      <c r="B70" s="154" t="s">
        <v>158</v>
      </c>
      <c r="C70" s="169" t="s">
        <v>159</v>
      </c>
      <c r="D70" s="113" t="s">
        <v>154</v>
      </c>
      <c r="E70" s="113" t="s">
        <v>160</v>
      </c>
      <c r="F70" s="153">
        <v>4.6500000000000004</v>
      </c>
      <c r="G70" s="113"/>
      <c r="H70" s="157"/>
      <c r="I70" s="157"/>
      <c r="J70" s="156"/>
      <c r="K70" s="113"/>
      <c r="L70" s="113"/>
      <c r="M70" s="157">
        <f t="shared" ref="M70:M93" si="203">(F70+G70+H70+I70)*25%</f>
        <v>1.1625000000000001</v>
      </c>
      <c r="N70" s="171"/>
      <c r="O70" s="190">
        <f t="shared" ref="O70:O73" si="204">SUM(F70:N70)*2340</f>
        <v>13601.25</v>
      </c>
      <c r="P70" s="169" t="s">
        <v>161</v>
      </c>
      <c r="Q70" s="212" t="s">
        <v>129</v>
      </c>
      <c r="R70" s="171">
        <f t="shared" ref="R70:R90" si="205">(S70)+(IF(T70=0,0,IF(T70&lt;7,1/2,1)))</f>
        <v>30.5</v>
      </c>
      <c r="S70" s="113">
        <v>30</v>
      </c>
      <c r="T70" s="113">
        <v>5</v>
      </c>
      <c r="U70" s="113">
        <f t="shared" ref="U70:U93" si="206">(W70*12)+X70</f>
        <v>57</v>
      </c>
      <c r="V70" s="209">
        <f t="shared" si="199"/>
        <v>5</v>
      </c>
      <c r="W70" s="113">
        <v>4</v>
      </c>
      <c r="X70" s="113">
        <v>9</v>
      </c>
      <c r="Y70" s="157">
        <f>O70*U70</f>
        <v>775271.25</v>
      </c>
      <c r="Z70" s="157">
        <f t="shared" ref="Z70:Z89" si="207">SUM(AA70:AB70)</f>
        <v>499845.9375</v>
      </c>
      <c r="AA70" s="157">
        <f>5*V70*O70</f>
        <v>340031.25</v>
      </c>
      <c r="AB70" s="157">
        <f t="shared" si="201"/>
        <v>159814.6875</v>
      </c>
      <c r="AC70" s="180"/>
      <c r="AD70" s="180"/>
      <c r="AE70" s="180"/>
      <c r="AF70" s="180"/>
      <c r="AG70" s="180">
        <f t="shared" ref="AG70:AG90" si="208">ROUND(Y70+Z70,0)</f>
        <v>1275117</v>
      </c>
      <c r="AH70" s="180">
        <f t="shared" ref="AH70:AH83" si="209">AC70</f>
        <v>0</v>
      </c>
      <c r="AI70" s="157"/>
      <c r="AJ70" s="388">
        <f t="shared" ref="AJ70:AJ90" si="210">AG70+AH70+AI70</f>
        <v>1275117</v>
      </c>
      <c r="AL70" s="417"/>
      <c r="AS70" s="297">
        <f t="shared" si="2"/>
        <v>0.1875</v>
      </c>
    </row>
    <row r="71" spans="1:45" ht="42.75" customHeight="1" x14ac:dyDescent="0.25">
      <c r="A71" s="153">
        <v>3</v>
      </c>
      <c r="B71" s="154" t="s">
        <v>162</v>
      </c>
      <c r="C71" s="169" t="s">
        <v>163</v>
      </c>
      <c r="D71" s="113" t="s">
        <v>154</v>
      </c>
      <c r="E71" s="113" t="s">
        <v>160</v>
      </c>
      <c r="F71" s="153">
        <v>4.9800000000000004</v>
      </c>
      <c r="G71" s="113"/>
      <c r="H71" s="157"/>
      <c r="I71" s="157"/>
      <c r="J71" s="156"/>
      <c r="K71" s="113"/>
      <c r="L71" s="113"/>
      <c r="M71" s="157">
        <f t="shared" si="203"/>
        <v>1.2450000000000001</v>
      </c>
      <c r="N71" s="171"/>
      <c r="O71" s="190">
        <f t="shared" si="204"/>
        <v>14566.500000000002</v>
      </c>
      <c r="P71" s="169" t="s">
        <v>164</v>
      </c>
      <c r="Q71" s="212" t="s">
        <v>129</v>
      </c>
      <c r="R71" s="171">
        <f t="shared" si="205"/>
        <v>30.5</v>
      </c>
      <c r="S71" s="113">
        <v>30</v>
      </c>
      <c r="T71" s="113">
        <v>2</v>
      </c>
      <c r="U71" s="113">
        <f t="shared" si="206"/>
        <v>120</v>
      </c>
      <c r="V71" s="209">
        <f t="shared" si="199"/>
        <v>10</v>
      </c>
      <c r="W71" s="113">
        <v>10</v>
      </c>
      <c r="X71" s="113">
        <v>0</v>
      </c>
      <c r="Y71" s="157">
        <f t="shared" ref="Y71" si="211">0.9*60*O71</f>
        <v>786591.00000000012</v>
      </c>
      <c r="Z71" s="157">
        <f t="shared" si="207"/>
        <v>753816.37500000012</v>
      </c>
      <c r="AA71" s="157">
        <f>4*V71*O71</f>
        <v>582660.00000000012</v>
      </c>
      <c r="AB71" s="157">
        <f t="shared" si="201"/>
        <v>171156.37500000003</v>
      </c>
      <c r="AC71" s="180"/>
      <c r="AD71" s="180"/>
      <c r="AE71" s="180"/>
      <c r="AF71" s="180"/>
      <c r="AG71" s="180">
        <f t="shared" si="208"/>
        <v>1540407</v>
      </c>
      <c r="AH71" s="180">
        <f t="shared" si="209"/>
        <v>0</v>
      </c>
      <c r="AI71" s="157"/>
      <c r="AJ71" s="388">
        <f t="shared" si="210"/>
        <v>1540407</v>
      </c>
      <c r="AL71" s="417"/>
      <c r="AS71" s="297">
        <f t="shared" si="2"/>
        <v>0.37500000023283064</v>
      </c>
    </row>
    <row r="72" spans="1:45" ht="42.75" customHeight="1" x14ac:dyDescent="0.25">
      <c r="A72" s="206" t="s">
        <v>200</v>
      </c>
      <c r="B72" s="496" t="s">
        <v>165</v>
      </c>
      <c r="C72" s="496"/>
      <c r="D72" s="113"/>
      <c r="E72" s="113"/>
      <c r="F72" s="153"/>
      <c r="G72" s="113"/>
      <c r="H72" s="157"/>
      <c r="I72" s="157"/>
      <c r="J72" s="156"/>
      <c r="K72" s="113"/>
      <c r="L72" s="113"/>
      <c r="M72" s="157"/>
      <c r="N72" s="171"/>
      <c r="O72" s="190"/>
      <c r="P72" s="112"/>
      <c r="Q72" s="212"/>
      <c r="R72" s="171"/>
      <c r="S72" s="113"/>
      <c r="T72" s="113"/>
      <c r="U72" s="113"/>
      <c r="V72" s="209"/>
      <c r="W72" s="113"/>
      <c r="X72" s="113"/>
      <c r="Y72" s="386">
        <f>SUM(Y73:Y74)</f>
        <v>0</v>
      </c>
      <c r="Z72" s="386">
        <f t="shared" ref="Z72:AJ72" si="212">SUM(Z73:Z74)</f>
        <v>0</v>
      </c>
      <c r="AA72" s="386">
        <f t="shared" si="212"/>
        <v>0</v>
      </c>
      <c r="AB72" s="386">
        <f t="shared" si="212"/>
        <v>0</v>
      </c>
      <c r="AC72" s="386">
        <f t="shared" si="212"/>
        <v>1875393.0000000005</v>
      </c>
      <c r="AD72" s="386">
        <f t="shared" si="212"/>
        <v>1067040.0000000002</v>
      </c>
      <c r="AE72" s="386">
        <f t="shared" si="212"/>
        <v>764653.50000000012</v>
      </c>
      <c r="AF72" s="386">
        <f t="shared" si="212"/>
        <v>43699.500000000007</v>
      </c>
      <c r="AG72" s="386">
        <f t="shared" si="212"/>
        <v>0</v>
      </c>
      <c r="AH72" s="386">
        <f t="shared" si="212"/>
        <v>1875393</v>
      </c>
      <c r="AI72" s="386">
        <f t="shared" si="212"/>
        <v>0</v>
      </c>
      <c r="AJ72" s="386">
        <f t="shared" si="212"/>
        <v>1875393</v>
      </c>
      <c r="AL72" s="417"/>
      <c r="AS72" s="297">
        <f t="shared" si="2"/>
        <v>0</v>
      </c>
    </row>
    <row r="73" spans="1:45" ht="47.25" customHeight="1" x14ac:dyDescent="0.25">
      <c r="A73" s="153">
        <v>1</v>
      </c>
      <c r="B73" s="154" t="s">
        <v>166</v>
      </c>
      <c r="C73" s="169">
        <v>28745</v>
      </c>
      <c r="D73" s="113" t="s">
        <v>154</v>
      </c>
      <c r="E73" s="113" t="s">
        <v>167</v>
      </c>
      <c r="F73" s="153">
        <v>4.9800000000000004</v>
      </c>
      <c r="G73" s="113"/>
      <c r="H73" s="157"/>
      <c r="I73" s="157"/>
      <c r="J73" s="156"/>
      <c r="K73" s="113"/>
      <c r="L73" s="113"/>
      <c r="M73" s="157">
        <f t="shared" si="203"/>
        <v>1.2450000000000001</v>
      </c>
      <c r="N73" s="171"/>
      <c r="O73" s="190">
        <f t="shared" si="204"/>
        <v>14566.500000000002</v>
      </c>
      <c r="P73" s="169">
        <v>51410</v>
      </c>
      <c r="Q73" s="212" t="s">
        <v>129</v>
      </c>
      <c r="R73" s="171">
        <f t="shared" si="205"/>
        <v>25</v>
      </c>
      <c r="S73" s="113">
        <v>25</v>
      </c>
      <c r="T73" s="113">
        <v>0</v>
      </c>
      <c r="U73" s="113">
        <f t="shared" si="206"/>
        <v>181</v>
      </c>
      <c r="V73" s="209">
        <f t="shared" si="199"/>
        <v>15.5</v>
      </c>
      <c r="W73" s="113">
        <v>15</v>
      </c>
      <c r="X73" s="113">
        <v>1</v>
      </c>
      <c r="Y73" s="157"/>
      <c r="Z73" s="157"/>
      <c r="AA73" s="157"/>
      <c r="AB73" s="157"/>
      <c r="AC73" s="180">
        <f t="shared" ref="AC73:AC74" si="213">AD73+AE73+AF73</f>
        <v>1289135.2500000002</v>
      </c>
      <c r="AD73" s="180">
        <f>0.8*60*O73</f>
        <v>699192.00000000012</v>
      </c>
      <c r="AE73" s="180">
        <f>1.5*O73*R73</f>
        <v>546243.75000000012</v>
      </c>
      <c r="AF73" s="180">
        <f t="shared" ref="AF73" si="214">3*O73</f>
        <v>43699.500000000007</v>
      </c>
      <c r="AG73" s="180">
        <f t="shared" si="208"/>
        <v>0</v>
      </c>
      <c r="AH73" s="180">
        <f>ROUND(AC73,0)</f>
        <v>1289135</v>
      </c>
      <c r="AI73" s="157"/>
      <c r="AJ73" s="388">
        <f t="shared" si="210"/>
        <v>1289135</v>
      </c>
      <c r="AK73" s="125" t="s">
        <v>207</v>
      </c>
      <c r="AL73" s="417"/>
      <c r="AS73" s="297">
        <f t="shared" si="2"/>
        <v>0.25000000023283064</v>
      </c>
    </row>
    <row r="74" spans="1:45" ht="42.75" customHeight="1" x14ac:dyDescent="0.25">
      <c r="A74" s="153">
        <v>2</v>
      </c>
      <c r="B74" s="154" t="s">
        <v>168</v>
      </c>
      <c r="C74" s="169">
        <v>29989</v>
      </c>
      <c r="D74" s="113" t="s">
        <v>104</v>
      </c>
      <c r="E74" s="113" t="s">
        <v>169</v>
      </c>
      <c r="F74" s="153">
        <v>2.62</v>
      </c>
      <c r="G74" s="113"/>
      <c r="H74" s="157"/>
      <c r="I74" s="157"/>
      <c r="J74" s="156"/>
      <c r="K74" s="113"/>
      <c r="L74" s="113"/>
      <c r="M74" s="157">
        <f t="shared" si="203"/>
        <v>0.65500000000000003</v>
      </c>
      <c r="N74" s="171"/>
      <c r="O74" s="190">
        <f>SUM(F74:N74)*2340</f>
        <v>7663.5000000000009</v>
      </c>
      <c r="P74" s="169">
        <v>51926</v>
      </c>
      <c r="Q74" s="212" t="s">
        <v>129</v>
      </c>
      <c r="R74" s="171">
        <f t="shared" si="205"/>
        <v>19</v>
      </c>
      <c r="S74" s="113">
        <v>18</v>
      </c>
      <c r="T74" s="113">
        <v>8</v>
      </c>
      <c r="U74" s="113">
        <f t="shared" si="206"/>
        <v>198</v>
      </c>
      <c r="V74" s="209">
        <f t="shared" si="199"/>
        <v>16.5</v>
      </c>
      <c r="W74" s="113">
        <v>16</v>
      </c>
      <c r="X74" s="113">
        <v>6</v>
      </c>
      <c r="Y74" s="157"/>
      <c r="Z74" s="157"/>
      <c r="AA74" s="157"/>
      <c r="AB74" s="157"/>
      <c r="AC74" s="180">
        <f t="shared" si="213"/>
        <v>586257.75000000012</v>
      </c>
      <c r="AD74" s="180">
        <f t="shared" ref="AD74" si="215">0.8*60*O74</f>
        <v>367848.00000000006</v>
      </c>
      <c r="AE74" s="180">
        <f t="shared" ref="AE74" si="216">1.5*O74*R74</f>
        <v>218409.75000000003</v>
      </c>
      <c r="AF74" s="180"/>
      <c r="AG74" s="180">
        <f t="shared" si="208"/>
        <v>0</v>
      </c>
      <c r="AH74" s="180">
        <f>ROUND(AC74,0)</f>
        <v>586258</v>
      </c>
      <c r="AI74" s="157"/>
      <c r="AJ74" s="388">
        <f t="shared" si="210"/>
        <v>586258</v>
      </c>
      <c r="AK74" s="125" t="s">
        <v>170</v>
      </c>
      <c r="AL74" s="417"/>
      <c r="AS74" s="297">
        <f t="shared" si="2"/>
        <v>-0.24999999988358468</v>
      </c>
    </row>
    <row r="75" spans="1:45" ht="42.75" customHeight="1" x14ac:dyDescent="0.25">
      <c r="A75" s="206" t="s">
        <v>201</v>
      </c>
      <c r="B75" s="496" t="s">
        <v>359</v>
      </c>
      <c r="C75" s="496"/>
      <c r="D75" s="113"/>
      <c r="E75" s="444"/>
      <c r="F75" s="153"/>
      <c r="G75" s="113"/>
      <c r="H75" s="157"/>
      <c r="I75" s="157"/>
      <c r="J75" s="156"/>
      <c r="K75" s="113"/>
      <c r="L75" s="113"/>
      <c r="M75" s="157"/>
      <c r="N75" s="171"/>
      <c r="O75" s="190"/>
      <c r="P75" s="194"/>
      <c r="Q75" s="174"/>
      <c r="R75" s="171"/>
      <c r="S75" s="113"/>
      <c r="T75" s="113"/>
      <c r="U75" s="113"/>
      <c r="V75" s="209"/>
      <c r="W75" s="113"/>
      <c r="X75" s="113"/>
      <c r="Y75" s="386">
        <f>SUM(Y76:Y81)</f>
        <v>5062297.5000000009</v>
      </c>
      <c r="Z75" s="386">
        <f t="shared" ref="Z75:AJ75" si="217">SUM(Z76:Z81)</f>
        <v>3682077.7500000009</v>
      </c>
      <c r="AA75" s="386">
        <f t="shared" si="217"/>
        <v>2613616.2000000002</v>
      </c>
      <c r="AB75" s="386">
        <f t="shared" si="217"/>
        <v>1068461.55</v>
      </c>
      <c r="AC75" s="386">
        <f t="shared" si="217"/>
        <v>0</v>
      </c>
      <c r="AD75" s="386">
        <f t="shared" si="217"/>
        <v>0</v>
      </c>
      <c r="AE75" s="386">
        <f t="shared" si="217"/>
        <v>0</v>
      </c>
      <c r="AF75" s="386">
        <f t="shared" si="217"/>
        <v>0</v>
      </c>
      <c r="AG75" s="386">
        <f t="shared" si="217"/>
        <v>8744376</v>
      </c>
      <c r="AH75" s="386">
        <f t="shared" si="217"/>
        <v>0</v>
      </c>
      <c r="AI75" s="386">
        <f t="shared" si="217"/>
        <v>0</v>
      </c>
      <c r="AJ75" s="386">
        <f t="shared" si="217"/>
        <v>8744376</v>
      </c>
      <c r="AL75" s="417"/>
      <c r="AS75" s="297">
        <f t="shared" si="2"/>
        <v>-0.74999999813735485</v>
      </c>
    </row>
    <row r="76" spans="1:45" ht="42.75" customHeight="1" x14ac:dyDescent="0.25">
      <c r="A76" s="153">
        <v>1</v>
      </c>
      <c r="B76" s="154" t="s">
        <v>171</v>
      </c>
      <c r="C76" s="112">
        <v>26062</v>
      </c>
      <c r="D76" s="112" t="s">
        <v>49</v>
      </c>
      <c r="E76" s="113" t="s">
        <v>172</v>
      </c>
      <c r="F76" s="153">
        <v>4.9800000000000004</v>
      </c>
      <c r="G76" s="113"/>
      <c r="H76" s="157"/>
      <c r="I76" s="157"/>
      <c r="J76" s="156"/>
      <c r="K76" s="113"/>
      <c r="L76" s="113"/>
      <c r="M76" s="157">
        <f t="shared" si="203"/>
        <v>1.2450000000000001</v>
      </c>
      <c r="N76" s="171"/>
      <c r="O76" s="190">
        <f>SUM(F76:N76)*2340</f>
        <v>14566.500000000002</v>
      </c>
      <c r="P76" s="112">
        <v>47270</v>
      </c>
      <c r="Q76" s="212" t="s">
        <v>129</v>
      </c>
      <c r="R76" s="171">
        <f t="shared" si="205"/>
        <v>34.5</v>
      </c>
      <c r="S76" s="113">
        <v>34</v>
      </c>
      <c r="T76" s="113">
        <v>6</v>
      </c>
      <c r="U76" s="113">
        <f t="shared" si="206"/>
        <v>45</v>
      </c>
      <c r="V76" s="209">
        <f t="shared" si="199"/>
        <v>4</v>
      </c>
      <c r="W76" s="113">
        <v>3</v>
      </c>
      <c r="X76" s="113">
        <v>9</v>
      </c>
      <c r="Y76" s="157">
        <f>(1*U76*O76)</f>
        <v>655492.50000000012</v>
      </c>
      <c r="Z76" s="157">
        <f t="shared" si="207"/>
        <v>491619.37500000012</v>
      </c>
      <c r="AA76" s="157">
        <f t="shared" ref="AA76" si="218">5*V76*O76</f>
        <v>291330.00000000006</v>
      </c>
      <c r="AB76" s="157">
        <f t="shared" si="201"/>
        <v>200289.37500000003</v>
      </c>
      <c r="AC76" s="180"/>
      <c r="AD76" s="180"/>
      <c r="AE76" s="180"/>
      <c r="AF76" s="180"/>
      <c r="AG76" s="180">
        <f t="shared" si="208"/>
        <v>1147112</v>
      </c>
      <c r="AH76" s="180">
        <f t="shared" si="209"/>
        <v>0</v>
      </c>
      <c r="AI76" s="157"/>
      <c r="AJ76" s="388">
        <f t="shared" si="210"/>
        <v>1147112</v>
      </c>
      <c r="AK76" s="125" t="s">
        <v>204</v>
      </c>
      <c r="AL76" s="417"/>
      <c r="AS76" s="297">
        <f t="shared" si="2"/>
        <v>-0.12499999976716936</v>
      </c>
    </row>
    <row r="77" spans="1:45" ht="56.4" customHeight="1" x14ac:dyDescent="0.25">
      <c r="A77" s="153">
        <v>2</v>
      </c>
      <c r="B77" s="154" t="s">
        <v>211</v>
      </c>
      <c r="C77" s="112">
        <v>25814</v>
      </c>
      <c r="D77" s="112"/>
      <c r="E77" s="113" t="s">
        <v>212</v>
      </c>
      <c r="F77" s="153">
        <v>3.99</v>
      </c>
      <c r="G77" s="113"/>
      <c r="H77" s="157"/>
      <c r="I77" s="157"/>
      <c r="J77" s="156"/>
      <c r="K77" s="113">
        <f>F77*25%</f>
        <v>0.99750000000000005</v>
      </c>
      <c r="L77" s="113"/>
      <c r="M77" s="157">
        <f t="shared" si="203"/>
        <v>0.99750000000000005</v>
      </c>
      <c r="N77" s="171"/>
      <c r="O77" s="190">
        <f t="shared" ref="O77:O81" si="219">SUM(F77:N77)*2340</f>
        <v>14004.900000000003</v>
      </c>
      <c r="P77" s="112">
        <v>11963</v>
      </c>
      <c r="Q77" s="212" t="s">
        <v>129</v>
      </c>
      <c r="R77" s="171">
        <f t="shared" si="205"/>
        <v>21.5</v>
      </c>
      <c r="S77" s="113">
        <v>21</v>
      </c>
      <c r="T77" s="113">
        <v>3</v>
      </c>
      <c r="U77" s="113">
        <f t="shared" ref="U77:U81" si="220">(W77*12)+X77</f>
        <v>85</v>
      </c>
      <c r="V77" s="209">
        <f t="shared" ref="V77:V81" si="221">(W77)+(IF(X77=0,0,IF(X77&lt;7,1/2,1)))</f>
        <v>7.5</v>
      </c>
      <c r="W77" s="113">
        <v>7</v>
      </c>
      <c r="X77" s="113">
        <v>1</v>
      </c>
      <c r="Y77" s="157">
        <f>0.9*60*O77</f>
        <v>756264.60000000021</v>
      </c>
      <c r="Z77" s="157">
        <f>SUM(AA77:AB77)</f>
        <v>521682.52500000014</v>
      </c>
      <c r="AA77" s="157">
        <f t="shared" ref="AA77:AA81" si="222">4*V77*O77</f>
        <v>420147.00000000012</v>
      </c>
      <c r="AB77" s="157">
        <f t="shared" ref="AB77:AB81" si="223">SUM(4*O77)+(0.5*O77*(R77-15))</f>
        <v>101535.52500000002</v>
      </c>
      <c r="AC77" s="242"/>
      <c r="AD77" s="242"/>
      <c r="AE77" s="242"/>
      <c r="AF77" s="242"/>
      <c r="AG77" s="180">
        <f>ROUND(Y77+Z77,0)</f>
        <v>1277947</v>
      </c>
      <c r="AH77" s="180">
        <v>0</v>
      </c>
      <c r="AI77" s="180"/>
      <c r="AJ77" s="388">
        <f t="shared" si="210"/>
        <v>1277947</v>
      </c>
      <c r="AL77" s="417"/>
      <c r="AS77" s="297"/>
    </row>
    <row r="78" spans="1:45" ht="56.4" customHeight="1" x14ac:dyDescent="0.25">
      <c r="A78" s="153">
        <v>3</v>
      </c>
      <c r="B78" s="154" t="s">
        <v>213</v>
      </c>
      <c r="C78" s="112">
        <v>25275</v>
      </c>
      <c r="D78" s="112"/>
      <c r="E78" s="113" t="s">
        <v>212</v>
      </c>
      <c r="F78" s="153">
        <v>4.6500000000000004</v>
      </c>
      <c r="G78" s="113"/>
      <c r="H78" s="157"/>
      <c r="I78" s="157"/>
      <c r="J78" s="156"/>
      <c r="K78" s="113">
        <f>F78*25%</f>
        <v>1.1625000000000001</v>
      </c>
      <c r="L78" s="113"/>
      <c r="M78" s="157">
        <f t="shared" si="203"/>
        <v>1.1625000000000001</v>
      </c>
      <c r="N78" s="171"/>
      <c r="O78" s="190">
        <f t="shared" si="219"/>
        <v>16321.5</v>
      </c>
      <c r="P78" s="112">
        <v>11414</v>
      </c>
      <c r="Q78" s="212" t="s">
        <v>129</v>
      </c>
      <c r="R78" s="171">
        <f t="shared" si="205"/>
        <v>28</v>
      </c>
      <c r="S78" s="113">
        <v>27</v>
      </c>
      <c r="T78" s="113">
        <v>9</v>
      </c>
      <c r="U78" s="113">
        <f t="shared" si="220"/>
        <v>67</v>
      </c>
      <c r="V78" s="209">
        <f t="shared" si="221"/>
        <v>6</v>
      </c>
      <c r="W78" s="113">
        <v>5</v>
      </c>
      <c r="X78" s="113">
        <v>7</v>
      </c>
      <c r="Y78" s="157">
        <f>0.9*60*O78</f>
        <v>881361</v>
      </c>
      <c r="Z78" s="157">
        <f>SUM(AA78:AB78)</f>
        <v>563091.75</v>
      </c>
      <c r="AA78" s="157">
        <f t="shared" si="222"/>
        <v>391716</v>
      </c>
      <c r="AB78" s="157">
        <f t="shared" si="223"/>
        <v>171375.75</v>
      </c>
      <c r="AC78" s="242"/>
      <c r="AD78" s="242"/>
      <c r="AE78" s="242"/>
      <c r="AF78" s="242"/>
      <c r="AG78" s="180">
        <f>ROUND(Y78+Z78,0)</f>
        <v>1444453</v>
      </c>
      <c r="AH78" s="180">
        <v>0</v>
      </c>
      <c r="AI78" s="180"/>
      <c r="AJ78" s="388">
        <f t="shared" si="210"/>
        <v>1444453</v>
      </c>
      <c r="AL78" s="417"/>
      <c r="AS78" s="297"/>
    </row>
    <row r="79" spans="1:45" ht="56.4" customHeight="1" x14ac:dyDescent="0.25">
      <c r="A79" s="153">
        <v>4</v>
      </c>
      <c r="B79" s="154" t="s">
        <v>214</v>
      </c>
      <c r="C79" s="112">
        <v>25376</v>
      </c>
      <c r="D79" s="112"/>
      <c r="E79" s="113" t="s">
        <v>212</v>
      </c>
      <c r="F79" s="153">
        <v>4.9800000000000004</v>
      </c>
      <c r="G79" s="113"/>
      <c r="H79" s="157"/>
      <c r="I79" s="157"/>
      <c r="J79" s="156"/>
      <c r="K79" s="113">
        <f>F79*25%</f>
        <v>1.2450000000000001</v>
      </c>
      <c r="L79" s="113"/>
      <c r="M79" s="157">
        <f t="shared" si="203"/>
        <v>1.2450000000000001</v>
      </c>
      <c r="N79" s="171"/>
      <c r="O79" s="190">
        <f t="shared" si="219"/>
        <v>17479.800000000003</v>
      </c>
      <c r="P79" s="112">
        <v>48030</v>
      </c>
      <c r="Q79" s="212" t="s">
        <v>129</v>
      </c>
      <c r="R79" s="171">
        <f t="shared" si="205"/>
        <v>32</v>
      </c>
      <c r="S79" s="113">
        <v>31</v>
      </c>
      <c r="T79" s="113">
        <v>11</v>
      </c>
      <c r="U79" s="113">
        <f t="shared" si="220"/>
        <v>70</v>
      </c>
      <c r="V79" s="209">
        <f t="shared" si="221"/>
        <v>6</v>
      </c>
      <c r="W79" s="113">
        <v>5</v>
      </c>
      <c r="X79" s="113">
        <v>10</v>
      </c>
      <c r="Y79" s="157">
        <f>0.9*60*O79</f>
        <v>943909.20000000019</v>
      </c>
      <c r="Z79" s="157">
        <f>SUM(AA79:AB79)</f>
        <v>638012.70000000007</v>
      </c>
      <c r="AA79" s="157">
        <f t="shared" si="222"/>
        <v>419515.20000000007</v>
      </c>
      <c r="AB79" s="157">
        <f t="shared" si="223"/>
        <v>218497.50000000003</v>
      </c>
      <c r="AC79" s="242"/>
      <c r="AD79" s="242"/>
      <c r="AE79" s="242"/>
      <c r="AF79" s="242"/>
      <c r="AG79" s="180">
        <f>ROUND(Y79+Z79,0)</f>
        <v>1581922</v>
      </c>
      <c r="AH79" s="180">
        <v>0</v>
      </c>
      <c r="AI79" s="180"/>
      <c r="AJ79" s="388">
        <f t="shared" si="210"/>
        <v>1581922</v>
      </c>
      <c r="AL79" s="417"/>
      <c r="AS79" s="297"/>
    </row>
    <row r="80" spans="1:45" ht="56.4" customHeight="1" x14ac:dyDescent="0.25">
      <c r="A80" s="153">
        <v>5</v>
      </c>
      <c r="B80" s="154" t="s">
        <v>215</v>
      </c>
      <c r="C80" s="112">
        <v>25355</v>
      </c>
      <c r="D80" s="112"/>
      <c r="E80" s="113" t="s">
        <v>212</v>
      </c>
      <c r="F80" s="153">
        <v>4.6500000000000004</v>
      </c>
      <c r="G80" s="113"/>
      <c r="H80" s="157"/>
      <c r="I80" s="157"/>
      <c r="J80" s="156"/>
      <c r="K80" s="113">
        <f>F80*25%</f>
        <v>1.1625000000000001</v>
      </c>
      <c r="L80" s="113"/>
      <c r="M80" s="157">
        <f t="shared" si="203"/>
        <v>1.1625000000000001</v>
      </c>
      <c r="N80" s="171"/>
      <c r="O80" s="190">
        <f t="shared" si="219"/>
        <v>16321.5</v>
      </c>
      <c r="P80" s="112">
        <v>48030</v>
      </c>
      <c r="Q80" s="212" t="s">
        <v>129</v>
      </c>
      <c r="R80" s="171">
        <f t="shared" si="205"/>
        <v>28</v>
      </c>
      <c r="S80" s="113">
        <v>27</v>
      </c>
      <c r="T80" s="113">
        <v>9</v>
      </c>
      <c r="U80" s="113">
        <f t="shared" si="220"/>
        <v>70</v>
      </c>
      <c r="V80" s="209">
        <f t="shared" si="221"/>
        <v>6</v>
      </c>
      <c r="W80" s="113">
        <v>5</v>
      </c>
      <c r="X80" s="113">
        <v>10</v>
      </c>
      <c r="Y80" s="157">
        <f>0.9*60*O80</f>
        <v>881361</v>
      </c>
      <c r="Z80" s="157">
        <f>SUM(AA80:AB80)</f>
        <v>563091.75</v>
      </c>
      <c r="AA80" s="157">
        <f t="shared" si="222"/>
        <v>391716</v>
      </c>
      <c r="AB80" s="157">
        <f t="shared" si="223"/>
        <v>171375.75</v>
      </c>
      <c r="AC80" s="242"/>
      <c r="AD80" s="242"/>
      <c r="AE80" s="242"/>
      <c r="AF80" s="242"/>
      <c r="AG80" s="180">
        <f>ROUND(Y80+Z80,0)</f>
        <v>1444453</v>
      </c>
      <c r="AH80" s="180">
        <v>0</v>
      </c>
      <c r="AI80" s="180"/>
      <c r="AJ80" s="388">
        <f t="shared" si="210"/>
        <v>1444453</v>
      </c>
      <c r="AL80" s="417"/>
      <c r="AS80" s="297"/>
    </row>
    <row r="81" spans="1:45" ht="56.4" customHeight="1" x14ac:dyDescent="0.25">
      <c r="A81" s="153">
        <v>6</v>
      </c>
      <c r="B81" s="154" t="s">
        <v>216</v>
      </c>
      <c r="C81" s="112">
        <v>26899</v>
      </c>
      <c r="D81" s="112"/>
      <c r="E81" s="113" t="s">
        <v>212</v>
      </c>
      <c r="F81" s="153">
        <v>4.9800000000000004</v>
      </c>
      <c r="G81" s="113"/>
      <c r="H81" s="157"/>
      <c r="I81" s="157"/>
      <c r="J81" s="156"/>
      <c r="K81" s="113">
        <f>F81*25%</f>
        <v>1.2450000000000001</v>
      </c>
      <c r="L81" s="113"/>
      <c r="M81" s="157">
        <f t="shared" si="203"/>
        <v>1.2450000000000001</v>
      </c>
      <c r="N81" s="171"/>
      <c r="O81" s="190">
        <f t="shared" si="219"/>
        <v>17479.800000000003</v>
      </c>
      <c r="P81" s="112">
        <v>49553</v>
      </c>
      <c r="Q81" s="212" t="s">
        <v>129</v>
      </c>
      <c r="R81" s="171">
        <f t="shared" si="205"/>
        <v>30.5</v>
      </c>
      <c r="S81" s="113">
        <v>30</v>
      </c>
      <c r="T81" s="113">
        <v>5</v>
      </c>
      <c r="U81" s="113">
        <f t="shared" si="220"/>
        <v>120</v>
      </c>
      <c r="V81" s="209">
        <f t="shared" si="221"/>
        <v>10</v>
      </c>
      <c r="W81" s="113">
        <v>10</v>
      </c>
      <c r="X81" s="113">
        <v>0</v>
      </c>
      <c r="Y81" s="157">
        <f>0.9*60*O81</f>
        <v>943909.20000000019</v>
      </c>
      <c r="Z81" s="157">
        <f>SUM(AA81:AB81)</f>
        <v>904579.65000000014</v>
      </c>
      <c r="AA81" s="157">
        <f t="shared" si="222"/>
        <v>699192.00000000012</v>
      </c>
      <c r="AB81" s="157">
        <f t="shared" si="223"/>
        <v>205387.65000000002</v>
      </c>
      <c r="AC81" s="242"/>
      <c r="AD81" s="242"/>
      <c r="AE81" s="242"/>
      <c r="AF81" s="242"/>
      <c r="AG81" s="180">
        <f>ROUND(Y81+Z81,0)</f>
        <v>1848489</v>
      </c>
      <c r="AH81" s="180">
        <v>0</v>
      </c>
      <c r="AI81" s="180"/>
      <c r="AJ81" s="388">
        <f t="shared" si="210"/>
        <v>1848489</v>
      </c>
      <c r="AL81" s="417"/>
      <c r="AS81" s="297"/>
    </row>
    <row r="82" spans="1:45" ht="52.2" customHeight="1" x14ac:dyDescent="0.25">
      <c r="A82" s="206" t="s">
        <v>202</v>
      </c>
      <c r="B82" s="496" t="s">
        <v>173</v>
      </c>
      <c r="C82" s="496"/>
      <c r="D82" s="113"/>
      <c r="E82" s="497"/>
      <c r="F82" s="497"/>
      <c r="G82" s="113"/>
      <c r="H82" s="157"/>
      <c r="I82" s="157"/>
      <c r="J82" s="156"/>
      <c r="K82" s="113"/>
      <c r="L82" s="113"/>
      <c r="M82" s="157"/>
      <c r="N82" s="171"/>
      <c r="O82" s="190">
        <f t="shared" ref="O82:O93" si="224">SUM(F82:N82)*2340</f>
        <v>0</v>
      </c>
      <c r="P82" s="112"/>
      <c r="Q82" s="212"/>
      <c r="R82" s="171"/>
      <c r="S82" s="113"/>
      <c r="T82" s="113"/>
      <c r="U82" s="113"/>
      <c r="V82" s="209"/>
      <c r="W82" s="113"/>
      <c r="X82" s="113"/>
      <c r="Y82" s="386">
        <f>SUM(Y83:Y85)</f>
        <v>336960</v>
      </c>
      <c r="Z82" s="386">
        <f t="shared" ref="Z82:AJ82" si="225">SUM(Z83:Z85)</f>
        <v>212355</v>
      </c>
      <c r="AA82" s="386">
        <f t="shared" si="225"/>
        <v>140400</v>
      </c>
      <c r="AB82" s="386">
        <f t="shared" si="225"/>
        <v>71955</v>
      </c>
      <c r="AC82" s="386">
        <f t="shared" si="225"/>
        <v>1690548.6779999998</v>
      </c>
      <c r="AD82" s="386">
        <f t="shared" si="225"/>
        <v>943959.74399999995</v>
      </c>
      <c r="AE82" s="386">
        <f t="shared" si="225"/>
        <v>746588.93399999989</v>
      </c>
      <c r="AF82" s="386">
        <f t="shared" si="225"/>
        <v>0</v>
      </c>
      <c r="AG82" s="386">
        <f t="shared" si="225"/>
        <v>549315</v>
      </c>
      <c r="AH82" s="386">
        <f t="shared" si="225"/>
        <v>1690548</v>
      </c>
      <c r="AI82" s="386">
        <f t="shared" si="225"/>
        <v>0</v>
      </c>
      <c r="AJ82" s="386">
        <f t="shared" si="225"/>
        <v>2239863</v>
      </c>
      <c r="AL82" s="417"/>
      <c r="AS82" s="297">
        <f t="shared" si="2"/>
        <v>0.67799999983981252</v>
      </c>
    </row>
    <row r="83" spans="1:45" ht="51.6" customHeight="1" x14ac:dyDescent="0.25">
      <c r="A83" s="153">
        <v>1</v>
      </c>
      <c r="B83" s="111" t="s">
        <v>174</v>
      </c>
      <c r="C83" s="112">
        <v>26164</v>
      </c>
      <c r="D83" s="112" t="s">
        <v>49</v>
      </c>
      <c r="E83" s="113" t="s">
        <v>175</v>
      </c>
      <c r="F83" s="153">
        <v>3</v>
      </c>
      <c r="G83" s="113"/>
      <c r="H83" s="157"/>
      <c r="I83" s="157"/>
      <c r="J83" s="156"/>
      <c r="K83" s="113"/>
      <c r="L83" s="113"/>
      <c r="M83" s="157"/>
      <c r="N83" s="171"/>
      <c r="O83" s="190">
        <f t="shared" si="224"/>
        <v>7020</v>
      </c>
      <c r="P83" s="112">
        <v>47362</v>
      </c>
      <c r="Q83" s="212" t="s">
        <v>129</v>
      </c>
      <c r="R83" s="171">
        <f t="shared" si="205"/>
        <v>27.5</v>
      </c>
      <c r="S83" s="113">
        <v>27</v>
      </c>
      <c r="T83" s="113">
        <v>5</v>
      </c>
      <c r="U83" s="113">
        <f t="shared" si="206"/>
        <v>48</v>
      </c>
      <c r="V83" s="209">
        <f t="shared" si="199"/>
        <v>4</v>
      </c>
      <c r="W83" s="113">
        <v>4</v>
      </c>
      <c r="X83" s="113">
        <v>0</v>
      </c>
      <c r="Y83" s="157">
        <f>1*U83*O83</f>
        <v>336960</v>
      </c>
      <c r="Z83" s="157">
        <f t="shared" si="207"/>
        <v>212355</v>
      </c>
      <c r="AA83" s="157">
        <f t="shared" ref="AA83:AA87" si="226">5*V83*O83</f>
        <v>140400</v>
      </c>
      <c r="AB83" s="157">
        <f t="shared" ref="AB83:AB87" si="227">SUM(4*O83)+(0.5*O83*(R83-15))</f>
        <v>71955</v>
      </c>
      <c r="AC83" s="180"/>
      <c r="AD83" s="180"/>
      <c r="AE83" s="180"/>
      <c r="AF83" s="180"/>
      <c r="AG83" s="180">
        <f t="shared" si="208"/>
        <v>549315</v>
      </c>
      <c r="AH83" s="180">
        <f t="shared" si="209"/>
        <v>0</v>
      </c>
      <c r="AI83" s="157"/>
      <c r="AJ83" s="388">
        <f t="shared" si="210"/>
        <v>549315</v>
      </c>
      <c r="AK83" s="494" t="s">
        <v>208</v>
      </c>
      <c r="AL83" s="495"/>
      <c r="AS83" s="297">
        <f t="shared" si="2"/>
        <v>0</v>
      </c>
    </row>
    <row r="84" spans="1:45" ht="49.95" customHeight="1" x14ac:dyDescent="0.25">
      <c r="A84" s="153">
        <v>2</v>
      </c>
      <c r="B84" s="111" t="s">
        <v>176</v>
      </c>
      <c r="C84" s="112">
        <v>27784</v>
      </c>
      <c r="D84" s="112" t="s">
        <v>104</v>
      </c>
      <c r="E84" s="113" t="s">
        <v>177</v>
      </c>
      <c r="F84" s="153">
        <v>4.0599999999999996</v>
      </c>
      <c r="G84" s="113"/>
      <c r="H84" s="157"/>
      <c r="I84" s="157">
        <f>F84*7%</f>
        <v>0.28420000000000001</v>
      </c>
      <c r="J84" s="156"/>
      <c r="K84" s="113"/>
      <c r="L84" s="113"/>
      <c r="M84" s="157"/>
      <c r="N84" s="171"/>
      <c r="O84" s="190">
        <f t="shared" si="224"/>
        <v>10165.428</v>
      </c>
      <c r="P84" s="112">
        <v>50437</v>
      </c>
      <c r="Q84" s="212" t="s">
        <v>129</v>
      </c>
      <c r="R84" s="171">
        <f t="shared" si="205"/>
        <v>27</v>
      </c>
      <c r="S84" s="113">
        <v>26</v>
      </c>
      <c r="T84" s="113">
        <v>11</v>
      </c>
      <c r="U84" s="113">
        <f t="shared" si="206"/>
        <v>149</v>
      </c>
      <c r="V84" s="209">
        <f t="shared" si="199"/>
        <v>12.5</v>
      </c>
      <c r="W84" s="113">
        <v>12</v>
      </c>
      <c r="X84" s="113">
        <v>5</v>
      </c>
      <c r="Y84" s="157"/>
      <c r="Z84" s="157"/>
      <c r="AA84" s="157"/>
      <c r="AB84" s="157"/>
      <c r="AC84" s="180">
        <f t="shared" ref="AC84:AC85" si="228">AD84+AE84+AF84</f>
        <v>899640.37800000003</v>
      </c>
      <c r="AD84" s="180">
        <f t="shared" ref="AD84:AD85" si="229">0.8*60*O84</f>
        <v>487940.54399999999</v>
      </c>
      <c r="AE84" s="180">
        <f t="shared" ref="AE84:AE85" si="230">1.5*O84*R84</f>
        <v>411699.83399999997</v>
      </c>
      <c r="AF84" s="180"/>
      <c r="AG84" s="180">
        <f t="shared" si="208"/>
        <v>0</v>
      </c>
      <c r="AH84" s="180">
        <f>ROUND(AC84,0)</f>
        <v>899640</v>
      </c>
      <c r="AI84" s="157"/>
      <c r="AJ84" s="388">
        <f t="shared" si="210"/>
        <v>899640</v>
      </c>
      <c r="AK84" s="494" t="s">
        <v>178</v>
      </c>
      <c r="AL84" s="495"/>
      <c r="AS84" s="297">
        <f t="shared" si="2"/>
        <v>0.37800000002607703</v>
      </c>
    </row>
    <row r="85" spans="1:45" ht="47.4" customHeight="1" x14ac:dyDescent="0.25">
      <c r="A85" s="153">
        <v>3</v>
      </c>
      <c r="B85" s="111" t="s">
        <v>179</v>
      </c>
      <c r="C85" s="112">
        <v>27723</v>
      </c>
      <c r="D85" s="112" t="s">
        <v>104</v>
      </c>
      <c r="E85" s="113" t="s">
        <v>177</v>
      </c>
      <c r="F85" s="153">
        <v>4.0599999999999996</v>
      </c>
      <c r="G85" s="113"/>
      <c r="H85" s="157"/>
      <c r="I85" s="157"/>
      <c r="J85" s="157"/>
      <c r="K85" s="113"/>
      <c r="L85" s="113"/>
      <c r="M85" s="157"/>
      <c r="N85" s="171"/>
      <c r="O85" s="190">
        <f t="shared" si="224"/>
        <v>9500.4</v>
      </c>
      <c r="P85" s="169" t="s">
        <v>180</v>
      </c>
      <c r="Q85" s="212" t="s">
        <v>129</v>
      </c>
      <c r="R85" s="171">
        <f t="shared" si="205"/>
        <v>23.5</v>
      </c>
      <c r="S85" s="113">
        <v>23</v>
      </c>
      <c r="T85" s="113">
        <v>4</v>
      </c>
      <c r="U85" s="113">
        <f t="shared" si="206"/>
        <v>123</v>
      </c>
      <c r="V85" s="209">
        <f t="shared" si="199"/>
        <v>10.5</v>
      </c>
      <c r="W85" s="113">
        <v>10</v>
      </c>
      <c r="X85" s="113">
        <v>3</v>
      </c>
      <c r="Y85" s="157"/>
      <c r="Z85" s="157"/>
      <c r="AA85" s="157"/>
      <c r="AB85" s="157"/>
      <c r="AC85" s="180">
        <f t="shared" si="228"/>
        <v>790908.29999999993</v>
      </c>
      <c r="AD85" s="180">
        <f t="shared" si="229"/>
        <v>456019.19999999995</v>
      </c>
      <c r="AE85" s="180">
        <f t="shared" si="230"/>
        <v>334889.09999999998</v>
      </c>
      <c r="AF85" s="180"/>
      <c r="AG85" s="180">
        <f t="shared" si="208"/>
        <v>0</v>
      </c>
      <c r="AH85" s="180">
        <f>ROUND(AC85,0)</f>
        <v>790908</v>
      </c>
      <c r="AI85" s="157"/>
      <c r="AJ85" s="388">
        <f t="shared" si="210"/>
        <v>790908</v>
      </c>
      <c r="AK85" s="494"/>
      <c r="AL85" s="495"/>
      <c r="AS85" s="297">
        <f t="shared" si="2"/>
        <v>0.29999999993015081</v>
      </c>
    </row>
    <row r="86" spans="1:45" ht="42.75" customHeight="1" x14ac:dyDescent="0.25">
      <c r="A86" s="206" t="s">
        <v>203</v>
      </c>
      <c r="B86" s="496" t="s">
        <v>181</v>
      </c>
      <c r="C86" s="496"/>
      <c r="D86" s="113"/>
      <c r="E86" s="113"/>
      <c r="F86" s="153"/>
      <c r="G86" s="113"/>
      <c r="H86" s="157"/>
      <c r="I86" s="157"/>
      <c r="J86" s="156"/>
      <c r="K86" s="113"/>
      <c r="L86" s="113"/>
      <c r="M86" s="157"/>
      <c r="N86" s="171"/>
      <c r="O86" s="190"/>
      <c r="P86" s="112"/>
      <c r="Q86" s="212"/>
      <c r="R86" s="171"/>
      <c r="S86" s="113"/>
      <c r="T86" s="113"/>
      <c r="U86" s="113"/>
      <c r="V86" s="209"/>
      <c r="W86" s="113"/>
      <c r="X86" s="113"/>
      <c r="Y86" s="386">
        <f>SUM(Y87:Y90)</f>
        <v>2300310.09</v>
      </c>
      <c r="Z86" s="386">
        <f t="shared" ref="Z86:AJ86" si="231">SUM(Z87:Z90)</f>
        <v>1770013.1475</v>
      </c>
      <c r="AA86" s="386">
        <f t="shared" si="231"/>
        <v>1173767.3999999999</v>
      </c>
      <c r="AB86" s="386">
        <f t="shared" si="231"/>
        <v>596245.74750000006</v>
      </c>
      <c r="AC86" s="386">
        <f t="shared" si="231"/>
        <v>1289135.2500000002</v>
      </c>
      <c r="AD86" s="386">
        <f t="shared" si="231"/>
        <v>699192.00000000012</v>
      </c>
      <c r="AE86" s="386">
        <f t="shared" si="231"/>
        <v>546243.75000000012</v>
      </c>
      <c r="AF86" s="386">
        <f t="shared" si="231"/>
        <v>43699.500000000007</v>
      </c>
      <c r="AG86" s="386">
        <f t="shared" si="231"/>
        <v>4070324</v>
      </c>
      <c r="AH86" s="386">
        <f t="shared" si="231"/>
        <v>1289135</v>
      </c>
      <c r="AI86" s="386">
        <f t="shared" si="231"/>
        <v>0</v>
      </c>
      <c r="AJ86" s="386">
        <f t="shared" si="231"/>
        <v>5359459</v>
      </c>
      <c r="AL86" s="417"/>
      <c r="AS86" s="297">
        <f t="shared" si="2"/>
        <v>-0.51250000018626451</v>
      </c>
    </row>
    <row r="87" spans="1:45" ht="42.75" customHeight="1" x14ac:dyDescent="0.25">
      <c r="A87" s="153">
        <v>1</v>
      </c>
      <c r="B87" s="111" t="s">
        <v>182</v>
      </c>
      <c r="C87" s="112">
        <v>25665</v>
      </c>
      <c r="D87" s="112" t="s">
        <v>49</v>
      </c>
      <c r="E87" s="113" t="s">
        <v>183</v>
      </c>
      <c r="F87" s="153">
        <v>6.78</v>
      </c>
      <c r="G87" s="113"/>
      <c r="H87" s="157">
        <v>0.9</v>
      </c>
      <c r="I87" s="157">
        <f>F87*9%</f>
        <v>0.61019999999999996</v>
      </c>
      <c r="J87" s="156"/>
      <c r="K87" s="113"/>
      <c r="L87" s="113"/>
      <c r="M87" s="157">
        <f t="shared" si="203"/>
        <v>2.0725500000000001</v>
      </c>
      <c r="N87" s="171"/>
      <c r="O87" s="190">
        <f t="shared" si="224"/>
        <v>24248.834999999999</v>
      </c>
      <c r="P87" s="112">
        <v>46631</v>
      </c>
      <c r="Q87" s="212" t="s">
        <v>129</v>
      </c>
      <c r="R87" s="171">
        <f t="shared" si="205"/>
        <v>29</v>
      </c>
      <c r="S87" s="113">
        <v>28</v>
      </c>
      <c r="T87" s="113">
        <v>10</v>
      </c>
      <c r="U87" s="113">
        <f t="shared" si="206"/>
        <v>24</v>
      </c>
      <c r="V87" s="209">
        <f t="shared" si="199"/>
        <v>2</v>
      </c>
      <c r="W87" s="113">
        <v>2</v>
      </c>
      <c r="X87" s="113">
        <v>0</v>
      </c>
      <c r="Y87" s="157">
        <f>1*U87*O87</f>
        <v>581972.04</v>
      </c>
      <c r="Z87" s="157">
        <f t="shared" si="207"/>
        <v>509225.53499999997</v>
      </c>
      <c r="AA87" s="157">
        <f t="shared" si="226"/>
        <v>242488.34999999998</v>
      </c>
      <c r="AB87" s="157">
        <f t="shared" si="227"/>
        <v>266737.185</v>
      </c>
      <c r="AC87" s="242"/>
      <c r="AD87" s="242"/>
      <c r="AE87" s="242"/>
      <c r="AF87" s="242"/>
      <c r="AG87" s="180">
        <f t="shared" si="208"/>
        <v>1091198</v>
      </c>
      <c r="AH87" s="180">
        <v>0</v>
      </c>
      <c r="AI87" s="180"/>
      <c r="AJ87" s="388">
        <f t="shared" si="210"/>
        <v>1091198</v>
      </c>
      <c r="AL87" s="417"/>
      <c r="AS87" s="297">
        <f t="shared" si="2"/>
        <v>-0.42500000004656613</v>
      </c>
    </row>
    <row r="88" spans="1:45" ht="42.75" customHeight="1" x14ac:dyDescent="0.25">
      <c r="A88" s="153">
        <v>2</v>
      </c>
      <c r="B88" s="111" t="s">
        <v>184</v>
      </c>
      <c r="C88" s="112" t="s">
        <v>185</v>
      </c>
      <c r="D88" s="112" t="s">
        <v>49</v>
      </c>
      <c r="E88" s="113" t="s">
        <v>186</v>
      </c>
      <c r="F88" s="153">
        <v>4.9800000000000004</v>
      </c>
      <c r="G88" s="113"/>
      <c r="H88" s="157">
        <v>0.5</v>
      </c>
      <c r="I88" s="157">
        <f>F88*5%</f>
        <v>0.24900000000000003</v>
      </c>
      <c r="J88" s="156"/>
      <c r="K88" s="113"/>
      <c r="L88" s="113"/>
      <c r="M88" s="157">
        <f t="shared" si="203"/>
        <v>1.43225</v>
      </c>
      <c r="N88" s="171"/>
      <c r="O88" s="190">
        <f t="shared" si="224"/>
        <v>16757.325000000001</v>
      </c>
      <c r="P88" s="112">
        <v>48945</v>
      </c>
      <c r="Q88" s="212" t="s">
        <v>129</v>
      </c>
      <c r="R88" s="171">
        <f t="shared" si="205"/>
        <v>27</v>
      </c>
      <c r="S88" s="113">
        <v>27</v>
      </c>
      <c r="T88" s="189"/>
      <c r="U88" s="113">
        <f t="shared" si="206"/>
        <v>100</v>
      </c>
      <c r="V88" s="209">
        <f t="shared" si="199"/>
        <v>8.5</v>
      </c>
      <c r="W88" s="113">
        <v>8</v>
      </c>
      <c r="X88" s="113">
        <v>4</v>
      </c>
      <c r="Y88" s="157">
        <f>0.9*60*O88</f>
        <v>904895.55</v>
      </c>
      <c r="Z88" s="157">
        <f t="shared" si="207"/>
        <v>737322.3</v>
      </c>
      <c r="AA88" s="157">
        <f>4*V88*O88</f>
        <v>569749.05000000005</v>
      </c>
      <c r="AB88" s="157">
        <f>SUM(4*O88)+(0.5*O88*(R88-15))</f>
        <v>167573.25</v>
      </c>
      <c r="AC88" s="242"/>
      <c r="AD88" s="242"/>
      <c r="AE88" s="242"/>
      <c r="AF88" s="242"/>
      <c r="AG88" s="180">
        <f t="shared" si="208"/>
        <v>1642218</v>
      </c>
      <c r="AH88" s="180">
        <v>0</v>
      </c>
      <c r="AI88" s="180"/>
      <c r="AJ88" s="388">
        <f t="shared" si="210"/>
        <v>1642218</v>
      </c>
      <c r="AL88" s="417"/>
      <c r="AS88" s="297">
        <f t="shared" si="2"/>
        <v>-0.14999999990686774</v>
      </c>
    </row>
    <row r="89" spans="1:45" ht="42.75" customHeight="1" x14ac:dyDescent="0.25">
      <c r="A89" s="153">
        <v>3</v>
      </c>
      <c r="B89" s="111" t="s">
        <v>187</v>
      </c>
      <c r="C89" s="112">
        <v>26581</v>
      </c>
      <c r="D89" s="112" t="s">
        <v>49</v>
      </c>
      <c r="E89" s="113" t="s">
        <v>188</v>
      </c>
      <c r="F89" s="153">
        <v>4.6500000000000004</v>
      </c>
      <c r="G89" s="113"/>
      <c r="H89" s="157">
        <v>0.5</v>
      </c>
      <c r="I89" s="157"/>
      <c r="J89" s="254"/>
      <c r="K89" s="113"/>
      <c r="L89" s="113"/>
      <c r="M89" s="157">
        <f t="shared" si="203"/>
        <v>1.2875000000000001</v>
      </c>
      <c r="N89" s="171"/>
      <c r="O89" s="190">
        <f t="shared" si="224"/>
        <v>15063.75</v>
      </c>
      <c r="P89" s="169">
        <v>48030</v>
      </c>
      <c r="Q89" s="212" t="s">
        <v>129</v>
      </c>
      <c r="R89" s="171">
        <f t="shared" si="205"/>
        <v>28.5</v>
      </c>
      <c r="S89" s="113">
        <v>28</v>
      </c>
      <c r="T89" s="113">
        <v>3</v>
      </c>
      <c r="U89" s="113">
        <f t="shared" si="206"/>
        <v>70</v>
      </c>
      <c r="V89" s="209">
        <f t="shared" si="199"/>
        <v>6</v>
      </c>
      <c r="W89" s="113">
        <v>5</v>
      </c>
      <c r="X89" s="113">
        <v>10</v>
      </c>
      <c r="Y89" s="157">
        <f>0.9*60*O89</f>
        <v>813442.5</v>
      </c>
      <c r="Z89" s="157">
        <f t="shared" si="207"/>
        <v>523465.3125</v>
      </c>
      <c r="AA89" s="157">
        <f>4*V89*O89</f>
        <v>361530</v>
      </c>
      <c r="AB89" s="157">
        <f>SUM(4*O89)+(0.5*O89*(R89-15))</f>
        <v>161935.3125</v>
      </c>
      <c r="AC89" s="242"/>
      <c r="AD89" s="242"/>
      <c r="AE89" s="242"/>
      <c r="AF89" s="242"/>
      <c r="AG89" s="180">
        <f t="shared" si="208"/>
        <v>1336908</v>
      </c>
      <c r="AH89" s="180">
        <v>0</v>
      </c>
      <c r="AI89" s="180"/>
      <c r="AJ89" s="388">
        <f t="shared" si="210"/>
        <v>1336908</v>
      </c>
      <c r="AL89" s="417"/>
      <c r="AS89" s="297">
        <f t="shared" si="2"/>
        <v>-0.1875</v>
      </c>
    </row>
    <row r="90" spans="1:45" ht="42.75" customHeight="1" x14ac:dyDescent="0.25">
      <c r="A90" s="153">
        <v>4</v>
      </c>
      <c r="B90" s="111" t="s">
        <v>189</v>
      </c>
      <c r="C90" s="112" t="s">
        <v>190</v>
      </c>
      <c r="D90" s="112" t="s">
        <v>49</v>
      </c>
      <c r="E90" s="113" t="s">
        <v>191</v>
      </c>
      <c r="F90" s="153">
        <v>4.9800000000000004</v>
      </c>
      <c r="G90" s="113"/>
      <c r="H90" s="157"/>
      <c r="I90" s="157"/>
      <c r="J90" s="254"/>
      <c r="K90" s="113"/>
      <c r="L90" s="113"/>
      <c r="M90" s="157">
        <f t="shared" si="203"/>
        <v>1.2450000000000001</v>
      </c>
      <c r="N90" s="171"/>
      <c r="O90" s="190">
        <f t="shared" si="224"/>
        <v>14566.500000000002</v>
      </c>
      <c r="P90" s="169">
        <v>51867</v>
      </c>
      <c r="Q90" s="212" t="s">
        <v>129</v>
      </c>
      <c r="R90" s="171">
        <f t="shared" si="205"/>
        <v>25</v>
      </c>
      <c r="S90" s="113">
        <v>25</v>
      </c>
      <c r="T90" s="113">
        <v>0</v>
      </c>
      <c r="U90" s="113">
        <f t="shared" si="206"/>
        <v>196</v>
      </c>
      <c r="V90" s="209">
        <f t="shared" si="199"/>
        <v>16.5</v>
      </c>
      <c r="W90" s="113">
        <v>16</v>
      </c>
      <c r="X90" s="113">
        <v>4</v>
      </c>
      <c r="Y90" s="157"/>
      <c r="Z90" s="157"/>
      <c r="AA90" s="157"/>
      <c r="AB90" s="157"/>
      <c r="AC90" s="180">
        <f t="shared" ref="AC90" si="232">AD90+AE90+AF90</f>
        <v>1289135.2500000002</v>
      </c>
      <c r="AD90" s="180">
        <f t="shared" ref="AD90" si="233">0.8*60*O90</f>
        <v>699192.00000000012</v>
      </c>
      <c r="AE90" s="180">
        <f t="shared" ref="AE90" si="234">1.5*O90*R90</f>
        <v>546243.75000000012</v>
      </c>
      <c r="AF90" s="180">
        <f t="shared" ref="AF90" si="235">3*O90</f>
        <v>43699.500000000007</v>
      </c>
      <c r="AG90" s="180">
        <f t="shared" si="208"/>
        <v>0</v>
      </c>
      <c r="AH90" s="180">
        <f>ROUND(AC90,0)</f>
        <v>1289135</v>
      </c>
      <c r="AI90" s="157"/>
      <c r="AJ90" s="388">
        <f t="shared" si="210"/>
        <v>1289135</v>
      </c>
      <c r="AK90" s="125" t="s">
        <v>192</v>
      </c>
      <c r="AL90" s="417"/>
      <c r="AS90" s="297">
        <f t="shared" si="2"/>
        <v>0.25000000023283064</v>
      </c>
    </row>
    <row r="91" spans="1:45" ht="42.75" customHeight="1" x14ac:dyDescent="0.25">
      <c r="A91" s="206" t="s">
        <v>209</v>
      </c>
      <c r="B91" s="496" t="s">
        <v>193</v>
      </c>
      <c r="C91" s="496"/>
      <c r="D91" s="113"/>
      <c r="E91" s="207"/>
      <c r="F91" s="153"/>
      <c r="G91" s="113"/>
      <c r="H91" s="157"/>
      <c r="I91" s="157"/>
      <c r="J91" s="254"/>
      <c r="K91" s="113"/>
      <c r="L91" s="113"/>
      <c r="M91" s="157"/>
      <c r="N91" s="171"/>
      <c r="O91" s="190"/>
      <c r="P91" s="194"/>
      <c r="Q91" s="174"/>
      <c r="R91" s="171"/>
      <c r="S91" s="113"/>
      <c r="T91" s="113"/>
      <c r="U91" s="113"/>
      <c r="V91" s="209"/>
      <c r="W91" s="113"/>
      <c r="X91" s="113"/>
      <c r="Y91" s="386">
        <f>SUM(Y92:Y93)</f>
        <v>0</v>
      </c>
      <c r="Z91" s="386">
        <f t="shared" ref="Z91:AJ91" si="236">SUM(Z92:Z93)</f>
        <v>0</v>
      </c>
      <c r="AA91" s="386">
        <f t="shared" si="236"/>
        <v>0</v>
      </c>
      <c r="AB91" s="386">
        <f t="shared" si="236"/>
        <v>0</v>
      </c>
      <c r="AC91" s="386">
        <f t="shared" si="236"/>
        <v>2499229.6875</v>
      </c>
      <c r="AD91" s="386">
        <f t="shared" si="236"/>
        <v>1305720</v>
      </c>
      <c r="AE91" s="386">
        <f t="shared" si="236"/>
        <v>1111902.1875</v>
      </c>
      <c r="AF91" s="386">
        <f t="shared" si="236"/>
        <v>81607.5</v>
      </c>
      <c r="AG91" s="386">
        <f t="shared" si="236"/>
        <v>0</v>
      </c>
      <c r="AH91" s="386">
        <f t="shared" si="236"/>
        <v>2499230</v>
      </c>
      <c r="AI91" s="386">
        <f t="shared" si="236"/>
        <v>0</v>
      </c>
      <c r="AJ91" s="386">
        <f t="shared" si="236"/>
        <v>2499230</v>
      </c>
      <c r="AL91" s="417"/>
      <c r="AS91" s="297">
        <f t="shared" si="2"/>
        <v>-0.3125</v>
      </c>
    </row>
    <row r="92" spans="1:45" ht="49.2" customHeight="1" x14ac:dyDescent="0.25">
      <c r="A92" s="153">
        <v>1</v>
      </c>
      <c r="B92" s="154" t="s">
        <v>194</v>
      </c>
      <c r="C92" s="411">
        <v>27662</v>
      </c>
      <c r="D92" s="112" t="s">
        <v>49</v>
      </c>
      <c r="E92" s="155" t="s">
        <v>195</v>
      </c>
      <c r="F92" s="153">
        <v>4.6500000000000004</v>
      </c>
      <c r="G92" s="113"/>
      <c r="H92" s="157"/>
      <c r="I92" s="157"/>
      <c r="J92" s="156"/>
      <c r="K92" s="113"/>
      <c r="L92" s="113"/>
      <c r="M92" s="157">
        <f t="shared" si="203"/>
        <v>1.1625000000000001</v>
      </c>
      <c r="N92" s="171"/>
      <c r="O92" s="190">
        <f>SUM(F92:N92)*2340</f>
        <v>13601.25</v>
      </c>
      <c r="P92" s="112">
        <v>49583</v>
      </c>
      <c r="Q92" s="212" t="s">
        <v>129</v>
      </c>
      <c r="R92" s="113">
        <f t="shared" ref="R92:R93" si="237">(S92)+(IF(T92=0,0,IF(T92&lt;7,1/2,1)))</f>
        <v>25</v>
      </c>
      <c r="S92" s="113">
        <v>25</v>
      </c>
      <c r="T92" s="113">
        <v>0</v>
      </c>
      <c r="U92" s="113">
        <f t="shared" si="206"/>
        <v>121</v>
      </c>
      <c r="V92" s="187">
        <f t="shared" ref="V92:V93" si="238">(W92)+(IF(X92=0,0,IF(X92&lt;6,1/2,1)))</f>
        <v>10.5</v>
      </c>
      <c r="W92" s="113">
        <v>10</v>
      </c>
      <c r="X92" s="113">
        <v>1</v>
      </c>
      <c r="Y92" s="157"/>
      <c r="Z92" s="157"/>
      <c r="AA92" s="385"/>
      <c r="AB92" s="385"/>
      <c r="AC92" s="180">
        <f t="shared" ref="AC92:AC93" si="239">AD92+AE92+AF92</f>
        <v>1203710.625</v>
      </c>
      <c r="AD92" s="180">
        <f t="shared" ref="AD92:AD93" si="240">0.8*60*O92</f>
        <v>652860</v>
      </c>
      <c r="AE92" s="180">
        <f t="shared" ref="AE92:AE93" si="241">1.5*O92*R92</f>
        <v>510046.875</v>
      </c>
      <c r="AF92" s="180">
        <f t="shared" ref="AF92:AF93" si="242">3*O92</f>
        <v>40803.75</v>
      </c>
      <c r="AG92" s="180">
        <f t="shared" ref="AG92:AG93" si="243">ROUND(Y92+Z92,0)</f>
        <v>0</v>
      </c>
      <c r="AH92" s="180">
        <f>ROUND(AC92,0)</f>
        <v>1203711</v>
      </c>
      <c r="AI92" s="157"/>
      <c r="AJ92" s="388">
        <f t="shared" ref="AJ92:AJ93" si="244">AG92+AH92+AI92</f>
        <v>1203711</v>
      </c>
      <c r="AK92" s="125" t="s">
        <v>196</v>
      </c>
      <c r="AL92" s="417"/>
      <c r="AS92" s="297">
        <f t="shared" si="2"/>
        <v>-0.375</v>
      </c>
    </row>
    <row r="93" spans="1:45" ht="78.599999999999994" customHeight="1" x14ac:dyDescent="0.25">
      <c r="A93" s="153">
        <v>2</v>
      </c>
      <c r="B93" s="154" t="s">
        <v>197</v>
      </c>
      <c r="C93" s="112">
        <v>28051</v>
      </c>
      <c r="D93" s="112" t="s">
        <v>49</v>
      </c>
      <c r="E93" s="113" t="s">
        <v>198</v>
      </c>
      <c r="F93" s="153">
        <v>4.6500000000000004</v>
      </c>
      <c r="G93" s="113"/>
      <c r="H93" s="157"/>
      <c r="I93" s="157"/>
      <c r="J93" s="156"/>
      <c r="K93" s="113"/>
      <c r="L93" s="113"/>
      <c r="M93" s="157">
        <f t="shared" si="203"/>
        <v>1.1625000000000001</v>
      </c>
      <c r="N93" s="171"/>
      <c r="O93" s="190">
        <f t="shared" si="224"/>
        <v>13601.25</v>
      </c>
      <c r="P93" s="112">
        <v>49980</v>
      </c>
      <c r="Q93" s="212" t="s">
        <v>129</v>
      </c>
      <c r="R93" s="113">
        <f t="shared" si="237"/>
        <v>29.5</v>
      </c>
      <c r="S93" s="113">
        <v>29</v>
      </c>
      <c r="T93" s="113">
        <v>6</v>
      </c>
      <c r="U93" s="113">
        <f t="shared" si="206"/>
        <v>134</v>
      </c>
      <c r="V93" s="187">
        <f t="shared" si="238"/>
        <v>11.5</v>
      </c>
      <c r="W93" s="113">
        <v>11</v>
      </c>
      <c r="X93" s="113">
        <v>2</v>
      </c>
      <c r="Y93" s="157"/>
      <c r="Z93" s="157"/>
      <c r="AA93" s="385"/>
      <c r="AB93" s="385"/>
      <c r="AC93" s="180">
        <f t="shared" si="239"/>
        <v>1295519.0625</v>
      </c>
      <c r="AD93" s="180">
        <f t="shared" si="240"/>
        <v>652860</v>
      </c>
      <c r="AE93" s="180">
        <f t="shared" si="241"/>
        <v>601855.3125</v>
      </c>
      <c r="AF93" s="180">
        <f t="shared" si="242"/>
        <v>40803.75</v>
      </c>
      <c r="AG93" s="180">
        <f t="shared" si="243"/>
        <v>0</v>
      </c>
      <c r="AH93" s="180">
        <f>ROUND(AC93,0)</f>
        <v>1295519</v>
      </c>
      <c r="AI93" s="157"/>
      <c r="AJ93" s="388">
        <f t="shared" si="244"/>
        <v>1295519</v>
      </c>
      <c r="AK93" s="125" t="s">
        <v>196</v>
      </c>
      <c r="AL93" s="417"/>
      <c r="AS93" s="297">
        <f t="shared" si="2"/>
        <v>6.25E-2</v>
      </c>
    </row>
    <row r="94" spans="1:45" ht="42.75" customHeight="1" x14ac:dyDescent="0.25">
      <c r="A94" s="206" t="s">
        <v>217</v>
      </c>
      <c r="B94" s="496" t="s">
        <v>368</v>
      </c>
      <c r="C94" s="496"/>
      <c r="D94" s="113"/>
      <c r="E94" s="207"/>
      <c r="F94" s="153"/>
      <c r="G94" s="113"/>
      <c r="H94" s="157"/>
      <c r="I94" s="157"/>
      <c r="J94" s="254"/>
      <c r="K94" s="113"/>
      <c r="L94" s="113"/>
      <c r="M94" s="157"/>
      <c r="N94" s="171"/>
      <c r="O94" s="190"/>
      <c r="P94" s="194"/>
      <c r="Q94" s="174"/>
      <c r="R94" s="171"/>
      <c r="S94" s="113"/>
      <c r="T94" s="113"/>
      <c r="U94" s="113"/>
      <c r="V94" s="209"/>
      <c r="W94" s="113"/>
      <c r="X94" s="113"/>
      <c r="Y94" s="386">
        <f>Y95</f>
        <v>0</v>
      </c>
      <c r="Z94" s="386">
        <f t="shared" ref="Z94:AJ94" si="245">Z95</f>
        <v>0</v>
      </c>
      <c r="AA94" s="386">
        <f t="shared" si="245"/>
        <v>0</v>
      </c>
      <c r="AB94" s="386">
        <f t="shared" si="245"/>
        <v>0</v>
      </c>
      <c r="AC94" s="386">
        <f t="shared" si="245"/>
        <v>603500.62500000012</v>
      </c>
      <c r="AD94" s="386">
        <f t="shared" si="245"/>
        <v>367848.00000000006</v>
      </c>
      <c r="AE94" s="386">
        <f t="shared" si="245"/>
        <v>235652.62500000003</v>
      </c>
      <c r="AF94" s="386">
        <f t="shared" si="245"/>
        <v>0</v>
      </c>
      <c r="AG94" s="386">
        <f t="shared" si="245"/>
        <v>0</v>
      </c>
      <c r="AH94" s="386">
        <f t="shared" si="245"/>
        <v>603501</v>
      </c>
      <c r="AI94" s="386">
        <f t="shared" si="245"/>
        <v>0</v>
      </c>
      <c r="AJ94" s="386">
        <f t="shared" si="245"/>
        <v>603501</v>
      </c>
      <c r="AL94" s="417"/>
      <c r="AS94" s="297">
        <f t="shared" ref="AS94:AS95" si="246">Y94+Z94+AC94-AJ94</f>
        <v>-0.37499999988358468</v>
      </c>
    </row>
    <row r="95" spans="1:45" ht="64.2" customHeight="1" x14ac:dyDescent="0.25">
      <c r="A95" s="215">
        <v>1</v>
      </c>
      <c r="B95" s="244" t="s">
        <v>218</v>
      </c>
      <c r="C95" s="412">
        <v>28801</v>
      </c>
      <c r="D95" s="225" t="s">
        <v>49</v>
      </c>
      <c r="E95" s="222" t="s">
        <v>219</v>
      </c>
      <c r="F95" s="215">
        <v>2.62</v>
      </c>
      <c r="G95" s="228"/>
      <c r="H95" s="220"/>
      <c r="I95" s="220"/>
      <c r="J95" s="221"/>
      <c r="K95" s="228"/>
      <c r="L95" s="228"/>
      <c r="M95" s="220">
        <f t="shared" ref="M95" si="247">(F95+G95+H95+I95)*25%</f>
        <v>0.65500000000000003</v>
      </c>
      <c r="N95" s="227"/>
      <c r="O95" s="268">
        <f>SUM(F95:N95)*2340</f>
        <v>7663.5000000000009</v>
      </c>
      <c r="P95" s="225">
        <v>50740</v>
      </c>
      <c r="Q95" s="413" t="s">
        <v>129</v>
      </c>
      <c r="R95" s="228">
        <f t="shared" ref="R95" si="248">(S95)+(IF(T95=0,0,IF(T95&lt;7,1/2,1)))</f>
        <v>20.5</v>
      </c>
      <c r="S95" s="228">
        <v>20</v>
      </c>
      <c r="T95" s="228">
        <v>2</v>
      </c>
      <c r="U95" s="228">
        <f t="shared" ref="U95" si="249">(W95*12)+X95</f>
        <v>159</v>
      </c>
      <c r="V95" s="269">
        <f t="shared" ref="V95" si="250">(W95)+(IF(X95=0,0,IF(X95&lt;6,1/2,1)))</f>
        <v>13.5</v>
      </c>
      <c r="W95" s="228">
        <v>13</v>
      </c>
      <c r="X95" s="228">
        <v>3</v>
      </c>
      <c r="Y95" s="220"/>
      <c r="Z95" s="220"/>
      <c r="AA95" s="414"/>
      <c r="AB95" s="414"/>
      <c r="AC95" s="236">
        <f t="shared" ref="AC95" si="251">AD95+AE95+AF95</f>
        <v>603500.62500000012</v>
      </c>
      <c r="AD95" s="236">
        <f t="shared" ref="AD95" si="252">0.8*60*O95</f>
        <v>367848.00000000006</v>
      </c>
      <c r="AE95" s="236">
        <f t="shared" ref="AE95" si="253">1.5*O95*R95</f>
        <v>235652.62500000003</v>
      </c>
      <c r="AF95" s="236"/>
      <c r="AG95" s="236">
        <f t="shared" ref="AG95" si="254">ROUND(Y95+Z95,0)</f>
        <v>0</v>
      </c>
      <c r="AH95" s="236">
        <f>ROUND(AC95,0)</f>
        <v>603501</v>
      </c>
      <c r="AI95" s="220"/>
      <c r="AJ95" s="415">
        <f t="shared" ref="AJ95" si="255">AG95+AH95+AI95</f>
        <v>603501</v>
      </c>
      <c r="AL95" s="417"/>
      <c r="AS95" s="297">
        <f t="shared" si="246"/>
        <v>-0.37499999988358468</v>
      </c>
    </row>
    <row r="96" spans="1:45" ht="57" customHeight="1" x14ac:dyDescent="0.25">
      <c r="B96" s="529" t="s">
        <v>1205</v>
      </c>
      <c r="C96" s="530"/>
      <c r="D96" s="530"/>
      <c r="E96" s="530"/>
    </row>
  </sheetData>
  <mergeCells count="62">
    <mergeCell ref="B96:E96"/>
    <mergeCell ref="B94:C94"/>
    <mergeCell ref="A2:AJ3"/>
    <mergeCell ref="AA7:AA8"/>
    <mergeCell ref="AB7:AB8"/>
    <mergeCell ref="AG6:AJ6"/>
    <mergeCell ref="AG7:AH7"/>
    <mergeCell ref="AI7:AI8"/>
    <mergeCell ref="AE7:AE8"/>
    <mergeCell ref="AF7:AF8"/>
    <mergeCell ref="AD7:AD8"/>
    <mergeCell ref="S6:T6"/>
    <mergeCell ref="Y6:Y8"/>
    <mergeCell ref="Z6:Z8"/>
    <mergeCell ref="T7:T8"/>
    <mergeCell ref="X7:X8"/>
    <mergeCell ref="V6:V8"/>
    <mergeCell ref="W6:X6"/>
    <mergeCell ref="AA6:AB6"/>
    <mergeCell ref="R6:R8"/>
    <mergeCell ref="A6:A8"/>
    <mergeCell ref="B6:B8"/>
    <mergeCell ref="C6:C8"/>
    <mergeCell ref="D6:D8"/>
    <mergeCell ref="E6:E8"/>
    <mergeCell ref="Q6:Q8"/>
    <mergeCell ref="U6:U8"/>
    <mergeCell ref="G7:G8"/>
    <mergeCell ref="H7:H8"/>
    <mergeCell ref="S7:S8"/>
    <mergeCell ref="B24:E24"/>
    <mergeCell ref="A4:AJ4"/>
    <mergeCell ref="AJ7:AJ8"/>
    <mergeCell ref="AC6:AC8"/>
    <mergeCell ref="AD6:AF6"/>
    <mergeCell ref="G6:N6"/>
    <mergeCell ref="O6:O8"/>
    <mergeCell ref="K7:K8"/>
    <mergeCell ref="L7:L8"/>
    <mergeCell ref="N7:N8"/>
    <mergeCell ref="F6:F8"/>
    <mergeCell ref="M7:M8"/>
    <mergeCell ref="J7:J8"/>
    <mergeCell ref="I7:I8"/>
    <mergeCell ref="P6:P8"/>
    <mergeCell ref="W7:W8"/>
    <mergeCell ref="AH5:AJ5"/>
    <mergeCell ref="B5:E5"/>
    <mergeCell ref="AK84:AL85"/>
    <mergeCell ref="B86:C86"/>
    <mergeCell ref="B91:C91"/>
    <mergeCell ref="B68:C68"/>
    <mergeCell ref="B72:C72"/>
    <mergeCell ref="B75:C75"/>
    <mergeCell ref="B82:C82"/>
    <mergeCell ref="AK83:AL83"/>
    <mergeCell ref="E82:F82"/>
    <mergeCell ref="B31:E31"/>
    <mergeCell ref="B11:E11"/>
    <mergeCell ref="B15:E15"/>
    <mergeCell ref="B17:E17"/>
    <mergeCell ref="B19:E19"/>
  </mergeCells>
  <printOptions horizontalCentered="1"/>
  <pageMargins left="0.23622047244094491" right="0.23622047244094491" top="0.59055118110236227" bottom="0.59055118110236227" header="0.31496062992125984" footer="0.31496062992125984"/>
  <pageSetup paperSize="8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395"/>
  <sheetViews>
    <sheetView topLeftCell="A273" zoomScale="90" zoomScaleNormal="90" workbookViewId="0">
      <selection activeCell="E279" sqref="E279"/>
    </sheetView>
  </sheetViews>
  <sheetFormatPr defaultColWidth="9.109375" defaultRowHeight="21" x14ac:dyDescent="0.25"/>
  <cols>
    <col min="1" max="1" width="5.109375" style="128" customWidth="1"/>
    <col min="2" max="2" width="28.109375" style="272" customWidth="1"/>
    <col min="3" max="3" width="15.109375" style="128" customWidth="1"/>
    <col min="4" max="4" width="17.5546875" style="129" hidden="1" customWidth="1"/>
    <col min="5" max="5" width="26.6640625" style="129" customWidth="1"/>
    <col min="6" max="6" width="11.6640625" style="128" hidden="1" customWidth="1"/>
    <col min="7" max="7" width="8.33203125" style="129" hidden="1" customWidth="1"/>
    <col min="8" max="8" width="7.88671875" style="129" hidden="1" customWidth="1"/>
    <col min="9" max="9" width="8.33203125" style="129" hidden="1" customWidth="1"/>
    <col min="10" max="10" width="9" style="129" hidden="1" customWidth="1"/>
    <col min="11" max="11" width="6.5546875" style="129" hidden="1" customWidth="1"/>
    <col min="12" max="12" width="7.6640625" style="129" hidden="1" customWidth="1"/>
    <col min="13" max="13" width="8.5546875" style="129" hidden="1" customWidth="1"/>
    <col min="14" max="14" width="11" style="129" hidden="1" customWidth="1"/>
    <col min="15" max="15" width="14.6640625" style="129" hidden="1" customWidth="1"/>
    <col min="16" max="16" width="12.6640625" style="128" hidden="1" customWidth="1"/>
    <col min="17" max="17" width="12.88671875" style="128" hidden="1" customWidth="1"/>
    <col min="18" max="18" width="11.109375" style="129" hidden="1" customWidth="1"/>
    <col min="19" max="19" width="6.109375" style="130" hidden="1" customWidth="1"/>
    <col min="20" max="20" width="7.109375" style="130" hidden="1" customWidth="1"/>
    <col min="21" max="21" width="13.6640625" style="130" hidden="1" customWidth="1"/>
    <col min="22" max="22" width="12.109375" style="131" hidden="1" customWidth="1"/>
    <col min="23" max="23" width="5.33203125" style="130" hidden="1" customWidth="1"/>
    <col min="24" max="24" width="6.33203125" style="130" hidden="1" customWidth="1"/>
    <col min="25" max="25" width="19.33203125" style="132" hidden="1" customWidth="1"/>
    <col min="26" max="26" width="19.88671875" style="128" hidden="1" customWidth="1"/>
    <col min="27" max="28" width="16.88671875" style="129" hidden="1" customWidth="1"/>
    <col min="29" max="29" width="19.88671875" style="133" hidden="1" customWidth="1"/>
    <col min="30" max="31" width="19.88671875" style="134" hidden="1" customWidth="1"/>
    <col min="32" max="32" width="18.88671875" style="134" hidden="1" customWidth="1"/>
    <col min="33" max="33" width="20.44140625" style="119" customWidth="1"/>
    <col min="34" max="34" width="19.5546875" style="129" customWidth="1"/>
    <col min="35" max="35" width="11.44140625" style="129" customWidth="1"/>
    <col min="36" max="36" width="19.6640625" style="273" customWidth="1"/>
    <col min="37" max="16384" width="9.109375" style="129"/>
  </cols>
  <sheetData>
    <row r="1" spans="1:36" s="118" customFormat="1" x14ac:dyDescent="0.25">
      <c r="A1" s="116"/>
      <c r="B1" s="117"/>
      <c r="E1" s="119"/>
      <c r="P1" s="116"/>
      <c r="Q1" s="116"/>
      <c r="S1" s="120"/>
      <c r="T1" s="120"/>
      <c r="U1" s="120"/>
      <c r="V1" s="121"/>
      <c r="W1" s="120"/>
      <c r="X1" s="120"/>
      <c r="Y1" s="122"/>
      <c r="AC1" s="123"/>
      <c r="AJ1" s="118" t="s">
        <v>1103</v>
      </c>
    </row>
    <row r="2" spans="1:36" s="124" customFormat="1" ht="39.9" customHeight="1" x14ac:dyDescent="0.25">
      <c r="A2" s="531" t="s">
        <v>1191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M2" s="531"/>
      <c r="N2" s="531"/>
      <c r="O2" s="531"/>
      <c r="P2" s="531"/>
      <c r="Q2" s="531"/>
      <c r="R2" s="531"/>
      <c r="S2" s="531"/>
      <c r="T2" s="531"/>
      <c r="U2" s="531"/>
      <c r="V2" s="531"/>
      <c r="W2" s="531"/>
      <c r="X2" s="531"/>
      <c r="Y2" s="531"/>
      <c r="Z2" s="531"/>
      <c r="AA2" s="531"/>
      <c r="AB2" s="531"/>
      <c r="AC2" s="531"/>
      <c r="AD2" s="531"/>
      <c r="AE2" s="531"/>
      <c r="AF2" s="531"/>
      <c r="AG2" s="531"/>
      <c r="AH2" s="531"/>
      <c r="AI2" s="531"/>
      <c r="AJ2" s="531"/>
    </row>
    <row r="3" spans="1:36" s="125" customFormat="1" ht="35.25" customHeight="1" x14ac:dyDescent="0.25">
      <c r="A3" s="531"/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  <c r="N3" s="531"/>
      <c r="O3" s="531"/>
      <c r="P3" s="531"/>
      <c r="Q3" s="531"/>
      <c r="R3" s="531"/>
      <c r="S3" s="531"/>
      <c r="T3" s="531"/>
      <c r="U3" s="531"/>
      <c r="V3" s="531"/>
      <c r="W3" s="531"/>
      <c r="X3" s="531"/>
      <c r="Y3" s="531"/>
      <c r="Z3" s="531"/>
      <c r="AA3" s="531"/>
      <c r="AB3" s="531"/>
      <c r="AC3" s="531"/>
      <c r="AD3" s="531"/>
      <c r="AE3" s="531"/>
      <c r="AF3" s="531"/>
      <c r="AG3" s="531"/>
      <c r="AH3" s="531"/>
      <c r="AI3" s="531"/>
      <c r="AJ3" s="531"/>
    </row>
    <row r="4" spans="1:36" s="125" customFormat="1" ht="28.5" customHeight="1" x14ac:dyDescent="0.25">
      <c r="A4" s="500" t="s">
        <v>1203</v>
      </c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  <c r="R4" s="500"/>
      <c r="S4" s="500"/>
      <c r="T4" s="500"/>
      <c r="U4" s="500"/>
      <c r="V4" s="500"/>
      <c r="W4" s="500"/>
      <c r="X4" s="500"/>
      <c r="Y4" s="500"/>
      <c r="Z4" s="500"/>
      <c r="AA4" s="500"/>
      <c r="AB4" s="500"/>
      <c r="AC4" s="500"/>
      <c r="AD4" s="500"/>
      <c r="AE4" s="500"/>
      <c r="AF4" s="500"/>
      <c r="AG4" s="500"/>
      <c r="AH4" s="500"/>
      <c r="AI4" s="500"/>
      <c r="AJ4" s="500"/>
    </row>
    <row r="5" spans="1:36" ht="28.5" customHeight="1" x14ac:dyDescent="0.25">
      <c r="A5" s="126"/>
      <c r="B5" s="548"/>
      <c r="C5" s="548"/>
      <c r="D5" s="548"/>
      <c r="E5" s="127"/>
      <c r="S5" s="129"/>
      <c r="T5" s="129"/>
      <c r="AI5" s="549" t="s">
        <v>50</v>
      </c>
      <c r="AJ5" s="549"/>
    </row>
    <row r="6" spans="1:36" s="132" customFormat="1" ht="30" customHeight="1" x14ac:dyDescent="0.25">
      <c r="A6" s="550" t="s">
        <v>0</v>
      </c>
      <c r="B6" s="550" t="s">
        <v>1</v>
      </c>
      <c r="C6" s="551" t="s">
        <v>2</v>
      </c>
      <c r="D6" s="550" t="s">
        <v>3</v>
      </c>
      <c r="E6" s="552" t="s">
        <v>28</v>
      </c>
      <c r="F6" s="553" t="s">
        <v>9</v>
      </c>
      <c r="G6" s="556" t="s">
        <v>19</v>
      </c>
      <c r="H6" s="556"/>
      <c r="I6" s="556"/>
      <c r="J6" s="556"/>
      <c r="K6" s="556"/>
      <c r="L6" s="556"/>
      <c r="M6" s="556"/>
      <c r="N6" s="556"/>
      <c r="O6" s="557" t="s">
        <v>27</v>
      </c>
      <c r="P6" s="560" t="s">
        <v>14</v>
      </c>
      <c r="Q6" s="551" t="s">
        <v>15</v>
      </c>
      <c r="R6" s="557" t="s">
        <v>10</v>
      </c>
      <c r="S6" s="570" t="s">
        <v>11</v>
      </c>
      <c r="T6" s="571"/>
      <c r="U6" s="590" t="s">
        <v>4</v>
      </c>
      <c r="V6" s="593" t="s">
        <v>32</v>
      </c>
      <c r="W6" s="567" t="s">
        <v>11</v>
      </c>
      <c r="X6" s="567"/>
      <c r="Y6" s="553" t="s">
        <v>21</v>
      </c>
      <c r="Z6" s="563" t="s">
        <v>29</v>
      </c>
      <c r="AA6" s="566" t="s">
        <v>11</v>
      </c>
      <c r="AB6" s="566"/>
      <c r="AC6" s="576" t="s">
        <v>30</v>
      </c>
      <c r="AD6" s="579" t="s">
        <v>11</v>
      </c>
      <c r="AE6" s="580"/>
      <c r="AF6" s="581"/>
      <c r="AG6" s="582" t="s">
        <v>1192</v>
      </c>
      <c r="AH6" s="583"/>
      <c r="AI6" s="583"/>
      <c r="AJ6" s="584"/>
    </row>
    <row r="7" spans="1:36" s="132" customFormat="1" ht="43.5" customHeight="1" x14ac:dyDescent="0.25">
      <c r="A7" s="550"/>
      <c r="B7" s="550"/>
      <c r="C7" s="551"/>
      <c r="D7" s="550"/>
      <c r="E7" s="552"/>
      <c r="F7" s="554"/>
      <c r="G7" s="588" t="s">
        <v>48</v>
      </c>
      <c r="H7" s="545" t="s">
        <v>42</v>
      </c>
      <c r="I7" s="545" t="s">
        <v>43</v>
      </c>
      <c r="J7" s="545" t="s">
        <v>44</v>
      </c>
      <c r="K7" s="545" t="s">
        <v>45</v>
      </c>
      <c r="L7" s="545" t="s">
        <v>46</v>
      </c>
      <c r="M7" s="545" t="s">
        <v>18</v>
      </c>
      <c r="N7" s="545" t="s">
        <v>47</v>
      </c>
      <c r="O7" s="558"/>
      <c r="P7" s="561"/>
      <c r="Q7" s="551"/>
      <c r="R7" s="558"/>
      <c r="S7" s="546" t="s">
        <v>12</v>
      </c>
      <c r="T7" s="546" t="s">
        <v>13</v>
      </c>
      <c r="U7" s="591"/>
      <c r="V7" s="594"/>
      <c r="W7" s="567" t="s">
        <v>24</v>
      </c>
      <c r="X7" s="567" t="s">
        <v>25</v>
      </c>
      <c r="Y7" s="554"/>
      <c r="Z7" s="564"/>
      <c r="AA7" s="568" t="s">
        <v>5</v>
      </c>
      <c r="AB7" s="568" t="s">
        <v>6</v>
      </c>
      <c r="AC7" s="577"/>
      <c r="AD7" s="568" t="s">
        <v>7</v>
      </c>
      <c r="AE7" s="568" t="s">
        <v>41</v>
      </c>
      <c r="AF7" s="568" t="s">
        <v>8</v>
      </c>
      <c r="AG7" s="587" t="s">
        <v>26</v>
      </c>
      <c r="AH7" s="587"/>
      <c r="AI7" s="572" t="s">
        <v>31</v>
      </c>
      <c r="AJ7" s="574" t="s">
        <v>51</v>
      </c>
    </row>
    <row r="8" spans="1:36" s="132" customFormat="1" ht="53.25" customHeight="1" x14ac:dyDescent="0.25">
      <c r="A8" s="550"/>
      <c r="B8" s="550"/>
      <c r="C8" s="551"/>
      <c r="D8" s="550"/>
      <c r="E8" s="552"/>
      <c r="F8" s="555"/>
      <c r="G8" s="589"/>
      <c r="H8" s="545"/>
      <c r="I8" s="545"/>
      <c r="J8" s="545"/>
      <c r="K8" s="545"/>
      <c r="L8" s="545"/>
      <c r="M8" s="545"/>
      <c r="N8" s="545"/>
      <c r="O8" s="559"/>
      <c r="P8" s="562"/>
      <c r="Q8" s="551"/>
      <c r="R8" s="559"/>
      <c r="S8" s="547"/>
      <c r="T8" s="547"/>
      <c r="U8" s="592"/>
      <c r="V8" s="595"/>
      <c r="W8" s="567"/>
      <c r="X8" s="567"/>
      <c r="Y8" s="555"/>
      <c r="Z8" s="565"/>
      <c r="AA8" s="569"/>
      <c r="AB8" s="569"/>
      <c r="AC8" s="578"/>
      <c r="AD8" s="569"/>
      <c r="AE8" s="569"/>
      <c r="AF8" s="569"/>
      <c r="AG8" s="135" t="s">
        <v>52</v>
      </c>
      <c r="AH8" s="135" t="s">
        <v>53</v>
      </c>
      <c r="AI8" s="573"/>
      <c r="AJ8" s="575"/>
    </row>
    <row r="9" spans="1:36" s="140" customFormat="1" ht="28.95" customHeight="1" x14ac:dyDescent="0.25">
      <c r="A9" s="136">
        <v>1</v>
      </c>
      <c r="B9" s="136">
        <v>2</v>
      </c>
      <c r="C9" s="136">
        <v>3</v>
      </c>
      <c r="D9" s="136"/>
      <c r="E9" s="136" t="s">
        <v>20</v>
      </c>
      <c r="F9" s="137">
        <v>5</v>
      </c>
      <c r="G9" s="136" t="s">
        <v>16</v>
      </c>
      <c r="H9" s="136"/>
      <c r="I9" s="136" t="s">
        <v>17</v>
      </c>
      <c r="J9" s="137">
        <v>8</v>
      </c>
      <c r="K9" s="136" t="s">
        <v>22</v>
      </c>
      <c r="L9" s="136" t="s">
        <v>33</v>
      </c>
      <c r="M9" s="137">
        <v>11</v>
      </c>
      <c r="N9" s="137"/>
      <c r="O9" s="136" t="s">
        <v>34</v>
      </c>
      <c r="P9" s="136" t="s">
        <v>23</v>
      </c>
      <c r="Q9" s="137">
        <v>5</v>
      </c>
      <c r="R9" s="136" t="s">
        <v>35</v>
      </c>
      <c r="S9" s="136" t="s">
        <v>33</v>
      </c>
      <c r="T9" s="137">
        <v>11</v>
      </c>
      <c r="U9" s="136" t="s">
        <v>36</v>
      </c>
      <c r="V9" s="136" t="s">
        <v>37</v>
      </c>
      <c r="W9" s="138"/>
      <c r="X9" s="136"/>
      <c r="Y9" s="136" t="s">
        <v>38</v>
      </c>
      <c r="Z9" s="137" t="s">
        <v>40</v>
      </c>
      <c r="AA9" s="137">
        <v>20</v>
      </c>
      <c r="AB9" s="137">
        <v>21</v>
      </c>
      <c r="AC9" s="137" t="s">
        <v>39</v>
      </c>
      <c r="AD9" s="137">
        <v>23</v>
      </c>
      <c r="AE9" s="137">
        <v>24</v>
      </c>
      <c r="AF9" s="137">
        <v>25</v>
      </c>
      <c r="AG9" s="137">
        <v>5</v>
      </c>
      <c r="AH9" s="137">
        <v>6</v>
      </c>
      <c r="AI9" s="137">
        <v>7</v>
      </c>
      <c r="AJ9" s="139" t="s">
        <v>55</v>
      </c>
    </row>
    <row r="10" spans="1:36" s="146" customFormat="1" ht="43.2" customHeight="1" x14ac:dyDescent="0.25">
      <c r="A10" s="141"/>
      <c r="B10" s="141" t="s">
        <v>54</v>
      </c>
      <c r="C10" s="142"/>
      <c r="D10" s="142"/>
      <c r="E10" s="143"/>
      <c r="F10" s="144"/>
      <c r="G10" s="142"/>
      <c r="H10" s="142"/>
      <c r="I10" s="142"/>
      <c r="J10" s="144"/>
      <c r="K10" s="142"/>
      <c r="L10" s="142"/>
      <c r="M10" s="144"/>
      <c r="N10" s="144"/>
      <c r="O10" s="142"/>
      <c r="P10" s="142"/>
      <c r="Q10" s="144"/>
      <c r="R10" s="142"/>
      <c r="S10" s="142"/>
      <c r="T10" s="144"/>
      <c r="U10" s="142"/>
      <c r="V10" s="142"/>
      <c r="W10" s="142"/>
      <c r="X10" s="142"/>
      <c r="Y10" s="141">
        <f t="shared" ref="Y10:AJ10" si="0">Y11+Y15+Y24+Y26+Y36+Y42+Y49+Y54+Y65+Y71+Y81+Y84+Y95+Y101+Y109+Y118+Y120+Y124+Y128+Y131+Y135+Y140+Y142+Y144+Y148+Y152+Y158+Y163+Y171+Y175+Y182+Y184+Y192+Y195+Y197+Y204+Y212+Y220+Y225+Y235+Y247+Y254+Y263+Y268+Y272+Y275+Y282+Y287+Y301+Y291+Y303+Y310+Y312+Y317+Y319+Y331+Y336+Y347+Y350+Y355+Y359+Y365+Y375+Y379+Y390</f>
        <v>35354966.031000003</v>
      </c>
      <c r="Z10" s="141">
        <f t="shared" si="0"/>
        <v>27407327.564999998</v>
      </c>
      <c r="AA10" s="141">
        <f t="shared" si="0"/>
        <v>21019407.434999999</v>
      </c>
      <c r="AB10" s="141">
        <f t="shared" si="0"/>
        <v>6387295.004999999</v>
      </c>
      <c r="AC10" s="141">
        <f t="shared" si="0"/>
        <v>230082174.26999998</v>
      </c>
      <c r="AD10" s="141">
        <f t="shared" si="0"/>
        <v>137206180.79999998</v>
      </c>
      <c r="AE10" s="141">
        <f t="shared" si="0"/>
        <v>84453551.910000011</v>
      </c>
      <c r="AF10" s="141">
        <f t="shared" si="0"/>
        <v>8422441.5600000005</v>
      </c>
      <c r="AG10" s="141">
        <f t="shared" si="0"/>
        <v>62762299</v>
      </c>
      <c r="AH10" s="141">
        <f t="shared" si="0"/>
        <v>230082192</v>
      </c>
      <c r="AI10" s="141">
        <f t="shared" si="0"/>
        <v>0</v>
      </c>
      <c r="AJ10" s="145">
        <f t="shared" si="0"/>
        <v>292844491</v>
      </c>
    </row>
    <row r="11" spans="1:36" s="146" customFormat="1" ht="37.5" customHeight="1" x14ac:dyDescent="0.25">
      <c r="A11" s="147">
        <v>1</v>
      </c>
      <c r="B11" s="148" t="s">
        <v>384</v>
      </c>
      <c r="C11" s="149"/>
      <c r="D11" s="149"/>
      <c r="E11" s="149"/>
      <c r="F11" s="151"/>
      <c r="G11" s="149"/>
      <c r="H11" s="149"/>
      <c r="I11" s="149"/>
      <c r="J11" s="151"/>
      <c r="K11" s="149"/>
      <c r="L11" s="149"/>
      <c r="M11" s="151"/>
      <c r="N11" s="151"/>
      <c r="O11" s="149"/>
      <c r="P11" s="149"/>
      <c r="Q11" s="151"/>
      <c r="R11" s="149"/>
      <c r="S11" s="149"/>
      <c r="T11" s="151"/>
      <c r="U11" s="149"/>
      <c r="V11" s="149"/>
      <c r="W11" s="149"/>
      <c r="X11" s="149"/>
      <c r="Y11" s="147">
        <f t="shared" ref="Y11:AJ11" si="1">SUM(Y12:Y14)</f>
        <v>786591.00000000012</v>
      </c>
      <c r="Z11" s="147">
        <f t="shared" si="1"/>
        <v>761099.62500000012</v>
      </c>
      <c r="AA11" s="147">
        <f t="shared" si="1"/>
        <v>582660.00000000012</v>
      </c>
      <c r="AB11" s="147">
        <f t="shared" si="1"/>
        <v>178439.62500000003</v>
      </c>
      <c r="AC11" s="147">
        <f t="shared" si="1"/>
        <v>2108829.9375</v>
      </c>
      <c r="AD11" s="147">
        <f t="shared" si="1"/>
        <v>1166724</v>
      </c>
      <c r="AE11" s="147">
        <f t="shared" si="1"/>
        <v>869185.6875</v>
      </c>
      <c r="AF11" s="147">
        <f t="shared" si="1"/>
        <v>72920.25</v>
      </c>
      <c r="AG11" s="147">
        <f t="shared" si="1"/>
        <v>1547691</v>
      </c>
      <c r="AH11" s="147">
        <f t="shared" si="1"/>
        <v>2108830</v>
      </c>
      <c r="AI11" s="147">
        <f t="shared" si="1"/>
        <v>0</v>
      </c>
      <c r="AJ11" s="152">
        <f t="shared" si="1"/>
        <v>3656521</v>
      </c>
    </row>
    <row r="12" spans="1:36" s="132" customFormat="1" ht="39" customHeight="1" x14ac:dyDescent="0.25">
      <c r="A12" s="153">
        <v>1</v>
      </c>
      <c r="B12" s="154" t="s">
        <v>385</v>
      </c>
      <c r="C12" s="112">
        <v>26756</v>
      </c>
      <c r="D12" s="113" t="s">
        <v>386</v>
      </c>
      <c r="E12" s="113" t="s">
        <v>387</v>
      </c>
      <c r="F12" s="155">
        <v>4.9800000000000004</v>
      </c>
      <c r="G12" s="113"/>
      <c r="H12" s="113"/>
      <c r="I12" s="156"/>
      <c r="J12" s="156"/>
      <c r="K12" s="157"/>
      <c r="L12" s="157"/>
      <c r="M12" s="157">
        <f>(F12+G12+H12+I12)*25%</f>
        <v>1.2450000000000001</v>
      </c>
      <c r="N12" s="157"/>
      <c r="O12" s="158">
        <f>SUM(F12:N12)*2340</f>
        <v>14566.500000000002</v>
      </c>
      <c r="P12" s="112">
        <v>49430</v>
      </c>
      <c r="Q12" s="112">
        <v>45901</v>
      </c>
      <c r="R12" s="113">
        <f>(S12)+(IF(T12=0,0,IF(T12&lt;7,1/2,1)))</f>
        <v>31.5</v>
      </c>
      <c r="S12" s="113">
        <v>31</v>
      </c>
      <c r="T12" s="113">
        <v>6</v>
      </c>
      <c r="U12" s="113">
        <f>(W12*12)+X12</f>
        <v>116</v>
      </c>
      <c r="V12" s="159">
        <f>(W12)+(IF(X12=0,0,IF(X12&lt;7,1/2,1)))</f>
        <v>10</v>
      </c>
      <c r="W12" s="113">
        <v>9</v>
      </c>
      <c r="X12" s="113">
        <v>8</v>
      </c>
      <c r="Y12" s="160">
        <f>0.9*60*O12</f>
        <v>786591.00000000012</v>
      </c>
      <c r="Z12" s="161">
        <f>SUM(AA12:AB12)</f>
        <v>761099.62500000012</v>
      </c>
      <c r="AA12" s="162">
        <f>4*V12*O12</f>
        <v>582660.00000000012</v>
      </c>
      <c r="AB12" s="163">
        <f>SUM(4*O12)+(0.5*(R12-15)*O12)</f>
        <v>178439.62500000003</v>
      </c>
      <c r="AC12" s="164"/>
      <c r="AD12" s="164"/>
      <c r="AE12" s="164"/>
      <c r="AF12" s="164"/>
      <c r="AG12" s="165">
        <f>ROUND(Y12+Z12,0)</f>
        <v>1547691</v>
      </c>
      <c r="AH12" s="165">
        <v>0</v>
      </c>
      <c r="AI12" s="166"/>
      <c r="AJ12" s="167">
        <f>AG12+AH12+AI12</f>
        <v>1547691</v>
      </c>
    </row>
    <row r="13" spans="1:36" s="119" customFormat="1" ht="39" customHeight="1" x14ac:dyDescent="0.25">
      <c r="A13" s="153">
        <v>2</v>
      </c>
      <c r="B13" s="168" t="s">
        <v>388</v>
      </c>
      <c r="C13" s="169">
        <v>27331</v>
      </c>
      <c r="D13" s="112" t="s">
        <v>389</v>
      </c>
      <c r="E13" s="423" t="s">
        <v>387</v>
      </c>
      <c r="F13" s="113">
        <v>4.32</v>
      </c>
      <c r="G13" s="157"/>
      <c r="H13" s="157"/>
      <c r="I13" s="156"/>
      <c r="J13" s="156"/>
      <c r="K13" s="157"/>
      <c r="L13" s="171"/>
      <c r="M13" s="157">
        <f>(F13+G13+H13)*25%</f>
        <v>1.08</v>
      </c>
      <c r="N13" s="172"/>
      <c r="O13" s="173">
        <f>SUM(F13:N13)*2340</f>
        <v>12636</v>
      </c>
      <c r="P13" s="112">
        <v>49980</v>
      </c>
      <c r="Q13" s="174"/>
      <c r="R13" s="113">
        <f>(S13)+(IF(T13=0,0,IF(T13&lt;7,1/2,1)))</f>
        <v>26</v>
      </c>
      <c r="S13" s="113">
        <v>25</v>
      </c>
      <c r="T13" s="113">
        <v>11</v>
      </c>
      <c r="U13" s="113">
        <f>(W13*12)+X13</f>
        <v>134</v>
      </c>
      <c r="V13" s="175">
        <f>(W13)+(IF(X13=0,0,IF(X13&lt;6,1/2,1)))</f>
        <v>11.5</v>
      </c>
      <c r="W13" s="113">
        <v>11</v>
      </c>
      <c r="X13" s="113">
        <v>2</v>
      </c>
      <c r="Y13" s="160"/>
      <c r="Z13" s="161"/>
      <c r="AA13" s="176"/>
      <c r="AB13" s="176"/>
      <c r="AC13" s="177">
        <f>AD13+AE13+AF13</f>
        <v>1137240</v>
      </c>
      <c r="AD13" s="178">
        <f>0.8*60*O13</f>
        <v>606528</v>
      </c>
      <c r="AE13" s="179">
        <f>1.5*O13*R13</f>
        <v>492804</v>
      </c>
      <c r="AF13" s="180">
        <f>3*O13</f>
        <v>37908</v>
      </c>
      <c r="AG13" s="165">
        <f>ROUND(Y13+Z13,0)</f>
        <v>0</v>
      </c>
      <c r="AH13" s="165">
        <f>ROUND(AC13,0)</f>
        <v>1137240</v>
      </c>
      <c r="AI13" s="165"/>
      <c r="AJ13" s="167">
        <f>AG13+AH13+AI13</f>
        <v>1137240</v>
      </c>
    </row>
    <row r="14" spans="1:36" s="119" customFormat="1" ht="39" customHeight="1" x14ac:dyDescent="0.25">
      <c r="A14" s="153">
        <v>3</v>
      </c>
      <c r="B14" s="168" t="s">
        <v>390</v>
      </c>
      <c r="C14" s="169">
        <v>30010</v>
      </c>
      <c r="D14" s="112" t="s">
        <v>391</v>
      </c>
      <c r="E14" s="423" t="s">
        <v>392</v>
      </c>
      <c r="F14" s="113">
        <v>3.99</v>
      </c>
      <c r="G14" s="157"/>
      <c r="H14" s="157"/>
      <c r="I14" s="156"/>
      <c r="J14" s="156"/>
      <c r="K14" s="157"/>
      <c r="L14" s="171"/>
      <c r="M14" s="157">
        <f>(F14+G14+H14)*25%</f>
        <v>0.99750000000000005</v>
      </c>
      <c r="N14" s="172"/>
      <c r="O14" s="158">
        <f>SUM(F14:N14)*2340</f>
        <v>11670.750000000002</v>
      </c>
      <c r="P14" s="112">
        <v>52657</v>
      </c>
      <c r="Q14" s="174"/>
      <c r="R14" s="113">
        <f>(S14)+(IF(T14=0,0,IF(T14&lt;7,1/2,1)))</f>
        <v>21.5</v>
      </c>
      <c r="S14" s="113">
        <v>21</v>
      </c>
      <c r="T14" s="113">
        <v>3</v>
      </c>
      <c r="U14" s="113">
        <f>(W14*12)+X14</f>
        <v>222</v>
      </c>
      <c r="V14" s="175">
        <f>(W14)+(IF(X14=0,0,IF(X14&lt;6,1/2,1)))</f>
        <v>19</v>
      </c>
      <c r="W14" s="113">
        <v>18</v>
      </c>
      <c r="X14" s="113">
        <v>6</v>
      </c>
      <c r="Y14" s="160"/>
      <c r="Z14" s="161"/>
      <c r="AA14" s="176"/>
      <c r="AB14" s="176"/>
      <c r="AC14" s="177">
        <f>AD14+AE14+AF14</f>
        <v>971589.93750000023</v>
      </c>
      <c r="AD14" s="178">
        <f>0.8*60*O14</f>
        <v>560196.00000000012</v>
      </c>
      <c r="AE14" s="179">
        <f>1.5*O14*R14</f>
        <v>376381.68750000006</v>
      </c>
      <c r="AF14" s="180">
        <f>3*O14</f>
        <v>35012.250000000007</v>
      </c>
      <c r="AG14" s="165">
        <f>ROUND(Y14+Z14,0)</f>
        <v>0</v>
      </c>
      <c r="AH14" s="165">
        <f>ROUND(AC14,0)</f>
        <v>971590</v>
      </c>
      <c r="AI14" s="165"/>
      <c r="AJ14" s="167">
        <f>AG14+AH14+AI14</f>
        <v>971590</v>
      </c>
    </row>
    <row r="15" spans="1:36" ht="39" customHeight="1" x14ac:dyDescent="0.25">
      <c r="A15" s="181">
        <v>2</v>
      </c>
      <c r="B15" s="182" t="s">
        <v>393</v>
      </c>
      <c r="C15" s="183"/>
      <c r="D15" s="183"/>
      <c r="E15" s="183"/>
      <c r="F15" s="185"/>
      <c r="G15" s="183"/>
      <c r="H15" s="183"/>
      <c r="I15" s="183"/>
      <c r="J15" s="185"/>
      <c r="K15" s="183"/>
      <c r="L15" s="183"/>
      <c r="M15" s="185"/>
      <c r="N15" s="185"/>
      <c r="O15" s="183"/>
      <c r="P15" s="183"/>
      <c r="Q15" s="185"/>
      <c r="R15" s="183"/>
      <c r="S15" s="183"/>
      <c r="T15" s="185"/>
      <c r="U15" s="183"/>
      <c r="V15" s="183"/>
      <c r="W15" s="183"/>
      <c r="X15" s="183"/>
      <c r="Y15" s="181">
        <f t="shared" ref="Y15:AJ15" si="2">SUM(Y16:Y23)</f>
        <v>406809</v>
      </c>
      <c r="Z15" s="181">
        <f t="shared" si="2"/>
        <v>248902.875</v>
      </c>
      <c r="AA15" s="181">
        <f t="shared" si="2"/>
        <v>187346.25</v>
      </c>
      <c r="AB15" s="181">
        <f t="shared" si="2"/>
        <v>61556.625</v>
      </c>
      <c r="AC15" s="181">
        <f t="shared" si="2"/>
        <v>5927446.6875</v>
      </c>
      <c r="AD15" s="181">
        <f t="shared" si="2"/>
        <v>3630744</v>
      </c>
      <c r="AE15" s="181">
        <f t="shared" si="2"/>
        <v>2069781.1875</v>
      </c>
      <c r="AF15" s="181">
        <f t="shared" si="2"/>
        <v>226921.5</v>
      </c>
      <c r="AG15" s="181">
        <f t="shared" si="2"/>
        <v>655712</v>
      </c>
      <c r="AH15" s="181">
        <f t="shared" si="2"/>
        <v>5927448</v>
      </c>
      <c r="AI15" s="181">
        <f t="shared" si="2"/>
        <v>0</v>
      </c>
      <c r="AJ15" s="186">
        <f t="shared" si="2"/>
        <v>6583160</v>
      </c>
    </row>
    <row r="16" spans="1:36" ht="40.200000000000003" customHeight="1" x14ac:dyDescent="0.25">
      <c r="A16" s="153">
        <v>1</v>
      </c>
      <c r="B16" s="168" t="s">
        <v>394</v>
      </c>
      <c r="C16" s="169">
        <v>26209</v>
      </c>
      <c r="D16" s="112" t="s">
        <v>154</v>
      </c>
      <c r="E16" s="423" t="s">
        <v>392</v>
      </c>
      <c r="F16" s="113">
        <v>3.66</v>
      </c>
      <c r="G16" s="157"/>
      <c r="H16" s="157"/>
      <c r="I16" s="156"/>
      <c r="J16" s="156"/>
      <c r="K16" s="157"/>
      <c r="L16" s="171"/>
      <c r="M16" s="157">
        <f t="shared" ref="M16:M23" si="3">(F16+G16+H16)*25%</f>
        <v>0.91500000000000004</v>
      </c>
      <c r="N16" s="172"/>
      <c r="O16" s="190">
        <f t="shared" ref="O16:O23" si="4">SUM(F16:N16)*2340</f>
        <v>10705.5</v>
      </c>
      <c r="P16" s="112">
        <v>47058</v>
      </c>
      <c r="Q16" s="174">
        <v>45901</v>
      </c>
      <c r="R16" s="113">
        <f t="shared" ref="R16:R23" si="5">(S16)+(IF(T16=0,0,IF(T16&lt;7,1/2,1)))</f>
        <v>18.5</v>
      </c>
      <c r="S16" s="113">
        <v>18</v>
      </c>
      <c r="T16" s="113">
        <v>3</v>
      </c>
      <c r="U16" s="113">
        <f t="shared" ref="U16:U23" si="6">(W16*12)+X16</f>
        <v>38</v>
      </c>
      <c r="V16" s="187">
        <f>(W16)+(IF(X16=0,0,IF(X16&lt;6,1/2,1)))</f>
        <v>3.5</v>
      </c>
      <c r="W16" s="113">
        <v>3</v>
      </c>
      <c r="X16" s="113">
        <v>2</v>
      </c>
      <c r="Y16" s="160">
        <f>U16*O16</f>
        <v>406809</v>
      </c>
      <c r="Z16" s="161">
        <f>SUM(AA16:AB16)</f>
        <v>248902.875</v>
      </c>
      <c r="AA16" s="162">
        <f>5*V16*O16</f>
        <v>187346.25</v>
      </c>
      <c r="AB16" s="163">
        <f>SUM(4*O16)+(0.5*O16*(R16-15))</f>
        <v>61556.625</v>
      </c>
      <c r="AC16" s="177"/>
      <c r="AD16" s="178"/>
      <c r="AE16" s="179"/>
      <c r="AF16" s="180"/>
      <c r="AG16" s="196">
        <f t="shared" ref="AG16:AG23" si="7">ROUND(Y16+Z16,0)</f>
        <v>655712</v>
      </c>
      <c r="AH16" s="196">
        <f>AC16</f>
        <v>0</v>
      </c>
      <c r="AI16" s="162"/>
      <c r="AJ16" s="197">
        <f t="shared" ref="AJ16:AJ23" si="8">AG16+AH16+AI16</f>
        <v>655712</v>
      </c>
    </row>
    <row r="17" spans="1:36" ht="40.200000000000003" customHeight="1" x14ac:dyDescent="0.25">
      <c r="A17" s="153">
        <v>2</v>
      </c>
      <c r="B17" s="168" t="s">
        <v>395</v>
      </c>
      <c r="C17" s="169">
        <v>31017</v>
      </c>
      <c r="D17" s="112" t="s">
        <v>154</v>
      </c>
      <c r="E17" s="423" t="s">
        <v>396</v>
      </c>
      <c r="F17" s="113">
        <v>3.66</v>
      </c>
      <c r="G17" s="157"/>
      <c r="H17" s="157"/>
      <c r="I17" s="156"/>
      <c r="J17" s="156"/>
      <c r="K17" s="157"/>
      <c r="L17" s="171"/>
      <c r="M17" s="157">
        <f t="shared" si="3"/>
        <v>0.91500000000000004</v>
      </c>
      <c r="N17" s="172"/>
      <c r="O17" s="190">
        <f t="shared" si="4"/>
        <v>10705.5</v>
      </c>
      <c r="P17" s="112">
        <v>51136</v>
      </c>
      <c r="Q17" s="195">
        <v>45901</v>
      </c>
      <c r="R17" s="113">
        <f t="shared" si="5"/>
        <v>18</v>
      </c>
      <c r="S17" s="113">
        <v>17</v>
      </c>
      <c r="T17" s="113">
        <v>9</v>
      </c>
      <c r="U17" s="113">
        <f t="shared" si="6"/>
        <v>172</v>
      </c>
      <c r="V17" s="187">
        <f>(W17)+(IF(X17=0,0,IF(X17&lt;6,1/2,1)))</f>
        <v>14.5</v>
      </c>
      <c r="W17" s="113">
        <v>14</v>
      </c>
      <c r="X17" s="113">
        <v>4</v>
      </c>
      <c r="Y17" s="160"/>
      <c r="Z17" s="161"/>
      <c r="AA17" s="176"/>
      <c r="AB17" s="176"/>
      <c r="AC17" s="177">
        <f t="shared" ref="AC17:AC23" si="9">AD17+AE17+AF17</f>
        <v>835029</v>
      </c>
      <c r="AD17" s="178">
        <f t="shared" ref="AD17:AD23" si="10">0.8*60*O17</f>
        <v>513864</v>
      </c>
      <c r="AE17" s="179">
        <f t="shared" ref="AE17:AE23" si="11">1.5*O17*R17</f>
        <v>289048.5</v>
      </c>
      <c r="AF17" s="180">
        <f t="shared" ref="AF17:AF23" si="12">3*O17</f>
        <v>32116.5</v>
      </c>
      <c r="AG17" s="165">
        <f t="shared" si="7"/>
        <v>0</v>
      </c>
      <c r="AH17" s="165">
        <f t="shared" ref="AH17:AH23" si="13">ROUND(AC17,0)</f>
        <v>835029</v>
      </c>
      <c r="AI17" s="165"/>
      <c r="AJ17" s="167">
        <f t="shared" si="8"/>
        <v>835029</v>
      </c>
    </row>
    <row r="18" spans="1:36" ht="40.200000000000003" customHeight="1" x14ac:dyDescent="0.25">
      <c r="A18" s="153">
        <v>3</v>
      </c>
      <c r="B18" s="168" t="s">
        <v>397</v>
      </c>
      <c r="C18" s="169">
        <v>32231</v>
      </c>
      <c r="D18" s="112" t="s">
        <v>154</v>
      </c>
      <c r="E18" s="423" t="s">
        <v>398</v>
      </c>
      <c r="F18" s="113">
        <v>3.33</v>
      </c>
      <c r="G18" s="157"/>
      <c r="H18" s="157"/>
      <c r="I18" s="156"/>
      <c r="J18" s="156"/>
      <c r="K18" s="157"/>
      <c r="L18" s="171"/>
      <c r="M18" s="157">
        <f t="shared" si="3"/>
        <v>0.83250000000000002</v>
      </c>
      <c r="N18" s="172"/>
      <c r="O18" s="190">
        <f t="shared" si="4"/>
        <v>9740.25</v>
      </c>
      <c r="P18" s="112">
        <v>54149</v>
      </c>
      <c r="Q18" s="195">
        <v>45901</v>
      </c>
      <c r="R18" s="113">
        <f t="shared" si="5"/>
        <v>10.5</v>
      </c>
      <c r="S18" s="113">
        <v>10</v>
      </c>
      <c r="T18" s="113">
        <v>6</v>
      </c>
      <c r="U18" s="113">
        <f t="shared" si="6"/>
        <v>271</v>
      </c>
      <c r="V18" s="209">
        <f>(W18)+(IF(X18=0,0,IF(X18&lt;7,1/2,1)))</f>
        <v>23</v>
      </c>
      <c r="W18" s="113">
        <v>22</v>
      </c>
      <c r="X18" s="113">
        <v>7</v>
      </c>
      <c r="Y18" s="160"/>
      <c r="Z18" s="161"/>
      <c r="AA18" s="176"/>
      <c r="AB18" s="176"/>
      <c r="AC18" s="177">
        <f t="shared" si="9"/>
        <v>650161.6875</v>
      </c>
      <c r="AD18" s="178">
        <f t="shared" si="10"/>
        <v>467532</v>
      </c>
      <c r="AE18" s="179">
        <f t="shared" si="11"/>
        <v>153408.9375</v>
      </c>
      <c r="AF18" s="180">
        <f t="shared" si="12"/>
        <v>29220.75</v>
      </c>
      <c r="AG18" s="165">
        <f t="shared" si="7"/>
        <v>0</v>
      </c>
      <c r="AH18" s="165">
        <f t="shared" si="13"/>
        <v>650162</v>
      </c>
      <c r="AI18" s="165"/>
      <c r="AJ18" s="167">
        <f t="shared" si="8"/>
        <v>650162</v>
      </c>
    </row>
    <row r="19" spans="1:36" ht="40.200000000000003" customHeight="1" x14ac:dyDescent="0.25">
      <c r="A19" s="153">
        <v>4</v>
      </c>
      <c r="B19" s="168" t="s">
        <v>399</v>
      </c>
      <c r="C19" s="169">
        <v>31838</v>
      </c>
      <c r="D19" s="112" t="s">
        <v>154</v>
      </c>
      <c r="E19" s="423" t="s">
        <v>398</v>
      </c>
      <c r="F19" s="113">
        <v>3.33</v>
      </c>
      <c r="G19" s="157"/>
      <c r="H19" s="157">
        <v>0.25</v>
      </c>
      <c r="I19" s="156"/>
      <c r="J19" s="156"/>
      <c r="K19" s="157"/>
      <c r="L19" s="171"/>
      <c r="M19" s="157">
        <f t="shared" si="3"/>
        <v>0.89500000000000002</v>
      </c>
      <c r="N19" s="172"/>
      <c r="O19" s="190">
        <f t="shared" si="4"/>
        <v>10471.5</v>
      </c>
      <c r="P19" s="112">
        <v>52688</v>
      </c>
      <c r="Q19" s="195">
        <v>45901</v>
      </c>
      <c r="R19" s="113">
        <f t="shared" si="5"/>
        <v>16</v>
      </c>
      <c r="S19" s="113">
        <v>15</v>
      </c>
      <c r="T19" s="113">
        <v>7</v>
      </c>
      <c r="U19" s="113">
        <f t="shared" si="6"/>
        <v>223</v>
      </c>
      <c r="V19" s="187">
        <f>(W19)+(IF(X19=0,0,IF(X19&lt;6,1/2,1)))</f>
        <v>19</v>
      </c>
      <c r="W19" s="113">
        <v>18</v>
      </c>
      <c r="X19" s="113">
        <v>7</v>
      </c>
      <c r="Y19" s="160"/>
      <c r="Z19" s="161"/>
      <c r="AA19" s="176"/>
      <c r="AB19" s="176"/>
      <c r="AC19" s="177">
        <f t="shared" si="9"/>
        <v>785362.5</v>
      </c>
      <c r="AD19" s="178">
        <f t="shared" si="10"/>
        <v>502632</v>
      </c>
      <c r="AE19" s="179">
        <f t="shared" si="11"/>
        <v>251316</v>
      </c>
      <c r="AF19" s="180">
        <f t="shared" si="12"/>
        <v>31414.5</v>
      </c>
      <c r="AG19" s="165">
        <f t="shared" si="7"/>
        <v>0</v>
      </c>
      <c r="AH19" s="165">
        <f t="shared" si="13"/>
        <v>785363</v>
      </c>
      <c r="AI19" s="165"/>
      <c r="AJ19" s="167">
        <f t="shared" si="8"/>
        <v>785363</v>
      </c>
    </row>
    <row r="20" spans="1:36" ht="40.200000000000003" customHeight="1" x14ac:dyDescent="0.25">
      <c r="A20" s="153">
        <v>5</v>
      </c>
      <c r="B20" s="168" t="s">
        <v>400</v>
      </c>
      <c r="C20" s="169">
        <v>27740</v>
      </c>
      <c r="D20" s="112" t="s">
        <v>154</v>
      </c>
      <c r="E20" s="423" t="s">
        <v>401</v>
      </c>
      <c r="F20" s="113">
        <v>4.32</v>
      </c>
      <c r="G20" s="157"/>
      <c r="H20" s="157">
        <v>0.25</v>
      </c>
      <c r="I20" s="156"/>
      <c r="J20" s="156"/>
      <c r="K20" s="157"/>
      <c r="L20" s="171"/>
      <c r="M20" s="157">
        <f t="shared" si="3"/>
        <v>1.1425000000000001</v>
      </c>
      <c r="N20" s="172"/>
      <c r="O20" s="190">
        <f t="shared" si="4"/>
        <v>13367.25</v>
      </c>
      <c r="P20" s="112">
        <v>50406</v>
      </c>
      <c r="Q20" s="195">
        <v>45901</v>
      </c>
      <c r="R20" s="113">
        <f t="shared" si="5"/>
        <v>24</v>
      </c>
      <c r="S20" s="113">
        <v>23</v>
      </c>
      <c r="T20" s="113">
        <v>8</v>
      </c>
      <c r="U20" s="113">
        <f t="shared" si="6"/>
        <v>148</v>
      </c>
      <c r="V20" s="187">
        <f>(W20)+(IF(X20=0,0,IF(X20&lt;6,1/2,1)))</f>
        <v>12.5</v>
      </c>
      <c r="W20" s="113">
        <v>12</v>
      </c>
      <c r="X20" s="113">
        <v>4</v>
      </c>
      <c r="Y20" s="160"/>
      <c r="Z20" s="161"/>
      <c r="AA20" s="176"/>
      <c r="AB20" s="176"/>
      <c r="AC20" s="177">
        <f t="shared" si="9"/>
        <v>1162950.75</v>
      </c>
      <c r="AD20" s="178">
        <f t="shared" si="10"/>
        <v>641628</v>
      </c>
      <c r="AE20" s="179">
        <f t="shared" si="11"/>
        <v>481221</v>
      </c>
      <c r="AF20" s="180">
        <f t="shared" si="12"/>
        <v>40101.75</v>
      </c>
      <c r="AG20" s="165">
        <f t="shared" si="7"/>
        <v>0</v>
      </c>
      <c r="AH20" s="165">
        <f t="shared" si="13"/>
        <v>1162951</v>
      </c>
      <c r="AI20" s="165"/>
      <c r="AJ20" s="167">
        <f t="shared" si="8"/>
        <v>1162951</v>
      </c>
    </row>
    <row r="21" spans="1:36" ht="40.200000000000003" customHeight="1" x14ac:dyDescent="0.25">
      <c r="A21" s="153">
        <v>6</v>
      </c>
      <c r="B21" s="168" t="s">
        <v>402</v>
      </c>
      <c r="C21" s="169">
        <v>30047</v>
      </c>
      <c r="D21" s="112" t="s">
        <v>154</v>
      </c>
      <c r="E21" s="423" t="s">
        <v>403</v>
      </c>
      <c r="F21" s="113">
        <v>3.66</v>
      </c>
      <c r="G21" s="157"/>
      <c r="H21" s="157"/>
      <c r="I21" s="156"/>
      <c r="J21" s="156"/>
      <c r="K21" s="157"/>
      <c r="L21" s="171"/>
      <c r="M21" s="157">
        <f t="shared" si="3"/>
        <v>0.91500000000000004</v>
      </c>
      <c r="N21" s="172"/>
      <c r="O21" s="190">
        <f t="shared" si="4"/>
        <v>10705.5</v>
      </c>
      <c r="P21" s="112">
        <v>50891</v>
      </c>
      <c r="Q21" s="195">
        <v>45901</v>
      </c>
      <c r="R21" s="113">
        <f t="shared" si="5"/>
        <v>21</v>
      </c>
      <c r="S21" s="113">
        <v>20</v>
      </c>
      <c r="T21" s="113">
        <v>11</v>
      </c>
      <c r="U21" s="113">
        <f t="shared" si="6"/>
        <v>164</v>
      </c>
      <c r="V21" s="187">
        <f>(W21)+(IF(X21=0,0,IF(X21&lt;6,1/2,1)))</f>
        <v>14</v>
      </c>
      <c r="W21" s="113">
        <v>13</v>
      </c>
      <c r="X21" s="113">
        <v>8</v>
      </c>
      <c r="Y21" s="160"/>
      <c r="Z21" s="161"/>
      <c r="AA21" s="176"/>
      <c r="AB21" s="176"/>
      <c r="AC21" s="177">
        <f t="shared" si="9"/>
        <v>883203.75</v>
      </c>
      <c r="AD21" s="178">
        <f t="shared" si="10"/>
        <v>513864</v>
      </c>
      <c r="AE21" s="179">
        <f t="shared" si="11"/>
        <v>337223.25</v>
      </c>
      <c r="AF21" s="180">
        <f t="shared" si="12"/>
        <v>32116.5</v>
      </c>
      <c r="AG21" s="165">
        <f t="shared" si="7"/>
        <v>0</v>
      </c>
      <c r="AH21" s="165">
        <f t="shared" si="13"/>
        <v>883204</v>
      </c>
      <c r="AI21" s="165"/>
      <c r="AJ21" s="167">
        <f t="shared" si="8"/>
        <v>883204</v>
      </c>
    </row>
    <row r="22" spans="1:36" ht="40.200000000000003" customHeight="1" x14ac:dyDescent="0.25">
      <c r="A22" s="153">
        <v>7</v>
      </c>
      <c r="B22" s="168" t="s">
        <v>404</v>
      </c>
      <c r="C22" s="169">
        <v>28772</v>
      </c>
      <c r="D22" s="112" t="s">
        <v>154</v>
      </c>
      <c r="E22" s="423" t="s">
        <v>405</v>
      </c>
      <c r="F22" s="113">
        <v>3.33</v>
      </c>
      <c r="G22" s="157"/>
      <c r="H22" s="157">
        <v>0.2</v>
      </c>
      <c r="I22" s="156"/>
      <c r="J22" s="156"/>
      <c r="K22" s="157"/>
      <c r="L22" s="171"/>
      <c r="M22" s="157">
        <f t="shared" si="3"/>
        <v>0.88250000000000006</v>
      </c>
      <c r="N22" s="172"/>
      <c r="O22" s="190">
        <f t="shared" si="4"/>
        <v>10325.250000000002</v>
      </c>
      <c r="P22" s="112">
        <v>51441</v>
      </c>
      <c r="Q22" s="195">
        <v>45901</v>
      </c>
      <c r="R22" s="113">
        <f t="shared" si="5"/>
        <v>25</v>
      </c>
      <c r="S22" s="113">
        <v>24</v>
      </c>
      <c r="T22" s="113">
        <v>10</v>
      </c>
      <c r="U22" s="113">
        <f t="shared" si="6"/>
        <v>182</v>
      </c>
      <c r="V22" s="187">
        <f>(W22)+(IF(X22=0,0,IF(X22&lt;6,1/2,1)))</f>
        <v>15.5</v>
      </c>
      <c r="W22" s="113">
        <v>15</v>
      </c>
      <c r="X22" s="113">
        <v>2</v>
      </c>
      <c r="Y22" s="160"/>
      <c r="Z22" s="161"/>
      <c r="AA22" s="176"/>
      <c r="AB22" s="176"/>
      <c r="AC22" s="177">
        <f t="shared" si="9"/>
        <v>913784.62500000023</v>
      </c>
      <c r="AD22" s="178">
        <f t="shared" si="10"/>
        <v>495612.00000000012</v>
      </c>
      <c r="AE22" s="179">
        <f t="shared" si="11"/>
        <v>387196.87500000012</v>
      </c>
      <c r="AF22" s="180">
        <f t="shared" si="12"/>
        <v>30975.750000000007</v>
      </c>
      <c r="AG22" s="165">
        <f t="shared" si="7"/>
        <v>0</v>
      </c>
      <c r="AH22" s="165">
        <f t="shared" si="13"/>
        <v>913785</v>
      </c>
      <c r="AI22" s="165"/>
      <c r="AJ22" s="167">
        <f t="shared" si="8"/>
        <v>913785</v>
      </c>
    </row>
    <row r="23" spans="1:36" ht="40.200000000000003" customHeight="1" x14ac:dyDescent="0.25">
      <c r="A23" s="153">
        <v>8</v>
      </c>
      <c r="B23" s="168" t="s">
        <v>406</v>
      </c>
      <c r="C23" s="169">
        <v>31943</v>
      </c>
      <c r="D23" s="112" t="s">
        <v>154</v>
      </c>
      <c r="E23" s="423" t="s">
        <v>407</v>
      </c>
      <c r="F23" s="113">
        <v>3.33</v>
      </c>
      <c r="G23" s="157"/>
      <c r="H23" s="157">
        <v>0.2</v>
      </c>
      <c r="I23" s="156"/>
      <c r="J23" s="156"/>
      <c r="K23" s="157"/>
      <c r="L23" s="171"/>
      <c r="M23" s="157">
        <f t="shared" si="3"/>
        <v>0.88250000000000006</v>
      </c>
      <c r="N23" s="172"/>
      <c r="O23" s="190">
        <f t="shared" si="4"/>
        <v>10325.250000000002</v>
      </c>
      <c r="P23" s="112">
        <v>54605</v>
      </c>
      <c r="Q23" s="195">
        <v>45901</v>
      </c>
      <c r="R23" s="113">
        <f t="shared" si="5"/>
        <v>11</v>
      </c>
      <c r="S23" s="113">
        <v>10</v>
      </c>
      <c r="T23" s="113">
        <v>8</v>
      </c>
      <c r="U23" s="113">
        <f t="shared" si="6"/>
        <v>286</v>
      </c>
      <c r="V23" s="187">
        <f>(W23)+(IF(X23=0,0,IF(X23&lt;6,1/2,1)))</f>
        <v>24</v>
      </c>
      <c r="W23" s="113">
        <v>23</v>
      </c>
      <c r="X23" s="113">
        <v>10</v>
      </c>
      <c r="Y23" s="160"/>
      <c r="Z23" s="161"/>
      <c r="AA23" s="176"/>
      <c r="AB23" s="176"/>
      <c r="AC23" s="177">
        <f t="shared" si="9"/>
        <v>696954.37500000012</v>
      </c>
      <c r="AD23" s="178">
        <f t="shared" si="10"/>
        <v>495612.00000000012</v>
      </c>
      <c r="AE23" s="179">
        <f t="shared" si="11"/>
        <v>170366.62500000003</v>
      </c>
      <c r="AF23" s="180">
        <f t="shared" si="12"/>
        <v>30975.750000000007</v>
      </c>
      <c r="AG23" s="165">
        <f t="shared" si="7"/>
        <v>0</v>
      </c>
      <c r="AH23" s="165">
        <f t="shared" si="13"/>
        <v>696954</v>
      </c>
      <c r="AI23" s="165"/>
      <c r="AJ23" s="167">
        <f t="shared" si="8"/>
        <v>696954</v>
      </c>
    </row>
    <row r="24" spans="1:36" s="146" customFormat="1" ht="37.950000000000003" customHeight="1" x14ac:dyDescent="0.25">
      <c r="A24" s="181">
        <v>3</v>
      </c>
      <c r="B24" s="182" t="s">
        <v>408</v>
      </c>
      <c r="C24" s="183"/>
      <c r="D24" s="183"/>
      <c r="E24" s="183"/>
      <c r="F24" s="185"/>
      <c r="G24" s="183"/>
      <c r="H24" s="183"/>
      <c r="I24" s="183"/>
      <c r="J24" s="185"/>
      <c r="K24" s="183"/>
      <c r="L24" s="183"/>
      <c r="M24" s="185"/>
      <c r="N24" s="185"/>
      <c r="O24" s="183"/>
      <c r="P24" s="183"/>
      <c r="Q24" s="185"/>
      <c r="R24" s="183"/>
      <c r="S24" s="183"/>
      <c r="T24" s="185"/>
      <c r="U24" s="183"/>
      <c r="V24" s="183"/>
      <c r="W24" s="183"/>
      <c r="X24" s="183"/>
      <c r="Y24" s="181">
        <f t="shared" ref="Y24:AJ24" si="14">Y25</f>
        <v>0</v>
      </c>
      <c r="Z24" s="181">
        <f t="shared" si="14"/>
        <v>0</v>
      </c>
      <c r="AA24" s="181">
        <f t="shared" si="14"/>
        <v>0</v>
      </c>
      <c r="AB24" s="181">
        <f t="shared" si="14"/>
        <v>0</v>
      </c>
      <c r="AC24" s="181">
        <f t="shared" si="14"/>
        <v>631800</v>
      </c>
      <c r="AD24" s="181">
        <f t="shared" si="14"/>
        <v>449280</v>
      </c>
      <c r="AE24" s="181">
        <f t="shared" si="14"/>
        <v>154440</v>
      </c>
      <c r="AF24" s="181">
        <f t="shared" si="14"/>
        <v>28080</v>
      </c>
      <c r="AG24" s="181">
        <f t="shared" si="14"/>
        <v>0</v>
      </c>
      <c r="AH24" s="181">
        <f t="shared" si="14"/>
        <v>631800</v>
      </c>
      <c r="AI24" s="181">
        <f t="shared" si="14"/>
        <v>0</v>
      </c>
      <c r="AJ24" s="186">
        <f t="shared" si="14"/>
        <v>631800</v>
      </c>
    </row>
    <row r="25" spans="1:36" s="119" customFormat="1" ht="52.2" customHeight="1" x14ac:dyDescent="0.25">
      <c r="A25" s="153">
        <v>1</v>
      </c>
      <c r="B25" s="168" t="s">
        <v>409</v>
      </c>
      <c r="C25" s="169">
        <v>30838</v>
      </c>
      <c r="D25" s="112" t="s">
        <v>410</v>
      </c>
      <c r="E25" s="423" t="s">
        <v>407</v>
      </c>
      <c r="F25" s="113">
        <v>3</v>
      </c>
      <c r="G25" s="157"/>
      <c r="H25" s="157">
        <v>0.2</v>
      </c>
      <c r="I25" s="156"/>
      <c r="J25" s="156"/>
      <c r="K25" s="157"/>
      <c r="L25" s="171"/>
      <c r="M25" s="157">
        <f>(F25+G25+H25)*25%</f>
        <v>0.8</v>
      </c>
      <c r="N25" s="172"/>
      <c r="O25" s="173">
        <f>SUM(F25:N25)*2340</f>
        <v>9360</v>
      </c>
      <c r="P25" s="112">
        <v>53509</v>
      </c>
      <c r="Q25" s="174"/>
      <c r="R25" s="113">
        <f>(S25)+(IF(T25=0,0,IF(T25&lt;7,1/2,1)))</f>
        <v>11</v>
      </c>
      <c r="S25" s="113">
        <v>10</v>
      </c>
      <c r="T25" s="113">
        <v>10</v>
      </c>
      <c r="U25" s="113">
        <f>(W25*12)+X25</f>
        <v>250</v>
      </c>
      <c r="V25" s="187">
        <f>(W25)+(IF(X25=0,0,IF(X25&lt;6,1/2,1)))</f>
        <v>21</v>
      </c>
      <c r="W25" s="113">
        <v>20</v>
      </c>
      <c r="X25" s="113">
        <v>10</v>
      </c>
      <c r="Y25" s="160"/>
      <c r="Z25" s="161"/>
      <c r="AA25" s="176"/>
      <c r="AB25" s="176"/>
      <c r="AC25" s="177">
        <f>AD25+AE25+AF25</f>
        <v>631800</v>
      </c>
      <c r="AD25" s="178">
        <f>0.8*60*O25</f>
        <v>449280</v>
      </c>
      <c r="AE25" s="179">
        <f>1.5*O25*R25</f>
        <v>154440</v>
      </c>
      <c r="AF25" s="180">
        <f>3*O25</f>
        <v>28080</v>
      </c>
      <c r="AG25" s="165">
        <f>ROUND(Y25+Z25,0)</f>
        <v>0</v>
      </c>
      <c r="AH25" s="165">
        <f>ROUND(AC25,0)</f>
        <v>631800</v>
      </c>
      <c r="AI25" s="165"/>
      <c r="AJ25" s="167">
        <f>AG25+AH25+AI25</f>
        <v>631800</v>
      </c>
    </row>
    <row r="26" spans="1:36" s="119" customFormat="1" ht="46.2" customHeight="1" x14ac:dyDescent="0.25">
      <c r="A26" s="188">
        <v>4</v>
      </c>
      <c r="B26" s="115" t="s">
        <v>411</v>
      </c>
      <c r="C26" s="206"/>
      <c r="D26" s="418"/>
      <c r="E26" s="206"/>
      <c r="F26" s="206"/>
      <c r="G26" s="418"/>
      <c r="H26" s="418"/>
      <c r="I26" s="418"/>
      <c r="J26" s="418"/>
      <c r="K26" s="418"/>
      <c r="L26" s="418"/>
      <c r="M26" s="418"/>
      <c r="N26" s="418"/>
      <c r="O26" s="418"/>
      <c r="P26" s="419"/>
      <c r="Q26" s="206"/>
      <c r="R26" s="418"/>
      <c r="S26" s="418"/>
      <c r="T26" s="418"/>
      <c r="U26" s="418"/>
      <c r="V26" s="418"/>
      <c r="W26" s="418"/>
      <c r="X26" s="418"/>
      <c r="Y26" s="245">
        <f t="shared" ref="Y26:AJ26" si="15">SUM(Y27:Y35)</f>
        <v>1406000</v>
      </c>
      <c r="Z26" s="245">
        <f t="shared" si="15"/>
        <v>1155000</v>
      </c>
      <c r="AA26" s="245">
        <f t="shared" si="15"/>
        <v>900783</v>
      </c>
      <c r="AB26" s="245">
        <f t="shared" si="15"/>
        <v>253582.875</v>
      </c>
      <c r="AC26" s="245">
        <f t="shared" si="15"/>
        <v>5748721.875</v>
      </c>
      <c r="AD26" s="245">
        <f t="shared" si="15"/>
        <v>3580200</v>
      </c>
      <c r="AE26" s="245">
        <f t="shared" si="15"/>
        <v>1944759.375</v>
      </c>
      <c r="AF26" s="245">
        <f t="shared" si="15"/>
        <v>223762.5</v>
      </c>
      <c r="AG26" s="245">
        <f t="shared" si="15"/>
        <v>2561000</v>
      </c>
      <c r="AH26" s="245">
        <f t="shared" si="15"/>
        <v>5748723</v>
      </c>
      <c r="AI26" s="245">
        <f t="shared" si="15"/>
        <v>0</v>
      </c>
      <c r="AJ26" s="246">
        <f t="shared" si="15"/>
        <v>8309723</v>
      </c>
    </row>
    <row r="27" spans="1:36" ht="46.2" customHeight="1" x14ac:dyDescent="0.25">
      <c r="A27" s="113">
        <v>1</v>
      </c>
      <c r="B27" s="154" t="s">
        <v>412</v>
      </c>
      <c r="C27" s="112">
        <v>26621</v>
      </c>
      <c r="D27" s="113" t="s">
        <v>413</v>
      </c>
      <c r="E27" s="113" t="s">
        <v>414</v>
      </c>
      <c r="F27" s="153">
        <v>3.66</v>
      </c>
      <c r="G27" s="189"/>
      <c r="H27" s="189">
        <v>0.2</v>
      </c>
      <c r="I27" s="189"/>
      <c r="J27" s="189"/>
      <c r="K27" s="189"/>
      <c r="L27" s="189"/>
      <c r="M27" s="157">
        <f t="shared" ref="M27:M35" si="16">(F27+G27+H27+I27)*25%</f>
        <v>0.96500000000000008</v>
      </c>
      <c r="N27" s="189"/>
      <c r="O27" s="190">
        <f t="shared" ref="O27:O90" si="17">SUM(F27:N27)*2340</f>
        <v>11290.5</v>
      </c>
      <c r="P27" s="194">
        <v>49279</v>
      </c>
      <c r="Q27" s="191">
        <v>45901</v>
      </c>
      <c r="R27" s="113">
        <f t="shared" ref="R27:R35" si="18">(S27)+(IF(T27=0,0,IF(T27&lt;7,1/2,1)))</f>
        <v>24.5</v>
      </c>
      <c r="S27" s="113">
        <v>24</v>
      </c>
      <c r="T27" s="113">
        <v>5</v>
      </c>
      <c r="U27" s="113">
        <f t="shared" ref="U27:U35" si="19">(W27*12)+X27</f>
        <v>111</v>
      </c>
      <c r="V27" s="187">
        <f t="shared" ref="V27:V35" si="20">(W27)+(IF(X27=0,0,IF(X27&lt;6,1/2,1)))</f>
        <v>9.5</v>
      </c>
      <c r="W27" s="113">
        <v>9</v>
      </c>
      <c r="X27" s="113">
        <v>3</v>
      </c>
      <c r="Y27" s="160">
        <f>ROUND((0.9*60*O27),-3)</f>
        <v>610000</v>
      </c>
      <c r="Z27" s="161">
        <f>ROUND(SUM(AA27:AB27),-3)</f>
        <v>528000</v>
      </c>
      <c r="AA27" s="162">
        <f>4*V27*O27</f>
        <v>429039</v>
      </c>
      <c r="AB27" s="163">
        <f>SUM(4*O27)+(0.5*O27*(R27-15))</f>
        <v>98791.875</v>
      </c>
      <c r="AC27" s="177"/>
      <c r="AD27" s="178"/>
      <c r="AE27" s="179"/>
      <c r="AF27" s="180"/>
      <c r="AG27" s="196">
        <f t="shared" ref="AG27:AG35" si="21">ROUND(Y27+Z27,0)</f>
        <v>1138000</v>
      </c>
      <c r="AH27" s="196">
        <f>AC27</f>
        <v>0</v>
      </c>
      <c r="AI27" s="162"/>
      <c r="AJ27" s="197">
        <f t="shared" ref="AJ27:AJ35" si="22">AG27+AH27+AI27</f>
        <v>1138000</v>
      </c>
    </row>
    <row r="28" spans="1:36" ht="46.2" customHeight="1" x14ac:dyDescent="0.25">
      <c r="A28" s="113">
        <v>2</v>
      </c>
      <c r="B28" s="154" t="s">
        <v>415</v>
      </c>
      <c r="C28" s="112">
        <v>27064</v>
      </c>
      <c r="D28" s="113" t="s">
        <v>416</v>
      </c>
      <c r="E28" s="113" t="s">
        <v>407</v>
      </c>
      <c r="F28" s="153">
        <v>4.74</v>
      </c>
      <c r="G28" s="189"/>
      <c r="H28" s="189">
        <v>0.3</v>
      </c>
      <c r="I28" s="189"/>
      <c r="J28" s="189"/>
      <c r="K28" s="189"/>
      <c r="L28" s="189"/>
      <c r="M28" s="157">
        <f t="shared" si="16"/>
        <v>1.26</v>
      </c>
      <c r="N28" s="189"/>
      <c r="O28" s="190">
        <f t="shared" si="17"/>
        <v>14742</v>
      </c>
      <c r="P28" s="194">
        <v>48761</v>
      </c>
      <c r="Q28" s="191">
        <v>45901</v>
      </c>
      <c r="R28" s="113">
        <f t="shared" si="18"/>
        <v>28</v>
      </c>
      <c r="S28" s="113">
        <v>27</v>
      </c>
      <c r="T28" s="113">
        <v>9</v>
      </c>
      <c r="U28" s="113">
        <f t="shared" si="19"/>
        <v>94</v>
      </c>
      <c r="V28" s="187">
        <f t="shared" si="20"/>
        <v>8</v>
      </c>
      <c r="W28" s="113">
        <v>7</v>
      </c>
      <c r="X28" s="113">
        <v>10</v>
      </c>
      <c r="Y28" s="160">
        <f>ROUND((0.9*60*O28),-3)</f>
        <v>796000</v>
      </c>
      <c r="Z28" s="161">
        <f>ROUND(SUM(AA28:AB28),-3)</f>
        <v>627000</v>
      </c>
      <c r="AA28" s="162">
        <f>4*V28*O28</f>
        <v>471744</v>
      </c>
      <c r="AB28" s="163">
        <f>SUM(4*O28)+(0.5*O28*(R28-15))</f>
        <v>154791</v>
      </c>
      <c r="AC28" s="177"/>
      <c r="AD28" s="178"/>
      <c r="AE28" s="179"/>
      <c r="AF28" s="180"/>
      <c r="AG28" s="196">
        <f t="shared" si="21"/>
        <v>1423000</v>
      </c>
      <c r="AH28" s="196">
        <f>AC28</f>
        <v>0</v>
      </c>
      <c r="AI28" s="162"/>
      <c r="AJ28" s="197">
        <f t="shared" si="22"/>
        <v>1423000</v>
      </c>
    </row>
    <row r="29" spans="1:36" ht="46.2" customHeight="1" x14ac:dyDescent="0.25">
      <c r="A29" s="113">
        <v>3</v>
      </c>
      <c r="B29" s="154" t="s">
        <v>417</v>
      </c>
      <c r="C29" s="112">
        <v>29446</v>
      </c>
      <c r="D29" s="112" t="s">
        <v>49</v>
      </c>
      <c r="E29" s="113" t="s">
        <v>418</v>
      </c>
      <c r="F29" s="153">
        <v>3.99</v>
      </c>
      <c r="G29" s="189"/>
      <c r="H29" s="189"/>
      <c r="I29" s="189"/>
      <c r="J29" s="189"/>
      <c r="K29" s="189"/>
      <c r="L29" s="189"/>
      <c r="M29" s="157">
        <f t="shared" si="16"/>
        <v>0.99750000000000005</v>
      </c>
      <c r="N29" s="189"/>
      <c r="O29" s="190">
        <f t="shared" si="17"/>
        <v>11670.750000000002</v>
      </c>
      <c r="P29" s="194">
        <v>51380</v>
      </c>
      <c r="Q29" s="191">
        <v>45901</v>
      </c>
      <c r="R29" s="113">
        <f t="shared" si="18"/>
        <v>23</v>
      </c>
      <c r="S29" s="113">
        <v>22</v>
      </c>
      <c r="T29" s="113">
        <v>8</v>
      </c>
      <c r="U29" s="113">
        <f t="shared" si="19"/>
        <v>180</v>
      </c>
      <c r="V29" s="187">
        <f t="shared" si="20"/>
        <v>15</v>
      </c>
      <c r="W29" s="113">
        <v>15</v>
      </c>
      <c r="X29" s="113">
        <v>0</v>
      </c>
      <c r="Y29" s="189"/>
      <c r="Z29" s="153"/>
      <c r="AA29" s="189"/>
      <c r="AB29" s="189"/>
      <c r="AC29" s="177">
        <f t="shared" ref="AC29:AC35" si="23">AD29+AE29+AF29</f>
        <v>997849.12500000023</v>
      </c>
      <c r="AD29" s="178">
        <f t="shared" ref="AD29:AD35" si="24">0.8*60*O29</f>
        <v>560196.00000000012</v>
      </c>
      <c r="AE29" s="179">
        <f t="shared" ref="AE29:AE35" si="25">1.5*O29*R29</f>
        <v>402640.87500000006</v>
      </c>
      <c r="AF29" s="180">
        <f t="shared" ref="AF29:AF35" si="26">3*O29</f>
        <v>35012.250000000007</v>
      </c>
      <c r="AG29" s="196">
        <f t="shared" si="21"/>
        <v>0</v>
      </c>
      <c r="AH29" s="196">
        <f t="shared" ref="AH29:AH35" si="27">ROUND(AC29,0)</f>
        <v>997849</v>
      </c>
      <c r="AI29" s="162"/>
      <c r="AJ29" s="197">
        <f t="shared" si="22"/>
        <v>997849</v>
      </c>
    </row>
    <row r="30" spans="1:36" ht="46.2" customHeight="1" x14ac:dyDescent="0.25">
      <c r="A30" s="113">
        <v>4</v>
      </c>
      <c r="B30" s="154" t="s">
        <v>419</v>
      </c>
      <c r="C30" s="112">
        <v>32947</v>
      </c>
      <c r="D30" s="113" t="s">
        <v>420</v>
      </c>
      <c r="E30" s="113" t="s">
        <v>421</v>
      </c>
      <c r="F30" s="153">
        <v>3.33</v>
      </c>
      <c r="G30" s="189"/>
      <c r="H30" s="189"/>
      <c r="I30" s="189"/>
      <c r="J30" s="189"/>
      <c r="K30" s="189"/>
      <c r="L30" s="189"/>
      <c r="M30" s="157">
        <f t="shared" si="16"/>
        <v>0.83250000000000002</v>
      </c>
      <c r="N30" s="189"/>
      <c r="O30" s="190">
        <f t="shared" si="17"/>
        <v>9740.25</v>
      </c>
      <c r="P30" s="194">
        <v>55610</v>
      </c>
      <c r="Q30" s="191">
        <v>45901</v>
      </c>
      <c r="R30" s="113">
        <f t="shared" si="18"/>
        <v>10.5</v>
      </c>
      <c r="S30" s="113">
        <v>10</v>
      </c>
      <c r="T30" s="113">
        <v>6</v>
      </c>
      <c r="U30" s="113">
        <f t="shared" si="19"/>
        <v>319</v>
      </c>
      <c r="V30" s="187">
        <f t="shared" si="20"/>
        <v>27</v>
      </c>
      <c r="W30" s="113">
        <v>26</v>
      </c>
      <c r="X30" s="113">
        <v>7</v>
      </c>
      <c r="Y30" s="189"/>
      <c r="Z30" s="153"/>
      <c r="AA30" s="189"/>
      <c r="AB30" s="189"/>
      <c r="AC30" s="177">
        <f t="shared" si="23"/>
        <v>650161.6875</v>
      </c>
      <c r="AD30" s="178">
        <f t="shared" si="24"/>
        <v>467532</v>
      </c>
      <c r="AE30" s="179">
        <f t="shared" si="25"/>
        <v>153408.9375</v>
      </c>
      <c r="AF30" s="180">
        <f t="shared" si="26"/>
        <v>29220.75</v>
      </c>
      <c r="AG30" s="196">
        <f t="shared" si="21"/>
        <v>0</v>
      </c>
      <c r="AH30" s="196">
        <f t="shared" si="27"/>
        <v>650162</v>
      </c>
      <c r="AI30" s="162"/>
      <c r="AJ30" s="197">
        <f t="shared" si="22"/>
        <v>650162</v>
      </c>
    </row>
    <row r="31" spans="1:36" ht="46.2" customHeight="1" x14ac:dyDescent="0.25">
      <c r="A31" s="113">
        <v>5</v>
      </c>
      <c r="B31" s="154" t="s">
        <v>422</v>
      </c>
      <c r="C31" s="112">
        <v>29027</v>
      </c>
      <c r="D31" s="113" t="s">
        <v>49</v>
      </c>
      <c r="E31" s="113" t="s">
        <v>401</v>
      </c>
      <c r="F31" s="153">
        <v>3</v>
      </c>
      <c r="G31" s="189"/>
      <c r="H31" s="189">
        <v>0.2</v>
      </c>
      <c r="I31" s="189"/>
      <c r="J31" s="189"/>
      <c r="K31" s="189"/>
      <c r="L31" s="189"/>
      <c r="M31" s="157">
        <f t="shared" si="16"/>
        <v>0.8</v>
      </c>
      <c r="N31" s="189"/>
      <c r="O31" s="190">
        <f t="shared" si="17"/>
        <v>9360</v>
      </c>
      <c r="P31" s="194">
        <v>51683</v>
      </c>
      <c r="Q31" s="191">
        <v>45901</v>
      </c>
      <c r="R31" s="113">
        <f t="shared" si="18"/>
        <v>10</v>
      </c>
      <c r="S31" s="113">
        <v>9</v>
      </c>
      <c r="T31" s="113">
        <v>10</v>
      </c>
      <c r="U31" s="113">
        <f t="shared" si="19"/>
        <v>190</v>
      </c>
      <c r="V31" s="187">
        <f t="shared" si="20"/>
        <v>16</v>
      </c>
      <c r="W31" s="113">
        <v>15</v>
      </c>
      <c r="X31" s="113">
        <v>10</v>
      </c>
      <c r="Y31" s="189"/>
      <c r="Z31" s="153"/>
      <c r="AA31" s="189"/>
      <c r="AB31" s="189"/>
      <c r="AC31" s="177">
        <f t="shared" si="23"/>
        <v>617760</v>
      </c>
      <c r="AD31" s="178">
        <f t="shared" si="24"/>
        <v>449280</v>
      </c>
      <c r="AE31" s="179">
        <f t="shared" si="25"/>
        <v>140400</v>
      </c>
      <c r="AF31" s="180">
        <f t="shared" si="26"/>
        <v>28080</v>
      </c>
      <c r="AG31" s="196">
        <f t="shared" si="21"/>
        <v>0</v>
      </c>
      <c r="AH31" s="196">
        <f t="shared" si="27"/>
        <v>617760</v>
      </c>
      <c r="AI31" s="162"/>
      <c r="AJ31" s="197">
        <f t="shared" si="22"/>
        <v>617760</v>
      </c>
    </row>
    <row r="32" spans="1:36" ht="46.2" customHeight="1" x14ac:dyDescent="0.25">
      <c r="A32" s="113">
        <v>6</v>
      </c>
      <c r="B32" s="154" t="s">
        <v>423</v>
      </c>
      <c r="C32" s="112">
        <v>31620</v>
      </c>
      <c r="D32" s="113" t="s">
        <v>49</v>
      </c>
      <c r="E32" s="113" t="s">
        <v>424</v>
      </c>
      <c r="F32" s="153">
        <v>3.33</v>
      </c>
      <c r="G32" s="189"/>
      <c r="H32" s="189"/>
      <c r="I32" s="189"/>
      <c r="J32" s="189"/>
      <c r="K32" s="189"/>
      <c r="L32" s="189"/>
      <c r="M32" s="157">
        <f t="shared" si="16"/>
        <v>0.83250000000000002</v>
      </c>
      <c r="N32" s="189"/>
      <c r="O32" s="190">
        <f t="shared" si="17"/>
        <v>9740.25</v>
      </c>
      <c r="P32" s="194">
        <v>54271</v>
      </c>
      <c r="Q32" s="191">
        <v>45901</v>
      </c>
      <c r="R32" s="113">
        <f t="shared" si="18"/>
        <v>10.5</v>
      </c>
      <c r="S32" s="113">
        <v>10</v>
      </c>
      <c r="T32" s="113">
        <v>5</v>
      </c>
      <c r="U32" s="113">
        <f t="shared" si="19"/>
        <v>275</v>
      </c>
      <c r="V32" s="187">
        <f t="shared" si="20"/>
        <v>23</v>
      </c>
      <c r="W32" s="113">
        <v>22</v>
      </c>
      <c r="X32" s="113">
        <v>11</v>
      </c>
      <c r="Y32" s="189"/>
      <c r="Z32" s="153"/>
      <c r="AA32" s="189"/>
      <c r="AB32" s="189"/>
      <c r="AC32" s="177">
        <f t="shared" si="23"/>
        <v>650161.6875</v>
      </c>
      <c r="AD32" s="178">
        <f t="shared" si="24"/>
        <v>467532</v>
      </c>
      <c r="AE32" s="179">
        <f t="shared" si="25"/>
        <v>153408.9375</v>
      </c>
      <c r="AF32" s="180">
        <f t="shared" si="26"/>
        <v>29220.75</v>
      </c>
      <c r="AG32" s="196">
        <f t="shared" si="21"/>
        <v>0</v>
      </c>
      <c r="AH32" s="196">
        <f t="shared" si="27"/>
        <v>650162</v>
      </c>
      <c r="AI32" s="162"/>
      <c r="AJ32" s="197">
        <f t="shared" si="22"/>
        <v>650162</v>
      </c>
    </row>
    <row r="33" spans="1:36" ht="46.2" customHeight="1" x14ac:dyDescent="0.25">
      <c r="A33" s="113">
        <v>7</v>
      </c>
      <c r="B33" s="154" t="s">
        <v>425</v>
      </c>
      <c r="C33" s="112">
        <v>28926</v>
      </c>
      <c r="D33" s="113" t="s">
        <v>49</v>
      </c>
      <c r="E33" s="113" t="s">
        <v>387</v>
      </c>
      <c r="F33" s="153">
        <v>4.32</v>
      </c>
      <c r="G33" s="189"/>
      <c r="H33" s="189"/>
      <c r="I33" s="189"/>
      <c r="J33" s="189"/>
      <c r="K33" s="189"/>
      <c r="L33" s="189"/>
      <c r="M33" s="157">
        <f t="shared" si="16"/>
        <v>1.08</v>
      </c>
      <c r="N33" s="189"/>
      <c r="O33" s="190">
        <f t="shared" si="17"/>
        <v>12636</v>
      </c>
      <c r="P33" s="194">
        <v>51592</v>
      </c>
      <c r="Q33" s="191">
        <v>45901</v>
      </c>
      <c r="R33" s="113">
        <f t="shared" si="18"/>
        <v>26</v>
      </c>
      <c r="S33" s="113">
        <v>25</v>
      </c>
      <c r="T33" s="113">
        <v>8</v>
      </c>
      <c r="U33" s="113">
        <f t="shared" si="19"/>
        <v>187</v>
      </c>
      <c r="V33" s="187">
        <f t="shared" si="20"/>
        <v>16</v>
      </c>
      <c r="W33" s="113">
        <v>15</v>
      </c>
      <c r="X33" s="113">
        <v>7</v>
      </c>
      <c r="Y33" s="189"/>
      <c r="Z33" s="153"/>
      <c r="AA33" s="189"/>
      <c r="AB33" s="189"/>
      <c r="AC33" s="177">
        <f t="shared" si="23"/>
        <v>1137240</v>
      </c>
      <c r="AD33" s="178">
        <f t="shared" si="24"/>
        <v>606528</v>
      </c>
      <c r="AE33" s="179">
        <f t="shared" si="25"/>
        <v>492804</v>
      </c>
      <c r="AF33" s="180">
        <f t="shared" si="26"/>
        <v>37908</v>
      </c>
      <c r="AG33" s="196">
        <f t="shared" si="21"/>
        <v>0</v>
      </c>
      <c r="AH33" s="196">
        <f t="shared" si="27"/>
        <v>1137240</v>
      </c>
      <c r="AI33" s="162"/>
      <c r="AJ33" s="197">
        <f t="shared" si="22"/>
        <v>1137240</v>
      </c>
    </row>
    <row r="34" spans="1:36" ht="46.2" customHeight="1" x14ac:dyDescent="0.25">
      <c r="A34" s="113">
        <v>8</v>
      </c>
      <c r="B34" s="154" t="s">
        <v>426</v>
      </c>
      <c r="C34" s="112">
        <v>30909</v>
      </c>
      <c r="D34" s="113" t="s">
        <v>49</v>
      </c>
      <c r="E34" s="113" t="s">
        <v>427</v>
      </c>
      <c r="F34" s="153">
        <v>3.34</v>
      </c>
      <c r="G34" s="189"/>
      <c r="H34" s="189"/>
      <c r="I34" s="189"/>
      <c r="J34" s="189"/>
      <c r="K34" s="189"/>
      <c r="L34" s="189"/>
      <c r="M34" s="157">
        <f t="shared" si="16"/>
        <v>0.83499999999999996</v>
      </c>
      <c r="N34" s="189"/>
      <c r="O34" s="190">
        <f t="shared" si="17"/>
        <v>9769.5</v>
      </c>
      <c r="P34" s="194">
        <v>52841</v>
      </c>
      <c r="Q34" s="191">
        <v>45901</v>
      </c>
      <c r="R34" s="113">
        <f t="shared" si="18"/>
        <v>16</v>
      </c>
      <c r="S34" s="113">
        <v>15</v>
      </c>
      <c r="T34" s="113">
        <v>8</v>
      </c>
      <c r="U34" s="113">
        <f t="shared" si="19"/>
        <v>228</v>
      </c>
      <c r="V34" s="187">
        <f t="shared" si="20"/>
        <v>19</v>
      </c>
      <c r="W34" s="113">
        <v>19</v>
      </c>
      <c r="X34" s="113">
        <v>0</v>
      </c>
      <c r="Y34" s="189"/>
      <c r="Z34" s="153"/>
      <c r="AA34" s="189"/>
      <c r="AB34" s="189"/>
      <c r="AC34" s="177">
        <f t="shared" si="23"/>
        <v>732712.5</v>
      </c>
      <c r="AD34" s="178">
        <f t="shared" si="24"/>
        <v>468936</v>
      </c>
      <c r="AE34" s="179">
        <f t="shared" si="25"/>
        <v>234468</v>
      </c>
      <c r="AF34" s="180">
        <f t="shared" si="26"/>
        <v>29308.5</v>
      </c>
      <c r="AG34" s="196">
        <f t="shared" si="21"/>
        <v>0</v>
      </c>
      <c r="AH34" s="196">
        <f t="shared" si="27"/>
        <v>732713</v>
      </c>
      <c r="AI34" s="162"/>
      <c r="AJ34" s="197">
        <f t="shared" si="22"/>
        <v>732713</v>
      </c>
    </row>
    <row r="35" spans="1:36" ht="46.2" customHeight="1" x14ac:dyDescent="0.25">
      <c r="A35" s="113">
        <v>9</v>
      </c>
      <c r="B35" s="154" t="s">
        <v>428</v>
      </c>
      <c r="C35" s="112">
        <v>27866</v>
      </c>
      <c r="D35" s="113" t="s">
        <v>49</v>
      </c>
      <c r="E35" s="113" t="s">
        <v>427</v>
      </c>
      <c r="F35" s="153">
        <v>3.99</v>
      </c>
      <c r="G35" s="189"/>
      <c r="H35" s="189"/>
      <c r="I35" s="189"/>
      <c r="J35" s="189"/>
      <c r="K35" s="189"/>
      <c r="L35" s="189"/>
      <c r="M35" s="157">
        <f t="shared" si="16"/>
        <v>0.99750000000000005</v>
      </c>
      <c r="N35" s="189"/>
      <c r="O35" s="190">
        <f t="shared" si="17"/>
        <v>11670.750000000002</v>
      </c>
      <c r="P35" s="194">
        <v>49796</v>
      </c>
      <c r="Q35" s="191">
        <v>45901</v>
      </c>
      <c r="R35" s="113">
        <f t="shared" si="18"/>
        <v>21</v>
      </c>
      <c r="S35" s="113">
        <v>21</v>
      </c>
      <c r="T35" s="113">
        <v>0</v>
      </c>
      <c r="U35" s="113">
        <f t="shared" si="19"/>
        <v>128</v>
      </c>
      <c r="V35" s="187">
        <f t="shared" si="20"/>
        <v>11</v>
      </c>
      <c r="W35" s="113">
        <v>10</v>
      </c>
      <c r="X35" s="113">
        <v>8</v>
      </c>
      <c r="Y35" s="189"/>
      <c r="Z35" s="153"/>
      <c r="AA35" s="189"/>
      <c r="AB35" s="189"/>
      <c r="AC35" s="177">
        <f t="shared" si="23"/>
        <v>962836.87500000023</v>
      </c>
      <c r="AD35" s="178">
        <f t="shared" si="24"/>
        <v>560196.00000000012</v>
      </c>
      <c r="AE35" s="179">
        <f t="shared" si="25"/>
        <v>367628.62500000006</v>
      </c>
      <c r="AF35" s="180">
        <f t="shared" si="26"/>
        <v>35012.250000000007</v>
      </c>
      <c r="AG35" s="196">
        <f t="shared" si="21"/>
        <v>0</v>
      </c>
      <c r="AH35" s="196">
        <f t="shared" si="27"/>
        <v>962837</v>
      </c>
      <c r="AI35" s="162"/>
      <c r="AJ35" s="197">
        <f t="shared" si="22"/>
        <v>962837</v>
      </c>
    </row>
    <row r="36" spans="1:36" ht="43.2" customHeight="1" x14ac:dyDescent="0.25">
      <c r="A36" s="188">
        <v>5</v>
      </c>
      <c r="B36" s="115" t="s">
        <v>429</v>
      </c>
      <c r="C36" s="153"/>
      <c r="D36" s="189"/>
      <c r="E36" s="153"/>
      <c r="F36" s="153"/>
      <c r="G36" s="189"/>
      <c r="H36" s="189"/>
      <c r="I36" s="189"/>
      <c r="J36" s="189"/>
      <c r="K36" s="189"/>
      <c r="L36" s="189"/>
      <c r="M36" s="189"/>
      <c r="N36" s="189"/>
      <c r="O36" s="190">
        <f t="shared" si="17"/>
        <v>0</v>
      </c>
      <c r="P36" s="191"/>
      <c r="Q36" s="153"/>
      <c r="R36" s="189"/>
      <c r="S36" s="189"/>
      <c r="T36" s="189"/>
      <c r="U36" s="113"/>
      <c r="V36" s="189"/>
      <c r="W36" s="189"/>
      <c r="X36" s="189"/>
      <c r="Y36" s="192">
        <f t="shared" ref="Y36:AJ36" si="28">SUM(Y37:Y41)</f>
        <v>0</v>
      </c>
      <c r="Z36" s="192">
        <f t="shared" si="28"/>
        <v>0</v>
      </c>
      <c r="AA36" s="192">
        <f t="shared" si="28"/>
        <v>0</v>
      </c>
      <c r="AB36" s="192">
        <f t="shared" si="28"/>
        <v>0</v>
      </c>
      <c r="AC36" s="192">
        <f t="shared" si="28"/>
        <v>4186596.375</v>
      </c>
      <c r="AD36" s="192">
        <f t="shared" si="28"/>
        <v>2510352</v>
      </c>
      <c r="AE36" s="192">
        <f t="shared" si="28"/>
        <v>1519347.375</v>
      </c>
      <c r="AF36" s="192">
        <f t="shared" si="28"/>
        <v>156897</v>
      </c>
      <c r="AG36" s="192">
        <f t="shared" si="28"/>
        <v>0</v>
      </c>
      <c r="AH36" s="192">
        <f t="shared" si="28"/>
        <v>4186596</v>
      </c>
      <c r="AI36" s="192">
        <f t="shared" si="28"/>
        <v>0</v>
      </c>
      <c r="AJ36" s="193">
        <f t="shared" si="28"/>
        <v>4186596</v>
      </c>
    </row>
    <row r="37" spans="1:36" ht="36.6" customHeight="1" x14ac:dyDescent="0.25">
      <c r="A37" s="113">
        <v>1</v>
      </c>
      <c r="B37" s="154" t="s">
        <v>430</v>
      </c>
      <c r="C37" s="169" t="s">
        <v>431</v>
      </c>
      <c r="D37" s="112" t="s">
        <v>432</v>
      </c>
      <c r="E37" s="113" t="s">
        <v>424</v>
      </c>
      <c r="F37" s="153">
        <v>3.33</v>
      </c>
      <c r="G37" s="189"/>
      <c r="H37" s="189">
        <v>0.2</v>
      </c>
      <c r="I37" s="189"/>
      <c r="J37" s="189"/>
      <c r="K37" s="189"/>
      <c r="L37" s="189"/>
      <c r="M37" s="157">
        <f>(F37+G37+H37+I37)*25%</f>
        <v>0.88250000000000006</v>
      </c>
      <c r="N37" s="189"/>
      <c r="O37" s="190">
        <f t="shared" si="17"/>
        <v>10325.250000000002</v>
      </c>
      <c r="P37" s="194">
        <v>52475</v>
      </c>
      <c r="Q37" s="195">
        <v>45901</v>
      </c>
      <c r="R37" s="113">
        <f>(S37)+(IF(T37=0,0,IF(T37&lt;7,1/2,1)))</f>
        <v>15</v>
      </c>
      <c r="S37" s="113">
        <v>15</v>
      </c>
      <c r="T37" s="113">
        <v>0</v>
      </c>
      <c r="U37" s="113">
        <f>(W37*12)+X37</f>
        <v>216</v>
      </c>
      <c r="V37" s="187">
        <f>(W37)+(IF(X37=0,0,IF(X37&lt;6,1/2,1)))</f>
        <v>18</v>
      </c>
      <c r="W37" s="113">
        <v>18</v>
      </c>
      <c r="X37" s="113">
        <v>0</v>
      </c>
      <c r="Y37" s="189"/>
      <c r="Z37" s="153"/>
      <c r="AA37" s="189"/>
      <c r="AB37" s="189"/>
      <c r="AC37" s="177">
        <f>AD37+AE37+AF37</f>
        <v>758905.87500000023</v>
      </c>
      <c r="AD37" s="178">
        <f>0.8*60*O37</f>
        <v>495612.00000000012</v>
      </c>
      <c r="AE37" s="179">
        <f>1.5*O37*R37</f>
        <v>232318.12500000006</v>
      </c>
      <c r="AF37" s="180">
        <f>3*O37</f>
        <v>30975.750000000007</v>
      </c>
      <c r="AG37" s="196">
        <f>ROUND(Y37+Z37,0)</f>
        <v>0</v>
      </c>
      <c r="AH37" s="196">
        <f>ROUND(AC37,0)</f>
        <v>758906</v>
      </c>
      <c r="AI37" s="162"/>
      <c r="AJ37" s="197">
        <f>AG37+AH37+AI37</f>
        <v>758906</v>
      </c>
    </row>
    <row r="38" spans="1:36" ht="42.6" customHeight="1" x14ac:dyDescent="0.25">
      <c r="A38" s="113">
        <v>2</v>
      </c>
      <c r="B38" s="154" t="s">
        <v>433</v>
      </c>
      <c r="C38" s="112">
        <v>29406</v>
      </c>
      <c r="D38" s="112" t="s">
        <v>434</v>
      </c>
      <c r="E38" s="113" t="s">
        <v>435</v>
      </c>
      <c r="F38" s="153">
        <v>4.32</v>
      </c>
      <c r="G38" s="189"/>
      <c r="H38" s="189">
        <v>0.2</v>
      </c>
      <c r="I38" s="189"/>
      <c r="J38" s="189"/>
      <c r="K38" s="189"/>
      <c r="L38" s="189"/>
      <c r="M38" s="157">
        <f>(F38+G38+H38+I38)*25%</f>
        <v>1.1300000000000001</v>
      </c>
      <c r="N38" s="189"/>
      <c r="O38" s="190">
        <f t="shared" si="17"/>
        <v>13221</v>
      </c>
      <c r="P38" s="194">
        <v>51349</v>
      </c>
      <c r="Q38" s="195">
        <v>45901</v>
      </c>
      <c r="R38" s="113">
        <f>(S38)+(IF(T38=0,0,IF(T38&lt;7,1/2,1)))</f>
        <v>24</v>
      </c>
      <c r="S38" s="113">
        <v>23</v>
      </c>
      <c r="T38" s="113">
        <v>7</v>
      </c>
      <c r="U38" s="113">
        <f>(W38*12)+X38</f>
        <v>179</v>
      </c>
      <c r="V38" s="187">
        <f>(W38)+(IF(X38=0,0,IF(X38&lt;6,1/2,1)))</f>
        <v>15</v>
      </c>
      <c r="W38" s="113">
        <v>14</v>
      </c>
      <c r="X38" s="113">
        <v>11</v>
      </c>
      <c r="Y38" s="189"/>
      <c r="Z38" s="153"/>
      <c r="AA38" s="189"/>
      <c r="AB38" s="189"/>
      <c r="AC38" s="177">
        <f>AD38+AE38+AF38</f>
        <v>1150227</v>
      </c>
      <c r="AD38" s="178">
        <f>0.8*60*O38</f>
        <v>634608</v>
      </c>
      <c r="AE38" s="179">
        <f>1.5*O38*R38</f>
        <v>475956</v>
      </c>
      <c r="AF38" s="180">
        <f>3*O38</f>
        <v>39663</v>
      </c>
      <c r="AG38" s="196">
        <f>ROUND(Y38+Z38,0)</f>
        <v>0</v>
      </c>
      <c r="AH38" s="196">
        <f t="shared" ref="AH38:AH41" si="29">ROUND(AC38,0)</f>
        <v>1150227</v>
      </c>
      <c r="AI38" s="162"/>
      <c r="AJ38" s="197">
        <f>AG38+AH38+AI38</f>
        <v>1150227</v>
      </c>
    </row>
    <row r="39" spans="1:36" ht="45.6" customHeight="1" x14ac:dyDescent="0.25">
      <c r="A39" s="113">
        <v>3</v>
      </c>
      <c r="B39" s="154" t="s">
        <v>436</v>
      </c>
      <c r="C39" s="112">
        <v>28406</v>
      </c>
      <c r="D39" s="112" t="s">
        <v>391</v>
      </c>
      <c r="E39" s="113" t="s">
        <v>437</v>
      </c>
      <c r="F39" s="153">
        <v>3</v>
      </c>
      <c r="G39" s="189"/>
      <c r="H39" s="189">
        <v>0.15</v>
      </c>
      <c r="I39" s="189"/>
      <c r="J39" s="189"/>
      <c r="K39" s="189"/>
      <c r="L39" s="189"/>
      <c r="M39" s="157">
        <f>(F39+G39+H39+I39)*25%</f>
        <v>0.78749999999999998</v>
      </c>
      <c r="N39" s="189"/>
      <c r="O39" s="190">
        <f t="shared" si="17"/>
        <v>9213.75</v>
      </c>
      <c r="P39" s="194">
        <v>50345</v>
      </c>
      <c r="Q39" s="195">
        <v>45901</v>
      </c>
      <c r="R39" s="113">
        <f>(S39)+(IF(T39=0,0,IF(T39&lt;7,1/2,1)))</f>
        <v>24</v>
      </c>
      <c r="S39" s="113">
        <v>23</v>
      </c>
      <c r="T39" s="113">
        <v>10</v>
      </c>
      <c r="U39" s="113">
        <f>(W39*12)+X39</f>
        <v>146</v>
      </c>
      <c r="V39" s="187">
        <f>(W39)+(IF(X39=0,0,IF(X39&lt;6,1/2,1)))</f>
        <v>12.5</v>
      </c>
      <c r="W39" s="113">
        <v>12</v>
      </c>
      <c r="X39" s="113">
        <v>2</v>
      </c>
      <c r="Y39" s="189"/>
      <c r="Z39" s="153"/>
      <c r="AA39" s="189"/>
      <c r="AB39" s="189"/>
      <c r="AC39" s="177">
        <f>AD39+AE39+AF39</f>
        <v>801596.25</v>
      </c>
      <c r="AD39" s="178">
        <f>0.8*60*O39</f>
        <v>442260</v>
      </c>
      <c r="AE39" s="179">
        <f>1.5*O39*R39</f>
        <v>331695</v>
      </c>
      <c r="AF39" s="180">
        <f>3*O39</f>
        <v>27641.25</v>
      </c>
      <c r="AG39" s="196">
        <f>ROUND(Y39+Z39,0)</f>
        <v>0</v>
      </c>
      <c r="AH39" s="196">
        <f t="shared" si="29"/>
        <v>801596</v>
      </c>
      <c r="AI39" s="162"/>
      <c r="AJ39" s="197">
        <f>AG39+AH39+AI39</f>
        <v>801596</v>
      </c>
    </row>
    <row r="40" spans="1:36" ht="42" customHeight="1" x14ac:dyDescent="0.25">
      <c r="A40" s="113">
        <v>4</v>
      </c>
      <c r="B40" s="198" t="s">
        <v>438</v>
      </c>
      <c r="C40" s="112">
        <v>30422</v>
      </c>
      <c r="D40" s="112" t="s">
        <v>413</v>
      </c>
      <c r="E40" s="113" t="s">
        <v>439</v>
      </c>
      <c r="F40" s="153">
        <v>2.67</v>
      </c>
      <c r="G40" s="189"/>
      <c r="H40" s="189">
        <v>0.15</v>
      </c>
      <c r="I40" s="189"/>
      <c r="J40" s="189"/>
      <c r="K40" s="189"/>
      <c r="L40" s="189"/>
      <c r="M40" s="157">
        <f>(F40+G40+H40+I40)*25%</f>
        <v>0.70499999999999996</v>
      </c>
      <c r="N40" s="189"/>
      <c r="O40" s="190">
        <f t="shared" si="17"/>
        <v>8248.5</v>
      </c>
      <c r="P40" s="194">
        <v>53083</v>
      </c>
      <c r="Q40" s="195">
        <v>45901</v>
      </c>
      <c r="R40" s="113">
        <f>(S40)+(IF(T40=0,0,IF(T40&lt;7,1/2,1)))</f>
        <v>10</v>
      </c>
      <c r="S40" s="113">
        <v>9</v>
      </c>
      <c r="T40" s="113">
        <v>8</v>
      </c>
      <c r="U40" s="113">
        <f>(W40*12)+X40</f>
        <v>236</v>
      </c>
      <c r="V40" s="187">
        <f>(W40)+(IF(X40=0,0,IF(X40&lt;6,1/2,1)))</f>
        <v>20</v>
      </c>
      <c r="W40" s="113">
        <v>19</v>
      </c>
      <c r="X40" s="113">
        <v>8</v>
      </c>
      <c r="Y40" s="189"/>
      <c r="Z40" s="153"/>
      <c r="AA40" s="189"/>
      <c r="AB40" s="189"/>
      <c r="AC40" s="177">
        <f>AD40+AE40+AF40</f>
        <v>544401</v>
      </c>
      <c r="AD40" s="178">
        <f>0.8*60*O40</f>
        <v>395928</v>
      </c>
      <c r="AE40" s="179">
        <f>1.5*O40*R40</f>
        <v>123727.5</v>
      </c>
      <c r="AF40" s="180">
        <f>3*O40</f>
        <v>24745.5</v>
      </c>
      <c r="AG40" s="196">
        <f>ROUND(Y40+Z40,0)</f>
        <v>0</v>
      </c>
      <c r="AH40" s="196">
        <f t="shared" si="29"/>
        <v>544401</v>
      </c>
      <c r="AI40" s="162"/>
      <c r="AJ40" s="197">
        <f>AG40+AH40+AI40</f>
        <v>544401</v>
      </c>
    </row>
    <row r="41" spans="1:36" ht="47.4" customHeight="1" x14ac:dyDescent="0.25">
      <c r="A41" s="113">
        <v>5</v>
      </c>
      <c r="B41" s="154" t="s">
        <v>440</v>
      </c>
      <c r="C41" s="112">
        <v>28039</v>
      </c>
      <c r="D41" s="112" t="s">
        <v>413</v>
      </c>
      <c r="E41" s="113" t="s">
        <v>401</v>
      </c>
      <c r="F41" s="153">
        <v>3.66</v>
      </c>
      <c r="G41" s="189"/>
      <c r="H41" s="189">
        <v>0.2</v>
      </c>
      <c r="I41" s="189"/>
      <c r="J41" s="189"/>
      <c r="K41" s="189"/>
      <c r="L41" s="189"/>
      <c r="M41" s="157">
        <f>(F41+G41+H41+I41)*25%</f>
        <v>0.96500000000000008</v>
      </c>
      <c r="N41" s="189"/>
      <c r="O41" s="190">
        <f t="shared" si="17"/>
        <v>11290.5</v>
      </c>
      <c r="P41" s="191">
        <v>50710</v>
      </c>
      <c r="Q41" s="195">
        <v>45901</v>
      </c>
      <c r="R41" s="113">
        <f>(S41)+(IF(T41=0,0,IF(T41&lt;7,1/2,1)))</f>
        <v>21</v>
      </c>
      <c r="S41" s="113">
        <v>21</v>
      </c>
      <c r="T41" s="113">
        <v>0</v>
      </c>
      <c r="U41" s="113">
        <f>(W41*12)+X41</f>
        <v>158</v>
      </c>
      <c r="V41" s="187">
        <f>(W41)+(IF(X41=0,0,IF(X41&lt;6,1/2,1)))</f>
        <v>13.5</v>
      </c>
      <c r="W41" s="113">
        <v>13</v>
      </c>
      <c r="X41" s="113">
        <v>2</v>
      </c>
      <c r="Y41" s="189"/>
      <c r="Z41" s="153"/>
      <c r="AA41" s="189"/>
      <c r="AB41" s="189"/>
      <c r="AC41" s="177">
        <f>AD41+AE41+AF41</f>
        <v>931466.25</v>
      </c>
      <c r="AD41" s="178">
        <f>0.8*60*O41</f>
        <v>541944</v>
      </c>
      <c r="AE41" s="179">
        <f>1.5*O41*R41</f>
        <v>355650.75</v>
      </c>
      <c r="AF41" s="180">
        <f>3*O41</f>
        <v>33871.5</v>
      </c>
      <c r="AG41" s="196">
        <f>ROUND(Y41+Z41,0)</f>
        <v>0</v>
      </c>
      <c r="AH41" s="196">
        <f t="shared" si="29"/>
        <v>931466</v>
      </c>
      <c r="AI41" s="162"/>
      <c r="AJ41" s="197">
        <f>AG41+AH41+AI41</f>
        <v>931466</v>
      </c>
    </row>
    <row r="42" spans="1:36" s="146" customFormat="1" ht="32.25" customHeight="1" x14ac:dyDescent="0.25">
      <c r="A42" s="181">
        <v>6</v>
      </c>
      <c r="B42" s="182" t="s">
        <v>441</v>
      </c>
      <c r="C42" s="183"/>
      <c r="D42" s="183"/>
      <c r="E42" s="183"/>
      <c r="F42" s="185"/>
      <c r="G42" s="183"/>
      <c r="H42" s="183"/>
      <c r="I42" s="183"/>
      <c r="J42" s="185"/>
      <c r="K42" s="183"/>
      <c r="L42" s="183"/>
      <c r="M42" s="185"/>
      <c r="N42" s="185"/>
      <c r="O42" s="190">
        <f t="shared" si="17"/>
        <v>0</v>
      </c>
      <c r="P42" s="183"/>
      <c r="Q42" s="185"/>
      <c r="R42" s="183"/>
      <c r="S42" s="183"/>
      <c r="T42" s="185"/>
      <c r="U42" s="183"/>
      <c r="V42" s="183"/>
      <c r="W42" s="183"/>
      <c r="X42" s="183"/>
      <c r="Y42" s="181">
        <f t="shared" ref="Y42:AJ42" si="30">SUM(Y43:Y48)</f>
        <v>1901718</v>
      </c>
      <c r="Z42" s="181">
        <f t="shared" si="30"/>
        <v>1508422.5000000002</v>
      </c>
      <c r="AA42" s="181">
        <f t="shared" si="30"/>
        <v>1249794</v>
      </c>
      <c r="AB42" s="181">
        <f t="shared" si="30"/>
        <v>258628.5</v>
      </c>
      <c r="AC42" s="181">
        <f t="shared" si="30"/>
        <v>2743372.125</v>
      </c>
      <c r="AD42" s="181">
        <f t="shared" si="30"/>
        <v>1597752</v>
      </c>
      <c r="AE42" s="181">
        <f t="shared" si="30"/>
        <v>1045760.6249999999</v>
      </c>
      <c r="AF42" s="181">
        <f t="shared" si="30"/>
        <v>99859.5</v>
      </c>
      <c r="AG42" s="181">
        <f t="shared" si="30"/>
        <v>3410141</v>
      </c>
      <c r="AH42" s="181">
        <f t="shared" si="30"/>
        <v>2743373</v>
      </c>
      <c r="AI42" s="181">
        <f t="shared" si="30"/>
        <v>0</v>
      </c>
      <c r="AJ42" s="186">
        <f t="shared" si="30"/>
        <v>6153514</v>
      </c>
    </row>
    <row r="43" spans="1:36" s="132" customFormat="1" ht="39" customHeight="1" x14ac:dyDescent="0.25">
      <c r="A43" s="153">
        <v>1</v>
      </c>
      <c r="B43" s="201" t="s">
        <v>442</v>
      </c>
      <c r="C43" s="251" t="s">
        <v>443</v>
      </c>
      <c r="D43" s="199" t="s">
        <v>432</v>
      </c>
      <c r="E43" s="202" t="s">
        <v>444</v>
      </c>
      <c r="F43" s="155">
        <v>3.66</v>
      </c>
      <c r="G43" s="113"/>
      <c r="H43" s="113"/>
      <c r="I43" s="156"/>
      <c r="J43" s="156"/>
      <c r="K43" s="157"/>
      <c r="L43" s="157"/>
      <c r="M43" s="157">
        <f t="shared" ref="M43:M48" si="31">(F43+G43+H43+I43)*25%</f>
        <v>0.91500000000000004</v>
      </c>
      <c r="N43" s="157"/>
      <c r="O43" s="190">
        <f t="shared" si="17"/>
        <v>10705.5</v>
      </c>
      <c r="P43" s="251" t="s">
        <v>445</v>
      </c>
      <c r="Q43" s="174">
        <v>45901</v>
      </c>
      <c r="R43" s="113">
        <f t="shared" ref="R43:R48" si="32">(S43)+(IF(T43=0,0,IF(T43&lt;7,1/2,1)))</f>
        <v>21</v>
      </c>
      <c r="S43" s="113">
        <v>20</v>
      </c>
      <c r="T43" s="113">
        <v>8</v>
      </c>
      <c r="U43" s="113">
        <f t="shared" ref="U43:U48" si="33">(W43*12)+X43</f>
        <v>91</v>
      </c>
      <c r="V43" s="187">
        <f t="shared" ref="V43:V48" si="34">(W43)+(IF(X43=0,0,IF(X43&lt;6,1/2,1)))</f>
        <v>8</v>
      </c>
      <c r="W43" s="113">
        <v>7</v>
      </c>
      <c r="X43" s="113">
        <v>7</v>
      </c>
      <c r="Y43" s="160">
        <f>0.9*60*O43</f>
        <v>578097</v>
      </c>
      <c r="Z43" s="161">
        <f>SUM(AA43:AB43)</f>
        <v>417514.5</v>
      </c>
      <c r="AA43" s="162">
        <f>4*V43*O43</f>
        <v>342576</v>
      </c>
      <c r="AB43" s="163">
        <f>SUM(4*O43)+(0.5*(R43-15)*O43)</f>
        <v>74938.5</v>
      </c>
      <c r="AC43" s="164"/>
      <c r="AD43" s="164"/>
      <c r="AE43" s="164"/>
      <c r="AF43" s="164"/>
      <c r="AG43" s="165">
        <f>ROUND(Y43+Z43,0)</f>
        <v>995612</v>
      </c>
      <c r="AH43" s="165">
        <v>0</v>
      </c>
      <c r="AI43" s="166"/>
      <c r="AJ43" s="167">
        <f t="shared" ref="AJ43:AJ48" si="35">AG43+AH43+AI43</f>
        <v>995612</v>
      </c>
    </row>
    <row r="44" spans="1:36" s="132" customFormat="1" ht="39" customHeight="1" x14ac:dyDescent="0.25">
      <c r="A44" s="153">
        <v>2</v>
      </c>
      <c r="B44" s="201" t="s">
        <v>446</v>
      </c>
      <c r="C44" s="251" t="s">
        <v>447</v>
      </c>
      <c r="D44" s="199" t="s">
        <v>448</v>
      </c>
      <c r="E44" s="202" t="s">
        <v>449</v>
      </c>
      <c r="F44" s="155">
        <v>3.99</v>
      </c>
      <c r="G44" s="113"/>
      <c r="H44" s="113">
        <v>0.15</v>
      </c>
      <c r="I44" s="156"/>
      <c r="J44" s="156"/>
      <c r="K44" s="157"/>
      <c r="L44" s="157"/>
      <c r="M44" s="157">
        <f t="shared" si="31"/>
        <v>1.0350000000000001</v>
      </c>
      <c r="N44" s="157"/>
      <c r="O44" s="190">
        <f t="shared" si="17"/>
        <v>12109.500000000002</v>
      </c>
      <c r="P44" s="251" t="s">
        <v>450</v>
      </c>
      <c r="Q44" s="174">
        <v>45901</v>
      </c>
      <c r="R44" s="113">
        <f t="shared" si="32"/>
        <v>23</v>
      </c>
      <c r="S44" s="113">
        <v>22</v>
      </c>
      <c r="T44" s="113">
        <v>7</v>
      </c>
      <c r="U44" s="113">
        <f t="shared" si="33"/>
        <v>105</v>
      </c>
      <c r="V44" s="187">
        <f t="shared" si="34"/>
        <v>9</v>
      </c>
      <c r="W44" s="113">
        <v>8</v>
      </c>
      <c r="X44" s="113">
        <v>9</v>
      </c>
      <c r="Y44" s="160">
        <f>0.9*60*O44</f>
        <v>653913.00000000012</v>
      </c>
      <c r="Z44" s="161">
        <f>SUM(AA44:AB44)</f>
        <v>532818.00000000012</v>
      </c>
      <c r="AA44" s="162">
        <f>4*V44*O44</f>
        <v>435942.00000000006</v>
      </c>
      <c r="AB44" s="163">
        <f>SUM(4*O44)+(0.5*(R44-15)*O44)</f>
        <v>96876.000000000015</v>
      </c>
      <c r="AC44" s="164"/>
      <c r="AD44" s="164"/>
      <c r="AE44" s="164"/>
      <c r="AF44" s="164"/>
      <c r="AG44" s="165">
        <f>ROUND(Y44+Z44,0)</f>
        <v>1186731</v>
      </c>
      <c r="AH44" s="165">
        <v>0</v>
      </c>
      <c r="AI44" s="166"/>
      <c r="AJ44" s="167">
        <f t="shared" si="35"/>
        <v>1186731</v>
      </c>
    </row>
    <row r="45" spans="1:36" s="132" customFormat="1" ht="39" customHeight="1" x14ac:dyDescent="0.25">
      <c r="A45" s="153">
        <v>3</v>
      </c>
      <c r="B45" s="201" t="s">
        <v>451</v>
      </c>
      <c r="C45" s="251">
        <v>26690</v>
      </c>
      <c r="D45" s="199" t="s">
        <v>452</v>
      </c>
      <c r="E45" s="202" t="s">
        <v>453</v>
      </c>
      <c r="F45" s="155">
        <v>3.99</v>
      </c>
      <c r="G45" s="113"/>
      <c r="H45" s="113">
        <v>0.25</v>
      </c>
      <c r="I45" s="156"/>
      <c r="J45" s="156"/>
      <c r="K45" s="157"/>
      <c r="L45" s="157"/>
      <c r="M45" s="157">
        <f t="shared" si="31"/>
        <v>1.06</v>
      </c>
      <c r="N45" s="157"/>
      <c r="O45" s="190">
        <f t="shared" si="17"/>
        <v>12402.000000000002</v>
      </c>
      <c r="P45" s="251">
        <v>49341</v>
      </c>
      <c r="Q45" s="174">
        <v>45901</v>
      </c>
      <c r="R45" s="113">
        <f t="shared" si="32"/>
        <v>21</v>
      </c>
      <c r="S45" s="113">
        <v>20</v>
      </c>
      <c r="T45" s="113">
        <v>11</v>
      </c>
      <c r="U45" s="113">
        <f t="shared" si="33"/>
        <v>113</v>
      </c>
      <c r="V45" s="187">
        <f t="shared" si="34"/>
        <v>9.5</v>
      </c>
      <c r="W45" s="113">
        <v>9</v>
      </c>
      <c r="X45" s="113">
        <v>5</v>
      </c>
      <c r="Y45" s="160">
        <f>0.9*60*O45</f>
        <v>669708.00000000012</v>
      </c>
      <c r="Z45" s="161">
        <f>SUM(AA45:AB45)</f>
        <v>558090.00000000012</v>
      </c>
      <c r="AA45" s="162">
        <f>4*V45*O45</f>
        <v>471276.00000000006</v>
      </c>
      <c r="AB45" s="163">
        <f>SUM(4*O45)+(0.5*(R45-15)*O45)</f>
        <v>86814.000000000015</v>
      </c>
      <c r="AC45" s="164"/>
      <c r="AD45" s="164"/>
      <c r="AE45" s="164"/>
      <c r="AF45" s="164"/>
      <c r="AG45" s="165">
        <f>ROUND(Y45+Z45,0)</f>
        <v>1227798</v>
      </c>
      <c r="AH45" s="165"/>
      <c r="AI45" s="166"/>
      <c r="AJ45" s="167">
        <f t="shared" si="35"/>
        <v>1227798</v>
      </c>
    </row>
    <row r="46" spans="1:36" s="132" customFormat="1" ht="39" customHeight="1" x14ac:dyDescent="0.25">
      <c r="A46" s="153">
        <v>4</v>
      </c>
      <c r="B46" s="201" t="s">
        <v>454</v>
      </c>
      <c r="C46" s="251" t="s">
        <v>455</v>
      </c>
      <c r="D46" s="199" t="s">
        <v>456</v>
      </c>
      <c r="E46" s="202" t="s">
        <v>457</v>
      </c>
      <c r="F46" s="155">
        <v>3.66</v>
      </c>
      <c r="G46" s="113"/>
      <c r="H46" s="113"/>
      <c r="I46" s="156"/>
      <c r="J46" s="156"/>
      <c r="K46" s="157"/>
      <c r="L46" s="157"/>
      <c r="M46" s="157">
        <f t="shared" si="31"/>
        <v>0.91500000000000004</v>
      </c>
      <c r="N46" s="157"/>
      <c r="O46" s="190">
        <f t="shared" si="17"/>
        <v>10705.5</v>
      </c>
      <c r="P46" s="251" t="s">
        <v>458</v>
      </c>
      <c r="Q46" s="174"/>
      <c r="R46" s="113">
        <f t="shared" si="32"/>
        <v>18</v>
      </c>
      <c r="S46" s="113">
        <v>17</v>
      </c>
      <c r="T46" s="113">
        <v>10</v>
      </c>
      <c r="U46" s="113">
        <f t="shared" si="33"/>
        <v>190</v>
      </c>
      <c r="V46" s="187">
        <f t="shared" si="34"/>
        <v>16</v>
      </c>
      <c r="W46" s="113">
        <v>15</v>
      </c>
      <c r="X46" s="113">
        <v>10</v>
      </c>
      <c r="Y46" s="160"/>
      <c r="Z46" s="161"/>
      <c r="AA46" s="162"/>
      <c r="AB46" s="163"/>
      <c r="AC46" s="177">
        <f>AD46+AE46+AF46</f>
        <v>835029</v>
      </c>
      <c r="AD46" s="178">
        <f>0.8*60*O46</f>
        <v>513864</v>
      </c>
      <c r="AE46" s="179">
        <f>1.5*O46*R46</f>
        <v>289048.5</v>
      </c>
      <c r="AF46" s="180">
        <f>3*O46</f>
        <v>32116.5</v>
      </c>
      <c r="AG46" s="165"/>
      <c r="AH46" s="165">
        <f>ROUND(AC46,0)</f>
        <v>835029</v>
      </c>
      <c r="AI46" s="166"/>
      <c r="AJ46" s="167">
        <f t="shared" si="35"/>
        <v>835029</v>
      </c>
    </row>
    <row r="47" spans="1:36" s="132" customFormat="1" ht="39" customHeight="1" x14ac:dyDescent="0.25">
      <c r="A47" s="153">
        <v>5</v>
      </c>
      <c r="B47" s="201" t="s">
        <v>459</v>
      </c>
      <c r="C47" s="251" t="s">
        <v>460</v>
      </c>
      <c r="D47" s="199" t="s">
        <v>104</v>
      </c>
      <c r="E47" s="202" t="s">
        <v>427</v>
      </c>
      <c r="F47" s="155">
        <v>4.0599999999999996</v>
      </c>
      <c r="G47" s="113"/>
      <c r="H47" s="113"/>
      <c r="I47" s="156"/>
      <c r="J47" s="156"/>
      <c r="K47" s="157"/>
      <c r="L47" s="157"/>
      <c r="M47" s="157">
        <f t="shared" si="31"/>
        <v>1.0149999999999999</v>
      </c>
      <c r="N47" s="157"/>
      <c r="O47" s="190">
        <f t="shared" si="17"/>
        <v>11875.499999999998</v>
      </c>
      <c r="P47" s="251" t="s">
        <v>461</v>
      </c>
      <c r="Q47" s="174"/>
      <c r="R47" s="113">
        <f t="shared" si="32"/>
        <v>24</v>
      </c>
      <c r="S47" s="113">
        <v>23</v>
      </c>
      <c r="T47" s="113">
        <v>10</v>
      </c>
      <c r="U47" s="113">
        <f t="shared" si="33"/>
        <v>124</v>
      </c>
      <c r="V47" s="187">
        <f t="shared" si="34"/>
        <v>10.5</v>
      </c>
      <c r="W47" s="113">
        <v>10</v>
      </c>
      <c r="X47" s="113">
        <v>4</v>
      </c>
      <c r="Y47" s="160"/>
      <c r="Z47" s="161"/>
      <c r="AA47" s="162"/>
      <c r="AB47" s="163"/>
      <c r="AC47" s="203">
        <f>AD47+AE47+AF47</f>
        <v>1033168.4999999998</v>
      </c>
      <c r="AD47" s="178">
        <f>0.8*60*O47</f>
        <v>570023.99999999988</v>
      </c>
      <c r="AE47" s="179">
        <f>1.5*O47*R47</f>
        <v>427517.99999999988</v>
      </c>
      <c r="AF47" s="180">
        <f>3*O47</f>
        <v>35626.499999999993</v>
      </c>
      <c r="AG47" s="165"/>
      <c r="AH47" s="165">
        <f>ROUND(AC47,0)</f>
        <v>1033169</v>
      </c>
      <c r="AI47" s="166"/>
      <c r="AJ47" s="167">
        <f t="shared" si="35"/>
        <v>1033169</v>
      </c>
    </row>
    <row r="48" spans="1:36" s="132" customFormat="1" ht="39" customHeight="1" x14ac:dyDescent="0.25">
      <c r="A48" s="153">
        <v>6</v>
      </c>
      <c r="B48" s="201" t="s">
        <v>462</v>
      </c>
      <c r="C48" s="251" t="s">
        <v>463</v>
      </c>
      <c r="D48" s="199" t="s">
        <v>154</v>
      </c>
      <c r="E48" s="202" t="s">
        <v>427</v>
      </c>
      <c r="F48" s="155">
        <v>3.66</v>
      </c>
      <c r="G48" s="113"/>
      <c r="H48" s="113"/>
      <c r="I48" s="156"/>
      <c r="J48" s="156"/>
      <c r="K48" s="157"/>
      <c r="L48" s="157"/>
      <c r="M48" s="157">
        <f t="shared" si="31"/>
        <v>0.91500000000000004</v>
      </c>
      <c r="N48" s="157"/>
      <c r="O48" s="190">
        <f t="shared" si="17"/>
        <v>10705.5</v>
      </c>
      <c r="P48" s="251" t="s">
        <v>464</v>
      </c>
      <c r="Q48" s="174"/>
      <c r="R48" s="113">
        <f t="shared" si="32"/>
        <v>20.5</v>
      </c>
      <c r="S48" s="113">
        <v>20</v>
      </c>
      <c r="T48" s="113">
        <v>3</v>
      </c>
      <c r="U48" s="113">
        <f t="shared" si="33"/>
        <v>176</v>
      </c>
      <c r="V48" s="187">
        <f t="shared" si="34"/>
        <v>15</v>
      </c>
      <c r="W48" s="113">
        <v>14</v>
      </c>
      <c r="X48" s="113">
        <v>8</v>
      </c>
      <c r="Y48" s="160"/>
      <c r="Z48" s="161"/>
      <c r="AA48" s="162"/>
      <c r="AB48" s="163"/>
      <c r="AC48" s="203">
        <f>AD48+AE48+AF48</f>
        <v>875174.625</v>
      </c>
      <c r="AD48" s="178">
        <f>0.8*60*O48</f>
        <v>513864</v>
      </c>
      <c r="AE48" s="179">
        <f>1.5*O48*R48</f>
        <v>329194.125</v>
      </c>
      <c r="AF48" s="180">
        <f>3*O48</f>
        <v>32116.5</v>
      </c>
      <c r="AG48" s="165">
        <f>ROUND(Y48+Z48,0)</f>
        <v>0</v>
      </c>
      <c r="AH48" s="165">
        <f>ROUND(AC48,0)</f>
        <v>875175</v>
      </c>
      <c r="AI48" s="166"/>
      <c r="AJ48" s="167">
        <f t="shared" si="35"/>
        <v>875175</v>
      </c>
    </row>
    <row r="49" spans="1:36" ht="31.2" x14ac:dyDescent="0.25">
      <c r="A49" s="181">
        <v>7</v>
      </c>
      <c r="B49" s="182" t="s">
        <v>465</v>
      </c>
      <c r="C49" s="183"/>
      <c r="D49" s="183"/>
      <c r="E49" s="183"/>
      <c r="F49" s="185"/>
      <c r="G49" s="183"/>
      <c r="H49" s="183"/>
      <c r="I49" s="183"/>
      <c r="J49" s="185"/>
      <c r="K49" s="183"/>
      <c r="L49" s="183"/>
      <c r="M49" s="185"/>
      <c r="N49" s="185"/>
      <c r="O49" s="190">
        <f t="shared" si="17"/>
        <v>0</v>
      </c>
      <c r="P49" s="183"/>
      <c r="Q49" s="185"/>
      <c r="R49" s="183"/>
      <c r="S49" s="183"/>
      <c r="T49" s="185"/>
      <c r="U49" s="183"/>
      <c r="V49" s="183"/>
      <c r="W49" s="183"/>
      <c r="X49" s="183"/>
      <c r="Y49" s="181">
        <f t="shared" ref="Y49:AJ49" si="36">SUM(Y50:Y53)</f>
        <v>0</v>
      </c>
      <c r="Z49" s="181">
        <f t="shared" si="36"/>
        <v>0</v>
      </c>
      <c r="AA49" s="181">
        <f t="shared" si="36"/>
        <v>0</v>
      </c>
      <c r="AB49" s="181">
        <f t="shared" si="36"/>
        <v>0</v>
      </c>
      <c r="AC49" s="181">
        <f t="shared" si="36"/>
        <v>3389014.6875</v>
      </c>
      <c r="AD49" s="181">
        <f t="shared" si="36"/>
        <v>2055456</v>
      </c>
      <c r="AE49" s="181">
        <f t="shared" si="36"/>
        <v>1205092.6875</v>
      </c>
      <c r="AF49" s="181">
        <f t="shared" si="36"/>
        <v>128466</v>
      </c>
      <c r="AG49" s="181">
        <f t="shared" si="36"/>
        <v>0</v>
      </c>
      <c r="AH49" s="181">
        <f t="shared" si="36"/>
        <v>3389015</v>
      </c>
      <c r="AI49" s="181">
        <f t="shared" si="36"/>
        <v>0</v>
      </c>
      <c r="AJ49" s="186">
        <f t="shared" si="36"/>
        <v>3389015</v>
      </c>
    </row>
    <row r="50" spans="1:36" ht="39" customHeight="1" x14ac:dyDescent="0.25">
      <c r="A50" s="153">
        <v>1</v>
      </c>
      <c r="B50" s="201" t="s">
        <v>466</v>
      </c>
      <c r="C50" s="251" t="s">
        <v>467</v>
      </c>
      <c r="D50" s="199" t="s">
        <v>468</v>
      </c>
      <c r="E50" s="202" t="s">
        <v>396</v>
      </c>
      <c r="F50" s="155">
        <v>3.99</v>
      </c>
      <c r="G50" s="113"/>
      <c r="H50" s="113"/>
      <c r="I50" s="156"/>
      <c r="J50" s="156"/>
      <c r="K50" s="157"/>
      <c r="L50" s="157"/>
      <c r="M50" s="157">
        <f>(F50+G50+H50+I50)*25%</f>
        <v>0.99750000000000005</v>
      </c>
      <c r="N50" s="157"/>
      <c r="O50" s="190">
        <f t="shared" si="17"/>
        <v>11670.750000000002</v>
      </c>
      <c r="P50" s="251" t="s">
        <v>469</v>
      </c>
      <c r="Q50" s="195">
        <v>45901</v>
      </c>
      <c r="R50" s="113">
        <f>(S50)+(IF(T50=0,0,IF(T50&lt;7,1/2,1)))</f>
        <v>23</v>
      </c>
      <c r="S50" s="113">
        <v>22</v>
      </c>
      <c r="T50" s="113">
        <v>10</v>
      </c>
      <c r="U50" s="113">
        <f>(W50*12)+X50</f>
        <v>124</v>
      </c>
      <c r="V50" s="187">
        <f>(W50)+(IF(X50=0,0,IF(X50&lt;6,1/2,1)))</f>
        <v>10.5</v>
      </c>
      <c r="W50" s="113">
        <v>10</v>
      </c>
      <c r="X50" s="113">
        <v>4</v>
      </c>
      <c r="Y50" s="160"/>
      <c r="Z50" s="161"/>
      <c r="AA50" s="162"/>
      <c r="AB50" s="163"/>
      <c r="AC50" s="177">
        <f>AD50+AE50+AF50</f>
        <v>997849.12500000023</v>
      </c>
      <c r="AD50" s="178">
        <f>0.8*60*O50</f>
        <v>560196.00000000012</v>
      </c>
      <c r="AE50" s="179">
        <f>1.5*O50*R50</f>
        <v>402640.87500000006</v>
      </c>
      <c r="AF50" s="180">
        <f>3*O50</f>
        <v>35012.250000000007</v>
      </c>
      <c r="AG50" s="165">
        <f>ROUND(Y50+Z50,0)</f>
        <v>0</v>
      </c>
      <c r="AH50" s="165">
        <f>ROUND(AC50,0)</f>
        <v>997849</v>
      </c>
      <c r="AI50" s="165"/>
      <c r="AJ50" s="167">
        <f>AG50+AH50+AI50</f>
        <v>997849</v>
      </c>
    </row>
    <row r="51" spans="1:36" ht="31.2" x14ac:dyDescent="0.25">
      <c r="A51" s="153">
        <v>2</v>
      </c>
      <c r="B51" s="201" t="s">
        <v>470</v>
      </c>
      <c r="C51" s="251" t="s">
        <v>471</v>
      </c>
      <c r="D51" s="199" t="s">
        <v>472</v>
      </c>
      <c r="E51" s="202" t="s">
        <v>396</v>
      </c>
      <c r="F51" s="155">
        <v>2.67</v>
      </c>
      <c r="G51" s="113"/>
      <c r="H51" s="113"/>
      <c r="I51" s="156"/>
      <c r="J51" s="156"/>
      <c r="K51" s="157"/>
      <c r="L51" s="157"/>
      <c r="M51" s="157">
        <f>(F51+G51+H51+I51)*25%</f>
        <v>0.66749999999999998</v>
      </c>
      <c r="N51" s="157"/>
      <c r="O51" s="190">
        <f t="shared" si="17"/>
        <v>7809.75</v>
      </c>
      <c r="P51" s="251" t="s">
        <v>473</v>
      </c>
      <c r="Q51" s="195">
        <v>45901</v>
      </c>
      <c r="R51" s="113">
        <f>(S51)+(IF(T51=0,0,IF(T51&lt;7,1/2,1)))</f>
        <v>9.5</v>
      </c>
      <c r="S51" s="113">
        <v>9</v>
      </c>
      <c r="T51" s="113">
        <v>5</v>
      </c>
      <c r="U51" s="113">
        <f>(W51*12)+X51</f>
        <v>259</v>
      </c>
      <c r="V51" s="187">
        <f>(W51)+(IF(X51=0,0,IF(X51&lt;6,1/2,1)))</f>
        <v>22</v>
      </c>
      <c r="W51" s="113">
        <v>21</v>
      </c>
      <c r="X51" s="113">
        <v>7</v>
      </c>
      <c r="Y51" s="160"/>
      <c r="Z51" s="161"/>
      <c r="AA51" s="162"/>
      <c r="AB51" s="163"/>
      <c r="AC51" s="177">
        <f>AD51+AE51+AF51</f>
        <v>509586.1875</v>
      </c>
      <c r="AD51" s="178">
        <f>0.8*60*O51</f>
        <v>374868</v>
      </c>
      <c r="AE51" s="179">
        <f>1.5*O51*R51</f>
        <v>111288.9375</v>
      </c>
      <c r="AF51" s="180">
        <f>3*O51</f>
        <v>23429.25</v>
      </c>
      <c r="AG51" s="165">
        <f>ROUND(Y51+Z51,0)</f>
        <v>0</v>
      </c>
      <c r="AH51" s="165">
        <f>ROUND(AC51,0)</f>
        <v>509586</v>
      </c>
      <c r="AI51" s="165"/>
      <c r="AJ51" s="167">
        <f>AG51+AH51+AI51</f>
        <v>509586</v>
      </c>
    </row>
    <row r="52" spans="1:36" ht="31.2" x14ac:dyDescent="0.25">
      <c r="A52" s="153">
        <v>3</v>
      </c>
      <c r="B52" s="201" t="s">
        <v>474</v>
      </c>
      <c r="C52" s="251" t="s">
        <v>475</v>
      </c>
      <c r="D52" s="199" t="s">
        <v>468</v>
      </c>
      <c r="E52" s="202" t="s">
        <v>387</v>
      </c>
      <c r="F52" s="155">
        <v>4.6500000000000004</v>
      </c>
      <c r="G52" s="113"/>
      <c r="H52" s="113"/>
      <c r="I52" s="156"/>
      <c r="J52" s="156"/>
      <c r="K52" s="157"/>
      <c r="L52" s="157"/>
      <c r="M52" s="157">
        <f>(F52+G52+H52+I52)*25%</f>
        <v>1.1625000000000001</v>
      </c>
      <c r="N52" s="157"/>
      <c r="O52" s="190">
        <f t="shared" si="17"/>
        <v>13601.25</v>
      </c>
      <c r="P52" s="251" t="s">
        <v>476</v>
      </c>
      <c r="Q52" s="195">
        <v>45901</v>
      </c>
      <c r="R52" s="113">
        <f>(S52)+(IF(T52=0,0,IF(T52&lt;7,1/2,1)))</f>
        <v>26</v>
      </c>
      <c r="S52" s="113">
        <v>25</v>
      </c>
      <c r="T52" s="113">
        <v>8</v>
      </c>
      <c r="U52" s="113">
        <f>(W52*12)+X52</f>
        <v>150</v>
      </c>
      <c r="V52" s="187">
        <f>(W52)+(IF(X52=0,0,IF(X52&lt;6,1/2,1)))</f>
        <v>13</v>
      </c>
      <c r="W52" s="113">
        <v>12</v>
      </c>
      <c r="X52" s="113">
        <v>6</v>
      </c>
      <c r="Y52" s="160"/>
      <c r="Z52" s="161"/>
      <c r="AA52" s="162"/>
      <c r="AB52" s="163"/>
      <c r="AC52" s="177">
        <f>AD52+AE52+AF52</f>
        <v>1224112.5</v>
      </c>
      <c r="AD52" s="178">
        <f>0.8*60*O52</f>
        <v>652860</v>
      </c>
      <c r="AE52" s="179">
        <f>1.5*O52*R52</f>
        <v>530448.75</v>
      </c>
      <c r="AF52" s="180">
        <f>3*O52</f>
        <v>40803.75</v>
      </c>
      <c r="AG52" s="165">
        <f>ROUND(Y52+Z52,0)</f>
        <v>0</v>
      </c>
      <c r="AH52" s="165">
        <f>ROUND(AC52,0)</f>
        <v>1224113</v>
      </c>
      <c r="AI52" s="165"/>
      <c r="AJ52" s="167">
        <f>AG52+AH52+AI52</f>
        <v>1224113</v>
      </c>
    </row>
    <row r="53" spans="1:36" ht="46.8" x14ac:dyDescent="0.25">
      <c r="A53" s="153">
        <v>4</v>
      </c>
      <c r="B53" s="168" t="s">
        <v>477</v>
      </c>
      <c r="C53" s="169" t="s">
        <v>478</v>
      </c>
      <c r="D53" s="199" t="s">
        <v>479</v>
      </c>
      <c r="E53" s="423" t="s">
        <v>480</v>
      </c>
      <c r="F53" s="113">
        <v>3.33</v>
      </c>
      <c r="G53" s="157"/>
      <c r="H53" s="157"/>
      <c r="I53" s="156"/>
      <c r="J53" s="156"/>
      <c r="K53" s="157"/>
      <c r="L53" s="171"/>
      <c r="M53" s="157">
        <f>(F53+G53+H53)*25%</f>
        <v>0.83250000000000002</v>
      </c>
      <c r="N53" s="172"/>
      <c r="O53" s="190">
        <f t="shared" si="17"/>
        <v>9740.25</v>
      </c>
      <c r="P53" s="112" t="s">
        <v>481</v>
      </c>
      <c r="Q53" s="195">
        <v>45901</v>
      </c>
      <c r="R53" s="113">
        <f>(S53)+(IF(T53=0,0,IF(T53&lt;7,1/2,1)))</f>
        <v>11</v>
      </c>
      <c r="S53" s="113">
        <v>10</v>
      </c>
      <c r="T53" s="113">
        <v>8</v>
      </c>
      <c r="U53" s="113">
        <f>(W53*12)+X53</f>
        <v>289</v>
      </c>
      <c r="V53" s="187">
        <f>(W53)+(IF(X53=0,0,IF(X53&lt;6,1/2,1)))</f>
        <v>24.5</v>
      </c>
      <c r="W53" s="113">
        <v>24</v>
      </c>
      <c r="X53" s="113">
        <v>1</v>
      </c>
      <c r="Y53" s="160"/>
      <c r="Z53" s="161"/>
      <c r="AA53" s="176"/>
      <c r="AB53" s="176"/>
      <c r="AC53" s="177">
        <f>AD53+AE53+AF53</f>
        <v>657466.875</v>
      </c>
      <c r="AD53" s="178">
        <f>0.8*60*O53</f>
        <v>467532</v>
      </c>
      <c r="AE53" s="179">
        <f>1.5*O53*R53</f>
        <v>160714.125</v>
      </c>
      <c r="AF53" s="180">
        <f>3*O53</f>
        <v>29220.75</v>
      </c>
      <c r="AG53" s="165">
        <f>ROUND(Y53+Z53,0)</f>
        <v>0</v>
      </c>
      <c r="AH53" s="165">
        <f>ROUND(AC53,0)</f>
        <v>657467</v>
      </c>
      <c r="AI53" s="165"/>
      <c r="AJ53" s="167">
        <f>AG53+AH53+AI53</f>
        <v>657467</v>
      </c>
    </row>
    <row r="54" spans="1:36" s="146" customFormat="1" ht="32.25" customHeight="1" x14ac:dyDescent="0.25">
      <c r="A54" s="181">
        <v>8</v>
      </c>
      <c r="B54" s="182" t="s">
        <v>482</v>
      </c>
      <c r="C54" s="183"/>
      <c r="D54" s="183"/>
      <c r="E54" s="183"/>
      <c r="F54" s="185"/>
      <c r="G54" s="183"/>
      <c r="H54" s="183"/>
      <c r="I54" s="183"/>
      <c r="J54" s="185"/>
      <c r="K54" s="183"/>
      <c r="L54" s="183"/>
      <c r="M54" s="185"/>
      <c r="N54" s="185"/>
      <c r="O54" s="190">
        <f t="shared" si="17"/>
        <v>0</v>
      </c>
      <c r="P54" s="183"/>
      <c r="Q54" s="185"/>
      <c r="R54" s="183"/>
      <c r="S54" s="183"/>
      <c r="T54" s="185"/>
      <c r="U54" s="183"/>
      <c r="V54" s="183"/>
      <c r="W54" s="183"/>
      <c r="X54" s="183"/>
      <c r="Y54" s="181">
        <f t="shared" ref="Y54:AJ54" si="37">SUM(Y55:Y64)</f>
        <v>0</v>
      </c>
      <c r="Z54" s="181">
        <f t="shared" si="37"/>
        <v>0</v>
      </c>
      <c r="AA54" s="181">
        <f t="shared" si="37"/>
        <v>0</v>
      </c>
      <c r="AB54" s="181">
        <f t="shared" si="37"/>
        <v>0</v>
      </c>
      <c r="AC54" s="181">
        <f t="shared" si="37"/>
        <v>8780813.4375</v>
      </c>
      <c r="AD54" s="181">
        <f t="shared" si="37"/>
        <v>5387148</v>
      </c>
      <c r="AE54" s="181">
        <f t="shared" si="37"/>
        <v>3056968.6875</v>
      </c>
      <c r="AF54" s="181">
        <f t="shared" si="37"/>
        <v>336696.75</v>
      </c>
      <c r="AG54" s="181">
        <f t="shared" si="37"/>
        <v>0</v>
      </c>
      <c r="AH54" s="181">
        <f t="shared" si="37"/>
        <v>8780813</v>
      </c>
      <c r="AI54" s="181">
        <f t="shared" si="37"/>
        <v>0</v>
      </c>
      <c r="AJ54" s="186">
        <f t="shared" si="37"/>
        <v>8780813</v>
      </c>
    </row>
    <row r="55" spans="1:36" s="132" customFormat="1" ht="39" customHeight="1" x14ac:dyDescent="0.25">
      <c r="A55" s="153">
        <v>1</v>
      </c>
      <c r="B55" s="201" t="s">
        <v>483</v>
      </c>
      <c r="C55" s="251" t="s">
        <v>484</v>
      </c>
      <c r="D55" s="199" t="s">
        <v>49</v>
      </c>
      <c r="E55" s="202" t="s">
        <v>414</v>
      </c>
      <c r="F55" s="155">
        <v>3.99</v>
      </c>
      <c r="G55" s="113"/>
      <c r="H55" s="113">
        <v>0.2</v>
      </c>
      <c r="I55" s="156"/>
      <c r="J55" s="156"/>
      <c r="K55" s="157"/>
      <c r="L55" s="157"/>
      <c r="M55" s="157">
        <f>(F55+G55+H55+I55)*25%</f>
        <v>1.0475000000000001</v>
      </c>
      <c r="N55" s="157"/>
      <c r="O55" s="190">
        <f t="shared" si="17"/>
        <v>12255.750000000002</v>
      </c>
      <c r="P55" s="199">
        <v>52352</v>
      </c>
      <c r="Q55" s="174"/>
      <c r="R55" s="113">
        <f t="shared" ref="R55:R64" si="38">(S55)+(IF(T55=0,0,IF(T55&lt;7,1/2,1)))</f>
        <v>17</v>
      </c>
      <c r="S55" s="153">
        <v>17</v>
      </c>
      <c r="T55" s="153">
        <v>0</v>
      </c>
      <c r="U55" s="113">
        <f t="shared" ref="U55:U64" si="39">(W55*12)+X55</f>
        <v>212</v>
      </c>
      <c r="V55" s="187">
        <f t="shared" ref="V55:V64" si="40">(W55)+(IF(X55=0,0,IF(X55&lt;6,1/2,1)))</f>
        <v>18</v>
      </c>
      <c r="W55" s="113">
        <v>17</v>
      </c>
      <c r="X55" s="113">
        <v>8</v>
      </c>
      <c r="Y55" s="160"/>
      <c r="Z55" s="161"/>
      <c r="AA55" s="162"/>
      <c r="AB55" s="163"/>
      <c r="AC55" s="203">
        <f t="shared" ref="AC55:AC64" si="41">AD55+AE55+AF55</f>
        <v>937564.87500000023</v>
      </c>
      <c r="AD55" s="178">
        <f t="shared" ref="AD55:AD64" si="42">0.8*60*O55</f>
        <v>588276.00000000012</v>
      </c>
      <c r="AE55" s="179">
        <f t="shared" ref="AE55:AE64" si="43">1.5*O55*R55</f>
        <v>312521.62500000006</v>
      </c>
      <c r="AF55" s="180">
        <f t="shared" ref="AF55:AF64" si="44">3*O55</f>
        <v>36767.250000000007</v>
      </c>
      <c r="AG55" s="165">
        <f>ROUND(Y55+Z55,0)</f>
        <v>0</v>
      </c>
      <c r="AH55" s="165">
        <f t="shared" ref="AH55:AH64" si="45">ROUND(AC55,0)</f>
        <v>937565</v>
      </c>
      <c r="AI55" s="166"/>
      <c r="AJ55" s="167">
        <f t="shared" ref="AJ55:AJ64" si="46">AG55+AH55+AI55</f>
        <v>937565</v>
      </c>
    </row>
    <row r="56" spans="1:36" s="132" customFormat="1" ht="39" customHeight="1" x14ac:dyDescent="0.25">
      <c r="A56" s="153">
        <v>2</v>
      </c>
      <c r="B56" s="201" t="s">
        <v>485</v>
      </c>
      <c r="C56" s="251" t="s">
        <v>486</v>
      </c>
      <c r="D56" s="199" t="s">
        <v>49</v>
      </c>
      <c r="E56" s="202" t="s">
        <v>414</v>
      </c>
      <c r="F56" s="155">
        <v>3.66</v>
      </c>
      <c r="G56" s="113"/>
      <c r="H56" s="113">
        <v>0.25</v>
      </c>
      <c r="I56" s="156"/>
      <c r="J56" s="156"/>
      <c r="K56" s="157"/>
      <c r="L56" s="157"/>
      <c r="M56" s="157">
        <f>(F56+G56+H56+I56)*25%</f>
        <v>0.97750000000000004</v>
      </c>
      <c r="N56" s="157"/>
      <c r="O56" s="190">
        <f t="shared" si="17"/>
        <v>11436.75</v>
      </c>
      <c r="P56" s="199">
        <v>50496</v>
      </c>
      <c r="Q56" s="174"/>
      <c r="R56" s="113">
        <f t="shared" si="38"/>
        <v>19.5</v>
      </c>
      <c r="S56" s="153">
        <v>19</v>
      </c>
      <c r="T56" s="153">
        <v>3</v>
      </c>
      <c r="U56" s="113">
        <f t="shared" si="39"/>
        <v>151</v>
      </c>
      <c r="V56" s="187">
        <f t="shared" si="40"/>
        <v>13</v>
      </c>
      <c r="W56" s="113">
        <v>12</v>
      </c>
      <c r="X56" s="113">
        <v>7</v>
      </c>
      <c r="Y56" s="160"/>
      <c r="Z56" s="161"/>
      <c r="AA56" s="162"/>
      <c r="AB56" s="163"/>
      <c r="AC56" s="203">
        <f t="shared" si="41"/>
        <v>917799.1875</v>
      </c>
      <c r="AD56" s="178">
        <f t="shared" si="42"/>
        <v>548964</v>
      </c>
      <c r="AE56" s="179">
        <f t="shared" si="43"/>
        <v>334524.9375</v>
      </c>
      <c r="AF56" s="180">
        <f t="shared" si="44"/>
        <v>34310.25</v>
      </c>
      <c r="AG56" s="165">
        <f>ROUND(Y56+Z56,0)</f>
        <v>0</v>
      </c>
      <c r="AH56" s="165">
        <f t="shared" si="45"/>
        <v>917799</v>
      </c>
      <c r="AI56" s="166"/>
      <c r="AJ56" s="167">
        <f t="shared" si="46"/>
        <v>917799</v>
      </c>
    </row>
    <row r="57" spans="1:36" s="119" customFormat="1" ht="57" customHeight="1" x14ac:dyDescent="0.25">
      <c r="A57" s="153">
        <v>3</v>
      </c>
      <c r="B57" s="168" t="s">
        <v>487</v>
      </c>
      <c r="C57" s="169">
        <v>28063</v>
      </c>
      <c r="D57" s="199" t="s">
        <v>49</v>
      </c>
      <c r="E57" s="423" t="s">
        <v>396</v>
      </c>
      <c r="F57" s="113">
        <v>3.99</v>
      </c>
      <c r="G57" s="157"/>
      <c r="H57" s="157"/>
      <c r="I57" s="156"/>
      <c r="J57" s="156"/>
      <c r="K57" s="157"/>
      <c r="L57" s="171"/>
      <c r="M57" s="157">
        <f t="shared" ref="M57:M64" si="47">(F57+G57+H57)*25%</f>
        <v>0.99750000000000005</v>
      </c>
      <c r="N57" s="172"/>
      <c r="O57" s="190">
        <f t="shared" si="17"/>
        <v>11670.750000000002</v>
      </c>
      <c r="P57" s="112">
        <v>49980</v>
      </c>
      <c r="Q57" s="174"/>
      <c r="R57" s="113">
        <f t="shared" si="38"/>
        <v>23.5</v>
      </c>
      <c r="S57" s="153">
        <v>23</v>
      </c>
      <c r="T57" s="153">
        <v>6</v>
      </c>
      <c r="U57" s="113">
        <f t="shared" si="39"/>
        <v>134</v>
      </c>
      <c r="V57" s="187">
        <f t="shared" si="40"/>
        <v>11.5</v>
      </c>
      <c r="W57" s="113">
        <v>11</v>
      </c>
      <c r="X57" s="113">
        <v>2</v>
      </c>
      <c r="Y57" s="160"/>
      <c r="Z57" s="161"/>
      <c r="AA57" s="176"/>
      <c r="AB57" s="176"/>
      <c r="AC57" s="203">
        <f t="shared" si="41"/>
        <v>1006602.1875000002</v>
      </c>
      <c r="AD57" s="178">
        <f t="shared" si="42"/>
        <v>560196.00000000012</v>
      </c>
      <c r="AE57" s="179">
        <f t="shared" si="43"/>
        <v>411393.93750000006</v>
      </c>
      <c r="AF57" s="180">
        <f t="shared" si="44"/>
        <v>35012.250000000007</v>
      </c>
      <c r="AG57" s="165">
        <f>ROUND(Y57+Z57,0)</f>
        <v>0</v>
      </c>
      <c r="AH57" s="165">
        <f t="shared" si="45"/>
        <v>1006602</v>
      </c>
      <c r="AI57" s="165"/>
      <c r="AJ57" s="167">
        <f t="shared" si="46"/>
        <v>1006602</v>
      </c>
    </row>
    <row r="58" spans="1:36" s="119" customFormat="1" ht="42.6" customHeight="1" x14ac:dyDescent="0.25">
      <c r="A58" s="153">
        <v>4</v>
      </c>
      <c r="B58" s="168" t="s">
        <v>488</v>
      </c>
      <c r="C58" s="169">
        <v>28681</v>
      </c>
      <c r="D58" s="199" t="s">
        <v>49</v>
      </c>
      <c r="E58" s="423" t="s">
        <v>396</v>
      </c>
      <c r="F58" s="113">
        <v>3.99</v>
      </c>
      <c r="G58" s="157"/>
      <c r="H58" s="157"/>
      <c r="I58" s="156"/>
      <c r="J58" s="156"/>
      <c r="K58" s="157"/>
      <c r="L58" s="171"/>
      <c r="M58" s="157">
        <f t="shared" si="47"/>
        <v>0.99750000000000005</v>
      </c>
      <c r="N58" s="172"/>
      <c r="O58" s="190">
        <f t="shared" si="17"/>
        <v>11670.750000000002</v>
      </c>
      <c r="P58" s="112">
        <v>51349</v>
      </c>
      <c r="Q58" s="174"/>
      <c r="R58" s="113">
        <f t="shared" si="38"/>
        <v>21.5</v>
      </c>
      <c r="S58" s="153">
        <v>21</v>
      </c>
      <c r="T58" s="153">
        <v>2</v>
      </c>
      <c r="U58" s="113">
        <f t="shared" si="39"/>
        <v>179</v>
      </c>
      <c r="V58" s="187">
        <f t="shared" si="40"/>
        <v>15</v>
      </c>
      <c r="W58" s="113">
        <v>14</v>
      </c>
      <c r="X58" s="113">
        <v>11</v>
      </c>
      <c r="Y58" s="160"/>
      <c r="Z58" s="161"/>
      <c r="AA58" s="176"/>
      <c r="AB58" s="176"/>
      <c r="AC58" s="203">
        <f t="shared" si="41"/>
        <v>971589.93750000023</v>
      </c>
      <c r="AD58" s="178">
        <f t="shared" si="42"/>
        <v>560196.00000000012</v>
      </c>
      <c r="AE58" s="179">
        <f t="shared" si="43"/>
        <v>376381.68750000006</v>
      </c>
      <c r="AF58" s="180">
        <f t="shared" si="44"/>
        <v>35012.250000000007</v>
      </c>
      <c r="AG58" s="165"/>
      <c r="AH58" s="165">
        <f t="shared" si="45"/>
        <v>971590</v>
      </c>
      <c r="AI58" s="165"/>
      <c r="AJ58" s="167">
        <f t="shared" si="46"/>
        <v>971590</v>
      </c>
    </row>
    <row r="59" spans="1:36" s="119" customFormat="1" ht="43.2" customHeight="1" x14ac:dyDescent="0.25">
      <c r="A59" s="153">
        <v>5</v>
      </c>
      <c r="B59" s="168" t="s">
        <v>489</v>
      </c>
      <c r="C59" s="169">
        <v>29288</v>
      </c>
      <c r="D59" s="199" t="s">
        <v>49</v>
      </c>
      <c r="E59" s="423" t="s">
        <v>396</v>
      </c>
      <c r="F59" s="113">
        <v>3.99</v>
      </c>
      <c r="G59" s="157"/>
      <c r="H59" s="157"/>
      <c r="I59" s="156"/>
      <c r="J59" s="156"/>
      <c r="K59" s="157"/>
      <c r="L59" s="171"/>
      <c r="M59" s="157">
        <f t="shared" si="47"/>
        <v>0.99750000000000005</v>
      </c>
      <c r="N59" s="172"/>
      <c r="O59" s="190">
        <f t="shared" si="17"/>
        <v>11670.750000000002</v>
      </c>
      <c r="P59" s="112">
        <v>51227</v>
      </c>
      <c r="Q59" s="174"/>
      <c r="R59" s="113">
        <f t="shared" si="38"/>
        <v>21.5</v>
      </c>
      <c r="S59" s="153">
        <v>21</v>
      </c>
      <c r="T59" s="153">
        <v>3</v>
      </c>
      <c r="U59" s="113">
        <f t="shared" si="39"/>
        <v>175</v>
      </c>
      <c r="V59" s="187">
        <f t="shared" si="40"/>
        <v>15</v>
      </c>
      <c r="W59" s="113">
        <v>14</v>
      </c>
      <c r="X59" s="113">
        <v>7</v>
      </c>
      <c r="Y59" s="160"/>
      <c r="Z59" s="161"/>
      <c r="AA59" s="176"/>
      <c r="AB59" s="176"/>
      <c r="AC59" s="203">
        <f t="shared" si="41"/>
        <v>971589.93750000023</v>
      </c>
      <c r="AD59" s="178">
        <f t="shared" si="42"/>
        <v>560196.00000000012</v>
      </c>
      <c r="AE59" s="179">
        <f t="shared" si="43"/>
        <v>376381.68750000006</v>
      </c>
      <c r="AF59" s="180">
        <f t="shared" si="44"/>
        <v>35012.250000000007</v>
      </c>
      <c r="AG59" s="165"/>
      <c r="AH59" s="165">
        <f t="shared" si="45"/>
        <v>971590</v>
      </c>
      <c r="AI59" s="165"/>
      <c r="AJ59" s="167">
        <f t="shared" si="46"/>
        <v>971590</v>
      </c>
    </row>
    <row r="60" spans="1:36" s="119" customFormat="1" ht="57" customHeight="1" x14ac:dyDescent="0.25">
      <c r="A60" s="153">
        <v>6</v>
      </c>
      <c r="B60" s="168" t="s">
        <v>490</v>
      </c>
      <c r="C60" s="169">
        <v>29826</v>
      </c>
      <c r="D60" s="199" t="s">
        <v>49</v>
      </c>
      <c r="E60" s="423" t="s">
        <v>396</v>
      </c>
      <c r="F60" s="113">
        <v>3.99</v>
      </c>
      <c r="G60" s="157"/>
      <c r="H60" s="157"/>
      <c r="I60" s="156"/>
      <c r="J60" s="156"/>
      <c r="K60" s="157"/>
      <c r="L60" s="171"/>
      <c r="M60" s="157">
        <f t="shared" si="47"/>
        <v>0.99750000000000005</v>
      </c>
      <c r="N60" s="172"/>
      <c r="O60" s="190">
        <f t="shared" si="17"/>
        <v>11670.750000000002</v>
      </c>
      <c r="P60" s="112">
        <v>51745</v>
      </c>
      <c r="Q60" s="174"/>
      <c r="R60" s="113">
        <f t="shared" si="38"/>
        <v>17.5</v>
      </c>
      <c r="S60" s="153">
        <v>17</v>
      </c>
      <c r="T60" s="153">
        <v>3</v>
      </c>
      <c r="U60" s="113">
        <f t="shared" si="39"/>
        <v>192</v>
      </c>
      <c r="V60" s="187">
        <f t="shared" si="40"/>
        <v>16</v>
      </c>
      <c r="W60" s="113">
        <v>16</v>
      </c>
      <c r="X60" s="113">
        <v>0</v>
      </c>
      <c r="Y60" s="160"/>
      <c r="Z60" s="161"/>
      <c r="AA60" s="176"/>
      <c r="AB60" s="176"/>
      <c r="AC60" s="203">
        <f t="shared" si="41"/>
        <v>901565.43750000023</v>
      </c>
      <c r="AD60" s="178">
        <f t="shared" si="42"/>
        <v>560196.00000000012</v>
      </c>
      <c r="AE60" s="420">
        <f t="shared" si="43"/>
        <v>306357.18750000006</v>
      </c>
      <c r="AF60" s="180">
        <f t="shared" si="44"/>
        <v>35012.250000000007</v>
      </c>
      <c r="AG60" s="165"/>
      <c r="AH60" s="165">
        <f t="shared" si="45"/>
        <v>901565</v>
      </c>
      <c r="AI60" s="165"/>
      <c r="AJ60" s="167">
        <f t="shared" si="46"/>
        <v>901565</v>
      </c>
    </row>
    <row r="61" spans="1:36" s="119" customFormat="1" ht="40.950000000000003" customHeight="1" x14ac:dyDescent="0.25">
      <c r="A61" s="153">
        <v>7</v>
      </c>
      <c r="B61" s="168" t="s">
        <v>491</v>
      </c>
      <c r="C61" s="169">
        <v>28533</v>
      </c>
      <c r="D61" s="199" t="s">
        <v>49</v>
      </c>
      <c r="E61" s="423" t="s">
        <v>387</v>
      </c>
      <c r="F61" s="113">
        <v>3.99</v>
      </c>
      <c r="G61" s="157"/>
      <c r="H61" s="157"/>
      <c r="I61" s="156"/>
      <c r="J61" s="156"/>
      <c r="K61" s="157"/>
      <c r="L61" s="171"/>
      <c r="M61" s="157">
        <f t="shared" si="47"/>
        <v>0.99750000000000005</v>
      </c>
      <c r="N61" s="172"/>
      <c r="O61" s="190">
        <f t="shared" si="17"/>
        <v>11670.750000000002</v>
      </c>
      <c r="P61" s="112">
        <v>50465</v>
      </c>
      <c r="Q61" s="174"/>
      <c r="R61" s="113">
        <f t="shared" si="38"/>
        <v>24</v>
      </c>
      <c r="S61" s="153">
        <v>23</v>
      </c>
      <c r="T61" s="153">
        <v>11</v>
      </c>
      <c r="U61" s="113">
        <f t="shared" si="39"/>
        <v>150</v>
      </c>
      <c r="V61" s="187">
        <f t="shared" si="40"/>
        <v>13</v>
      </c>
      <c r="W61" s="113">
        <v>12</v>
      </c>
      <c r="X61" s="113">
        <v>6</v>
      </c>
      <c r="Y61" s="160"/>
      <c r="Z61" s="161"/>
      <c r="AA61" s="176"/>
      <c r="AB61" s="176"/>
      <c r="AC61" s="203">
        <f t="shared" si="41"/>
        <v>1015355.2500000002</v>
      </c>
      <c r="AD61" s="178">
        <f t="shared" si="42"/>
        <v>560196.00000000012</v>
      </c>
      <c r="AE61" s="179">
        <f t="shared" si="43"/>
        <v>420147.00000000012</v>
      </c>
      <c r="AF61" s="180">
        <f t="shared" si="44"/>
        <v>35012.250000000007</v>
      </c>
      <c r="AG61" s="165"/>
      <c r="AH61" s="165">
        <f t="shared" si="45"/>
        <v>1015355</v>
      </c>
      <c r="AI61" s="165"/>
      <c r="AJ61" s="167">
        <f t="shared" si="46"/>
        <v>1015355</v>
      </c>
    </row>
    <row r="62" spans="1:36" s="119" customFormat="1" ht="43.2" customHeight="1" x14ac:dyDescent="0.25">
      <c r="A62" s="153">
        <v>8</v>
      </c>
      <c r="B62" s="168" t="s">
        <v>492</v>
      </c>
      <c r="C62" s="169" t="s">
        <v>493</v>
      </c>
      <c r="D62" s="199" t="s">
        <v>494</v>
      </c>
      <c r="E62" s="423" t="s">
        <v>387</v>
      </c>
      <c r="F62" s="113">
        <v>3.66</v>
      </c>
      <c r="G62" s="157"/>
      <c r="H62" s="157"/>
      <c r="I62" s="156"/>
      <c r="J62" s="156"/>
      <c r="K62" s="157"/>
      <c r="L62" s="171"/>
      <c r="M62" s="157">
        <f t="shared" si="47"/>
        <v>0.91500000000000004</v>
      </c>
      <c r="N62" s="172"/>
      <c r="O62" s="190">
        <f t="shared" si="17"/>
        <v>10705.5</v>
      </c>
      <c r="P62" s="112">
        <v>55397</v>
      </c>
      <c r="Q62" s="174"/>
      <c r="R62" s="113">
        <f t="shared" si="38"/>
        <v>10.5</v>
      </c>
      <c r="S62" s="153">
        <v>10</v>
      </c>
      <c r="T62" s="153">
        <v>5</v>
      </c>
      <c r="U62" s="113">
        <f t="shared" si="39"/>
        <v>312</v>
      </c>
      <c r="V62" s="187">
        <f t="shared" si="40"/>
        <v>26</v>
      </c>
      <c r="W62" s="113">
        <v>26</v>
      </c>
      <c r="X62" s="113">
        <v>0</v>
      </c>
      <c r="Y62" s="160"/>
      <c r="Z62" s="161"/>
      <c r="AA62" s="176"/>
      <c r="AB62" s="176"/>
      <c r="AC62" s="203">
        <f t="shared" si="41"/>
        <v>714592.125</v>
      </c>
      <c r="AD62" s="178">
        <f t="shared" si="42"/>
        <v>513864</v>
      </c>
      <c r="AE62" s="179">
        <f t="shared" si="43"/>
        <v>168611.625</v>
      </c>
      <c r="AF62" s="180">
        <f t="shared" si="44"/>
        <v>32116.5</v>
      </c>
      <c r="AG62" s="165"/>
      <c r="AH62" s="165">
        <f t="shared" si="45"/>
        <v>714592</v>
      </c>
      <c r="AI62" s="165"/>
      <c r="AJ62" s="167">
        <f t="shared" si="46"/>
        <v>714592</v>
      </c>
    </row>
    <row r="63" spans="1:36" s="119" customFormat="1" ht="46.95" customHeight="1" x14ac:dyDescent="0.25">
      <c r="A63" s="153">
        <v>9</v>
      </c>
      <c r="B63" s="168" t="s">
        <v>495</v>
      </c>
      <c r="C63" s="169" t="s">
        <v>496</v>
      </c>
      <c r="D63" s="199" t="s">
        <v>49</v>
      </c>
      <c r="E63" s="423" t="s">
        <v>387</v>
      </c>
      <c r="F63" s="113">
        <v>3.33</v>
      </c>
      <c r="G63" s="157"/>
      <c r="H63" s="157"/>
      <c r="I63" s="156"/>
      <c r="J63" s="156"/>
      <c r="K63" s="157"/>
      <c r="L63" s="171"/>
      <c r="M63" s="157">
        <f t="shared" si="47"/>
        <v>0.83250000000000002</v>
      </c>
      <c r="N63" s="172"/>
      <c r="O63" s="190">
        <f t="shared" si="17"/>
        <v>9740.25</v>
      </c>
      <c r="P63" s="112">
        <v>55032</v>
      </c>
      <c r="Q63" s="174"/>
      <c r="R63" s="113">
        <f t="shared" si="38"/>
        <v>10</v>
      </c>
      <c r="S63" s="153">
        <v>10</v>
      </c>
      <c r="T63" s="153">
        <v>0</v>
      </c>
      <c r="U63" s="113">
        <f t="shared" si="39"/>
        <v>300</v>
      </c>
      <c r="V63" s="187">
        <f t="shared" si="40"/>
        <v>25</v>
      </c>
      <c r="W63" s="113">
        <v>25</v>
      </c>
      <c r="X63" s="113">
        <v>0</v>
      </c>
      <c r="Y63" s="160"/>
      <c r="Z63" s="161"/>
      <c r="AA63" s="176"/>
      <c r="AB63" s="176"/>
      <c r="AC63" s="203">
        <f t="shared" si="41"/>
        <v>642856.5</v>
      </c>
      <c r="AD63" s="178">
        <f t="shared" si="42"/>
        <v>467532</v>
      </c>
      <c r="AE63" s="179">
        <f t="shared" si="43"/>
        <v>146103.75</v>
      </c>
      <c r="AF63" s="180">
        <f t="shared" si="44"/>
        <v>29220.75</v>
      </c>
      <c r="AG63" s="165"/>
      <c r="AH63" s="165">
        <f t="shared" si="45"/>
        <v>642857</v>
      </c>
      <c r="AI63" s="165"/>
      <c r="AJ63" s="167">
        <f t="shared" si="46"/>
        <v>642857</v>
      </c>
    </row>
    <row r="64" spans="1:36" s="119" customFormat="1" ht="51" customHeight="1" x14ac:dyDescent="0.25">
      <c r="A64" s="153">
        <v>10</v>
      </c>
      <c r="B64" s="168" t="s">
        <v>497</v>
      </c>
      <c r="C64" s="169" t="s">
        <v>498</v>
      </c>
      <c r="D64" s="199" t="s">
        <v>49</v>
      </c>
      <c r="E64" s="423" t="s">
        <v>427</v>
      </c>
      <c r="F64" s="113">
        <v>3.33</v>
      </c>
      <c r="G64" s="157"/>
      <c r="H64" s="157"/>
      <c r="I64" s="156"/>
      <c r="J64" s="156"/>
      <c r="K64" s="157"/>
      <c r="L64" s="171"/>
      <c r="M64" s="157">
        <f t="shared" si="47"/>
        <v>0.83250000000000002</v>
      </c>
      <c r="N64" s="172"/>
      <c r="O64" s="190">
        <f t="shared" si="17"/>
        <v>9740.25</v>
      </c>
      <c r="P64" s="112">
        <v>53752</v>
      </c>
      <c r="Q64" s="174"/>
      <c r="R64" s="113">
        <f t="shared" si="38"/>
        <v>14</v>
      </c>
      <c r="S64" s="153">
        <v>13</v>
      </c>
      <c r="T64" s="153">
        <v>11</v>
      </c>
      <c r="U64" s="113">
        <f t="shared" si="39"/>
        <v>258</v>
      </c>
      <c r="V64" s="187">
        <f t="shared" si="40"/>
        <v>22</v>
      </c>
      <c r="W64" s="113">
        <v>21</v>
      </c>
      <c r="X64" s="113">
        <v>6</v>
      </c>
      <c r="Y64" s="160"/>
      <c r="Z64" s="161"/>
      <c r="AA64" s="176"/>
      <c r="AB64" s="176"/>
      <c r="AC64" s="203">
        <f t="shared" si="41"/>
        <v>701298</v>
      </c>
      <c r="AD64" s="178">
        <f t="shared" si="42"/>
        <v>467532</v>
      </c>
      <c r="AE64" s="179">
        <f t="shared" si="43"/>
        <v>204545.25</v>
      </c>
      <c r="AF64" s="180">
        <f t="shared" si="44"/>
        <v>29220.75</v>
      </c>
      <c r="AG64" s="165">
        <f>ROUND(Y64+Z64,0)</f>
        <v>0</v>
      </c>
      <c r="AH64" s="165">
        <f t="shared" si="45"/>
        <v>701298</v>
      </c>
      <c r="AI64" s="165"/>
      <c r="AJ64" s="167">
        <f t="shared" si="46"/>
        <v>701298</v>
      </c>
    </row>
    <row r="65" spans="1:36" s="146" customFormat="1" ht="42.6" customHeight="1" x14ac:dyDescent="0.25">
      <c r="A65" s="181">
        <v>9</v>
      </c>
      <c r="B65" s="182" t="s">
        <v>499</v>
      </c>
      <c r="C65" s="183"/>
      <c r="D65" s="183"/>
      <c r="E65" s="183"/>
      <c r="F65" s="185"/>
      <c r="G65" s="183"/>
      <c r="H65" s="183"/>
      <c r="I65" s="183"/>
      <c r="J65" s="185"/>
      <c r="K65" s="183"/>
      <c r="L65" s="183"/>
      <c r="M65" s="185"/>
      <c r="N65" s="185"/>
      <c r="O65" s="190">
        <f t="shared" si="17"/>
        <v>0</v>
      </c>
      <c r="P65" s="183"/>
      <c r="Q65" s="185"/>
      <c r="R65" s="183"/>
      <c r="S65" s="183"/>
      <c r="T65" s="185"/>
      <c r="U65" s="183"/>
      <c r="V65" s="183"/>
      <c r="W65" s="183"/>
      <c r="X65" s="183"/>
      <c r="Y65" s="181">
        <f t="shared" ref="Y65:AJ65" si="48">SUM(Y66:Y70)</f>
        <v>0</v>
      </c>
      <c r="Z65" s="181">
        <f t="shared" si="48"/>
        <v>0</v>
      </c>
      <c r="AA65" s="181">
        <f t="shared" si="48"/>
        <v>0</v>
      </c>
      <c r="AB65" s="181">
        <f t="shared" si="48"/>
        <v>0</v>
      </c>
      <c r="AC65" s="181">
        <f t="shared" si="48"/>
        <v>4950679.5</v>
      </c>
      <c r="AD65" s="181">
        <f t="shared" si="48"/>
        <v>2855736</v>
      </c>
      <c r="AE65" s="181">
        <f t="shared" si="48"/>
        <v>1916460</v>
      </c>
      <c r="AF65" s="181">
        <f t="shared" si="48"/>
        <v>178483.5</v>
      </c>
      <c r="AG65" s="181">
        <f t="shared" si="48"/>
        <v>0</v>
      </c>
      <c r="AH65" s="181">
        <f t="shared" si="48"/>
        <v>4950679</v>
      </c>
      <c r="AI65" s="181">
        <f t="shared" si="48"/>
        <v>0</v>
      </c>
      <c r="AJ65" s="186">
        <f t="shared" si="48"/>
        <v>4950679</v>
      </c>
    </row>
    <row r="66" spans="1:36" s="119" customFormat="1" ht="57" customHeight="1" x14ac:dyDescent="0.25">
      <c r="A66" s="153">
        <v>1</v>
      </c>
      <c r="B66" s="168" t="s">
        <v>500</v>
      </c>
      <c r="C66" s="169">
        <v>28465</v>
      </c>
      <c r="D66" s="199" t="s">
        <v>49</v>
      </c>
      <c r="E66" s="423" t="s">
        <v>501</v>
      </c>
      <c r="F66" s="113">
        <v>4.6500000000000004</v>
      </c>
      <c r="G66" s="157"/>
      <c r="H66" s="157"/>
      <c r="I66" s="156"/>
      <c r="J66" s="156"/>
      <c r="K66" s="157"/>
      <c r="L66" s="171"/>
      <c r="M66" s="157">
        <f>(F66+G66+H66)*25%</f>
        <v>1.1625000000000001</v>
      </c>
      <c r="N66" s="172"/>
      <c r="O66" s="190">
        <f t="shared" si="17"/>
        <v>13601.25</v>
      </c>
      <c r="P66" s="112">
        <v>50406</v>
      </c>
      <c r="Q66" s="174"/>
      <c r="R66" s="113">
        <f>(S66)+(IF(T66=0,0,IF(T66&lt;7,1/2,1)))</f>
        <v>29</v>
      </c>
      <c r="S66" s="113">
        <v>28</v>
      </c>
      <c r="T66" s="113">
        <v>9</v>
      </c>
      <c r="U66" s="113">
        <f>(W66*12)+X66</f>
        <v>148</v>
      </c>
      <c r="V66" s="187">
        <f>(W66)+(IF(X66=0,0,IF(X66&lt;6,1/2,1)))</f>
        <v>12.5</v>
      </c>
      <c r="W66" s="113">
        <v>12</v>
      </c>
      <c r="X66" s="113">
        <v>4</v>
      </c>
      <c r="Y66" s="160"/>
      <c r="Z66" s="161"/>
      <c r="AA66" s="176"/>
      <c r="AB66" s="176"/>
      <c r="AC66" s="177">
        <f>AD66+AE66+AF66</f>
        <v>1285318.125</v>
      </c>
      <c r="AD66" s="178">
        <f>0.8*60*O66</f>
        <v>652860</v>
      </c>
      <c r="AE66" s="179">
        <f>1.5*O66*R66</f>
        <v>591654.375</v>
      </c>
      <c r="AF66" s="180">
        <f>3*O66</f>
        <v>40803.75</v>
      </c>
      <c r="AG66" s="165">
        <f>ROUND(Y66+Z66,0)</f>
        <v>0</v>
      </c>
      <c r="AH66" s="165">
        <f>ROUND(AC66,0)</f>
        <v>1285318</v>
      </c>
      <c r="AI66" s="165"/>
      <c r="AJ66" s="167">
        <f>AG66+AH66+AI66</f>
        <v>1285318</v>
      </c>
    </row>
    <row r="67" spans="1:36" s="119" customFormat="1" ht="57" customHeight="1" x14ac:dyDescent="0.25">
      <c r="A67" s="153">
        <v>2</v>
      </c>
      <c r="B67" s="168" t="s">
        <v>502</v>
      </c>
      <c r="C67" s="169">
        <v>32738</v>
      </c>
      <c r="D67" s="199" t="s">
        <v>104</v>
      </c>
      <c r="E67" s="423" t="s">
        <v>421</v>
      </c>
      <c r="F67" s="113">
        <v>2.86</v>
      </c>
      <c r="G67" s="157"/>
      <c r="H67" s="157"/>
      <c r="I67" s="156"/>
      <c r="J67" s="156"/>
      <c r="K67" s="157"/>
      <c r="L67" s="171"/>
      <c r="M67" s="157">
        <f>(F67+G67+H67)*25%</f>
        <v>0.71499999999999997</v>
      </c>
      <c r="N67" s="172"/>
      <c r="O67" s="190">
        <f t="shared" si="17"/>
        <v>8365.5</v>
      </c>
      <c r="P67" s="112">
        <v>55397</v>
      </c>
      <c r="Q67" s="174"/>
      <c r="R67" s="113">
        <f>(S67)+(IF(T67=0,0,IF(T67&lt;7,1/2,1)))</f>
        <v>11.5</v>
      </c>
      <c r="S67" s="113">
        <v>11</v>
      </c>
      <c r="T67" s="113">
        <v>6</v>
      </c>
      <c r="U67" s="113">
        <f>(W67*12)+X67</f>
        <v>312</v>
      </c>
      <c r="V67" s="187">
        <f>(W67)+(IF(X67=0,0,IF(X67&lt;6,1/2,1)))</f>
        <v>26</v>
      </c>
      <c r="W67" s="113">
        <v>26</v>
      </c>
      <c r="X67" s="113">
        <v>0</v>
      </c>
      <c r="Y67" s="160"/>
      <c r="Z67" s="161"/>
      <c r="AA67" s="176"/>
      <c r="AB67" s="176"/>
      <c r="AC67" s="177">
        <f>AD67+AE67+AF67</f>
        <v>570945.375</v>
      </c>
      <c r="AD67" s="178">
        <f>0.8*60*O67</f>
        <v>401544</v>
      </c>
      <c r="AE67" s="179">
        <f>1.5*O67*R67</f>
        <v>144304.875</v>
      </c>
      <c r="AF67" s="180">
        <f>3*O67</f>
        <v>25096.5</v>
      </c>
      <c r="AG67" s="165">
        <f>ROUND(Y67+Z67,0)</f>
        <v>0</v>
      </c>
      <c r="AH67" s="165">
        <f>ROUND(AC67,0)</f>
        <v>570945</v>
      </c>
      <c r="AI67" s="165"/>
      <c r="AJ67" s="167">
        <f>AG67+AH67+AI67</f>
        <v>570945</v>
      </c>
    </row>
    <row r="68" spans="1:36" s="119" customFormat="1" ht="57" customHeight="1" x14ac:dyDescent="0.25">
      <c r="A68" s="153">
        <v>3</v>
      </c>
      <c r="B68" s="168" t="s">
        <v>503</v>
      </c>
      <c r="C68" s="169">
        <v>27676</v>
      </c>
      <c r="D68" s="199" t="s">
        <v>49</v>
      </c>
      <c r="E68" s="423" t="s">
        <v>387</v>
      </c>
      <c r="F68" s="113">
        <v>4.6500000000000004</v>
      </c>
      <c r="G68" s="157"/>
      <c r="H68" s="157"/>
      <c r="I68" s="156"/>
      <c r="J68" s="156"/>
      <c r="K68" s="157"/>
      <c r="L68" s="171"/>
      <c r="M68" s="157">
        <f>(F68+G68+H68)*25%</f>
        <v>1.1625000000000001</v>
      </c>
      <c r="N68" s="172"/>
      <c r="O68" s="190">
        <f t="shared" si="17"/>
        <v>13601.25</v>
      </c>
      <c r="P68" s="112">
        <v>50345</v>
      </c>
      <c r="Q68" s="174"/>
      <c r="R68" s="113">
        <f>(S68)+(IF(T68=0,0,IF(T68&lt;7,1/2,1)))</f>
        <v>24</v>
      </c>
      <c r="S68" s="113">
        <v>23</v>
      </c>
      <c r="T68" s="113">
        <v>8</v>
      </c>
      <c r="U68" s="113">
        <f>(W68*12)+X68</f>
        <v>146</v>
      </c>
      <c r="V68" s="187">
        <f>(W68)+(IF(X68=0,0,IF(X68&lt;6,1/2,1)))</f>
        <v>12.5</v>
      </c>
      <c r="W68" s="113">
        <v>12</v>
      </c>
      <c r="X68" s="113">
        <v>2</v>
      </c>
      <c r="Y68" s="160"/>
      <c r="Z68" s="161"/>
      <c r="AA68" s="176"/>
      <c r="AB68" s="176"/>
      <c r="AC68" s="177">
        <f>AD68+AE68+AF68</f>
        <v>1183308.75</v>
      </c>
      <c r="AD68" s="178">
        <f>0.8*60*O68</f>
        <v>652860</v>
      </c>
      <c r="AE68" s="179">
        <f>1.5*O68*R68</f>
        <v>489645</v>
      </c>
      <c r="AF68" s="180">
        <f>3*O68</f>
        <v>40803.75</v>
      </c>
      <c r="AG68" s="165">
        <f>ROUND(Y68+Z68,0)</f>
        <v>0</v>
      </c>
      <c r="AH68" s="165">
        <f>ROUND(AC68,0)</f>
        <v>1183309</v>
      </c>
      <c r="AI68" s="165"/>
      <c r="AJ68" s="167">
        <f>AG68+AH68+AI68</f>
        <v>1183309</v>
      </c>
    </row>
    <row r="69" spans="1:36" s="119" customFormat="1" ht="57" customHeight="1" x14ac:dyDescent="0.25">
      <c r="A69" s="153">
        <v>4</v>
      </c>
      <c r="B69" s="168" t="s">
        <v>504</v>
      </c>
      <c r="C69" s="169">
        <v>29734</v>
      </c>
      <c r="D69" s="199" t="s">
        <v>49</v>
      </c>
      <c r="E69" s="423" t="s">
        <v>387</v>
      </c>
      <c r="F69" s="113">
        <v>3.66</v>
      </c>
      <c r="G69" s="157"/>
      <c r="H69" s="157"/>
      <c r="I69" s="156"/>
      <c r="J69" s="156"/>
      <c r="K69" s="157"/>
      <c r="L69" s="171"/>
      <c r="M69" s="157">
        <f>(F69+G69+H69)*25%</f>
        <v>0.91500000000000004</v>
      </c>
      <c r="N69" s="172"/>
      <c r="O69" s="190">
        <f t="shared" si="17"/>
        <v>10705.5</v>
      </c>
      <c r="P69" s="112">
        <v>51653</v>
      </c>
      <c r="Q69" s="174"/>
      <c r="R69" s="113">
        <f>(S69)+(IF(T69=0,0,IF(T69&lt;7,1/2,1)))</f>
        <v>14</v>
      </c>
      <c r="S69" s="113">
        <v>13</v>
      </c>
      <c r="T69" s="113">
        <v>11</v>
      </c>
      <c r="U69" s="113">
        <f>(W69*12)+X69</f>
        <v>189</v>
      </c>
      <c r="V69" s="187">
        <f>(W69)+(IF(X69=0,0,IF(X69&lt;6,1/2,1)))</f>
        <v>16</v>
      </c>
      <c r="W69" s="113">
        <v>15</v>
      </c>
      <c r="X69" s="113">
        <v>9</v>
      </c>
      <c r="Y69" s="160"/>
      <c r="Z69" s="161"/>
      <c r="AA69" s="176"/>
      <c r="AB69" s="176"/>
      <c r="AC69" s="177">
        <f>AD69+AE69+AF69</f>
        <v>770796</v>
      </c>
      <c r="AD69" s="178">
        <f>0.8*60*O69</f>
        <v>513864</v>
      </c>
      <c r="AE69" s="179">
        <f>1.5*O69*R69</f>
        <v>224815.5</v>
      </c>
      <c r="AF69" s="180">
        <f>3*O69</f>
        <v>32116.5</v>
      </c>
      <c r="AG69" s="165">
        <f>ROUND(Y69+Z69,0)</f>
        <v>0</v>
      </c>
      <c r="AH69" s="165">
        <f>ROUND(AC69,0)</f>
        <v>770796</v>
      </c>
      <c r="AI69" s="165"/>
      <c r="AJ69" s="167">
        <f>AG69+AH69+AI69</f>
        <v>770796</v>
      </c>
    </row>
    <row r="70" spans="1:36" s="119" customFormat="1" ht="57" customHeight="1" x14ac:dyDescent="0.25">
      <c r="A70" s="153">
        <v>5</v>
      </c>
      <c r="B70" s="168" t="s">
        <v>505</v>
      </c>
      <c r="C70" s="169">
        <v>28069</v>
      </c>
      <c r="D70" s="199" t="s">
        <v>49</v>
      </c>
      <c r="E70" s="423" t="s">
        <v>506</v>
      </c>
      <c r="F70" s="113">
        <v>4.32</v>
      </c>
      <c r="G70" s="157"/>
      <c r="H70" s="157">
        <v>0.2</v>
      </c>
      <c r="I70" s="156"/>
      <c r="J70" s="156"/>
      <c r="K70" s="157"/>
      <c r="L70" s="171"/>
      <c r="M70" s="157">
        <f>(F70+G70+H70)*25%</f>
        <v>1.1300000000000001</v>
      </c>
      <c r="N70" s="172"/>
      <c r="O70" s="190">
        <f t="shared" si="17"/>
        <v>13221</v>
      </c>
      <c r="P70" s="112">
        <v>50740</v>
      </c>
      <c r="Q70" s="174"/>
      <c r="R70" s="113">
        <f>(S70)+(IF(T70=0,0,IF(T70&lt;7,1/2,1)))</f>
        <v>23.5</v>
      </c>
      <c r="S70" s="113">
        <v>23</v>
      </c>
      <c r="T70" s="113">
        <v>4</v>
      </c>
      <c r="U70" s="113">
        <f>(W70*12)+X70</f>
        <v>159</v>
      </c>
      <c r="V70" s="187">
        <f>(W70)+(IF(X70=0,0,IF(X70&lt;6,1/2,1)))</f>
        <v>13.5</v>
      </c>
      <c r="W70" s="113">
        <v>13</v>
      </c>
      <c r="X70" s="113">
        <v>3</v>
      </c>
      <c r="Y70" s="160"/>
      <c r="Z70" s="161"/>
      <c r="AA70" s="176"/>
      <c r="AB70" s="176"/>
      <c r="AC70" s="200">
        <f>AD70+AE70+AF70</f>
        <v>1140311.25</v>
      </c>
      <c r="AD70" s="178">
        <f>0.8*60*O70</f>
        <v>634608</v>
      </c>
      <c r="AE70" s="179">
        <f>1.5*O70*R70</f>
        <v>466040.25</v>
      </c>
      <c r="AF70" s="180">
        <f>3*O70</f>
        <v>39663</v>
      </c>
      <c r="AG70" s="165">
        <f>ROUND(Y70+Z70,0)</f>
        <v>0</v>
      </c>
      <c r="AH70" s="165">
        <f>ROUND(AC70,0)</f>
        <v>1140311</v>
      </c>
      <c r="AI70" s="165"/>
      <c r="AJ70" s="167">
        <f>AG70+AH70+AI70</f>
        <v>1140311</v>
      </c>
    </row>
    <row r="71" spans="1:36" s="146" customFormat="1" ht="32.25" customHeight="1" x14ac:dyDescent="0.25">
      <c r="A71" s="181">
        <v>10</v>
      </c>
      <c r="B71" s="182" t="s">
        <v>507</v>
      </c>
      <c r="C71" s="183"/>
      <c r="D71" s="183"/>
      <c r="E71" s="183"/>
      <c r="F71" s="185"/>
      <c r="G71" s="183"/>
      <c r="H71" s="183"/>
      <c r="I71" s="183"/>
      <c r="J71" s="185"/>
      <c r="K71" s="183"/>
      <c r="L71" s="183"/>
      <c r="M71" s="185"/>
      <c r="N71" s="185"/>
      <c r="O71" s="190">
        <f t="shared" si="17"/>
        <v>0</v>
      </c>
      <c r="P71" s="183"/>
      <c r="Q71" s="185"/>
      <c r="R71" s="183"/>
      <c r="S71" s="183"/>
      <c r="T71" s="185"/>
      <c r="U71" s="183"/>
      <c r="V71" s="183"/>
      <c r="W71" s="183"/>
      <c r="X71" s="183"/>
      <c r="Y71" s="181">
        <f t="shared" ref="Y71:AJ71" si="49">SUM(Y72:Y80)</f>
        <v>0</v>
      </c>
      <c r="Z71" s="181">
        <f t="shared" si="49"/>
        <v>0</v>
      </c>
      <c r="AA71" s="181">
        <f t="shared" si="49"/>
        <v>0</v>
      </c>
      <c r="AB71" s="181">
        <f t="shared" si="49"/>
        <v>0</v>
      </c>
      <c r="AC71" s="181">
        <f t="shared" si="49"/>
        <v>7056703.7190000005</v>
      </c>
      <c r="AD71" s="181">
        <f t="shared" si="49"/>
        <v>4476232.8</v>
      </c>
      <c r="AE71" s="181">
        <f t="shared" si="49"/>
        <v>2300706.3689999999</v>
      </c>
      <c r="AF71" s="181">
        <f t="shared" si="49"/>
        <v>279764.55</v>
      </c>
      <c r="AG71" s="181">
        <f t="shared" si="49"/>
        <v>0</v>
      </c>
      <c r="AH71" s="181">
        <f t="shared" si="49"/>
        <v>7056703</v>
      </c>
      <c r="AI71" s="181">
        <f t="shared" si="49"/>
        <v>0</v>
      </c>
      <c r="AJ71" s="186">
        <f t="shared" si="49"/>
        <v>7056703</v>
      </c>
    </row>
    <row r="72" spans="1:36" s="132" customFormat="1" ht="39" customHeight="1" x14ac:dyDescent="0.25">
      <c r="A72" s="153">
        <v>1</v>
      </c>
      <c r="B72" s="201" t="s">
        <v>508</v>
      </c>
      <c r="C72" s="199">
        <v>30842</v>
      </c>
      <c r="D72" s="199" t="s">
        <v>509</v>
      </c>
      <c r="E72" s="202" t="s">
        <v>480</v>
      </c>
      <c r="F72" s="155">
        <v>3.33</v>
      </c>
      <c r="G72" s="113"/>
      <c r="H72" s="113"/>
      <c r="I72" s="156"/>
      <c r="J72" s="156"/>
      <c r="K72" s="157"/>
      <c r="L72" s="157"/>
      <c r="M72" s="157">
        <f>(F72+G72+H72+I72)*25%</f>
        <v>0.83250000000000002</v>
      </c>
      <c r="N72" s="157"/>
      <c r="O72" s="190">
        <f t="shared" si="17"/>
        <v>9740.25</v>
      </c>
      <c r="P72" s="199">
        <v>52779</v>
      </c>
      <c r="Q72" s="174"/>
      <c r="R72" s="113">
        <f t="shared" ref="R72:R80" si="50">(S72)+(IF(T72=0,0,IF(T72&lt;7,1/2,1)))</f>
        <v>15</v>
      </c>
      <c r="S72" s="113">
        <v>14</v>
      </c>
      <c r="T72" s="113">
        <v>7</v>
      </c>
      <c r="U72" s="113">
        <f t="shared" ref="U72:U80" si="51">(W72*12)+X72</f>
        <v>226</v>
      </c>
      <c r="V72" s="187">
        <f t="shared" ref="V72:V80" si="52">(W72)+(IF(X72=0,0,IF(X72&lt;6,1/2,1)))</f>
        <v>19</v>
      </c>
      <c r="W72" s="113">
        <v>18</v>
      </c>
      <c r="X72" s="113">
        <v>10</v>
      </c>
      <c r="Y72" s="160"/>
      <c r="Z72" s="161">
        <f>SUM(AA72:AB72)</f>
        <v>0</v>
      </c>
      <c r="AA72" s="162"/>
      <c r="AB72" s="163"/>
      <c r="AC72" s="203">
        <f t="shared" ref="AC72:AC80" si="53">AD72+AE72+AF72</f>
        <v>715908.375</v>
      </c>
      <c r="AD72" s="178">
        <f t="shared" ref="AD72:AD80" si="54">0.8*60*O72</f>
        <v>467532</v>
      </c>
      <c r="AE72" s="179">
        <f t="shared" ref="AE72:AE80" si="55">1.5*O72*R72</f>
        <v>219155.625</v>
      </c>
      <c r="AF72" s="180">
        <f t="shared" ref="AF72:AF80" si="56">3*O72</f>
        <v>29220.75</v>
      </c>
      <c r="AG72" s="165">
        <f t="shared" ref="AG72:AG73" si="57">ROUND(Y72+Z72,0)</f>
        <v>0</v>
      </c>
      <c r="AH72" s="165">
        <f t="shared" ref="AH72:AH73" si="58">ROUND(AC72,0)</f>
        <v>715908</v>
      </c>
      <c r="AI72" s="166"/>
      <c r="AJ72" s="167">
        <f>AG72+AH72+AI72</f>
        <v>715908</v>
      </c>
    </row>
    <row r="73" spans="1:36" s="132" customFormat="1" ht="39" customHeight="1" x14ac:dyDescent="0.25">
      <c r="A73" s="153">
        <v>2</v>
      </c>
      <c r="B73" s="201" t="s">
        <v>510</v>
      </c>
      <c r="C73" s="199">
        <v>30167</v>
      </c>
      <c r="D73" s="199" t="s">
        <v>509</v>
      </c>
      <c r="E73" s="202" t="s">
        <v>480</v>
      </c>
      <c r="F73" s="155">
        <v>3.66</v>
      </c>
      <c r="G73" s="113"/>
      <c r="H73" s="113">
        <v>0.15</v>
      </c>
      <c r="I73" s="156"/>
      <c r="J73" s="156"/>
      <c r="K73" s="157"/>
      <c r="L73" s="157"/>
      <c r="M73" s="157">
        <f>(F73+G73+H73+I73)*25%</f>
        <v>0.95250000000000001</v>
      </c>
      <c r="N73" s="157"/>
      <c r="O73" s="190">
        <f t="shared" si="17"/>
        <v>11144.25</v>
      </c>
      <c r="P73" s="199">
        <v>52110</v>
      </c>
      <c r="Q73" s="174"/>
      <c r="R73" s="113">
        <f t="shared" si="50"/>
        <v>20</v>
      </c>
      <c r="S73" s="113">
        <v>19</v>
      </c>
      <c r="T73" s="113">
        <v>12</v>
      </c>
      <c r="U73" s="113">
        <f t="shared" si="51"/>
        <v>204</v>
      </c>
      <c r="V73" s="187">
        <f t="shared" si="52"/>
        <v>17</v>
      </c>
      <c r="W73" s="113">
        <v>17</v>
      </c>
      <c r="X73" s="113">
        <v>0</v>
      </c>
      <c r="Y73" s="160"/>
      <c r="Z73" s="161"/>
      <c r="AA73" s="162"/>
      <c r="AB73" s="163"/>
      <c r="AC73" s="203">
        <f t="shared" si="53"/>
        <v>902684.25</v>
      </c>
      <c r="AD73" s="178">
        <f t="shared" si="54"/>
        <v>534924</v>
      </c>
      <c r="AE73" s="179">
        <f t="shared" si="55"/>
        <v>334327.5</v>
      </c>
      <c r="AF73" s="180">
        <f t="shared" si="56"/>
        <v>33432.75</v>
      </c>
      <c r="AG73" s="165">
        <f t="shared" si="57"/>
        <v>0</v>
      </c>
      <c r="AH73" s="165">
        <f t="shared" si="58"/>
        <v>902684</v>
      </c>
      <c r="AI73" s="166"/>
      <c r="AJ73" s="167">
        <f>AG73+AH73+AI73</f>
        <v>902684</v>
      </c>
    </row>
    <row r="74" spans="1:36" s="119" customFormat="1" ht="45.75" customHeight="1" x14ac:dyDescent="0.25">
      <c r="A74" s="153">
        <v>3</v>
      </c>
      <c r="B74" s="168" t="s">
        <v>511</v>
      </c>
      <c r="C74" s="169">
        <v>30628</v>
      </c>
      <c r="D74" s="199" t="s">
        <v>512</v>
      </c>
      <c r="E74" s="423" t="s">
        <v>387</v>
      </c>
      <c r="F74" s="113">
        <v>3.66</v>
      </c>
      <c r="G74" s="157"/>
      <c r="H74" s="157"/>
      <c r="I74" s="156"/>
      <c r="J74" s="156"/>
      <c r="K74" s="157"/>
      <c r="L74" s="171"/>
      <c r="M74" s="157">
        <f t="shared" ref="M74:M80" si="59">(F74+G74+H74)*25%</f>
        <v>0.91500000000000004</v>
      </c>
      <c r="N74" s="172"/>
      <c r="O74" s="190">
        <f t="shared" si="17"/>
        <v>10705.5</v>
      </c>
      <c r="P74" s="112">
        <v>53297</v>
      </c>
      <c r="Q74" s="174"/>
      <c r="R74" s="113">
        <f t="shared" si="50"/>
        <v>14</v>
      </c>
      <c r="S74" s="113">
        <v>13</v>
      </c>
      <c r="T74" s="113">
        <v>11</v>
      </c>
      <c r="U74" s="113">
        <f t="shared" si="51"/>
        <v>243</v>
      </c>
      <c r="V74" s="187">
        <f t="shared" si="52"/>
        <v>20.5</v>
      </c>
      <c r="W74" s="113">
        <v>20</v>
      </c>
      <c r="X74" s="113">
        <v>3</v>
      </c>
      <c r="Y74" s="160"/>
      <c r="Z74" s="161"/>
      <c r="AA74" s="176"/>
      <c r="AB74" s="176"/>
      <c r="AC74" s="200">
        <f t="shared" si="53"/>
        <v>770796</v>
      </c>
      <c r="AD74" s="178">
        <f t="shared" si="54"/>
        <v>513864</v>
      </c>
      <c r="AE74" s="179">
        <f t="shared" si="55"/>
        <v>224815.5</v>
      </c>
      <c r="AF74" s="180">
        <f t="shared" si="56"/>
        <v>32116.5</v>
      </c>
      <c r="AG74" s="165">
        <f>ROUND(Y74+Z74,0)</f>
        <v>0</v>
      </c>
      <c r="AH74" s="165">
        <f>ROUND(AC74,0)</f>
        <v>770796</v>
      </c>
      <c r="AI74" s="165"/>
      <c r="AJ74" s="167">
        <f>AG74+AH74+AI74</f>
        <v>770796</v>
      </c>
    </row>
    <row r="75" spans="1:36" s="119" customFormat="1" ht="45.75" customHeight="1" x14ac:dyDescent="0.25">
      <c r="A75" s="153">
        <v>4</v>
      </c>
      <c r="B75" s="168" t="s">
        <v>513</v>
      </c>
      <c r="C75" s="169">
        <v>33429</v>
      </c>
      <c r="D75" s="199" t="s">
        <v>514</v>
      </c>
      <c r="E75" s="423" t="s">
        <v>387</v>
      </c>
      <c r="F75" s="155">
        <v>3</v>
      </c>
      <c r="G75" s="157"/>
      <c r="H75" s="157"/>
      <c r="I75" s="156"/>
      <c r="J75" s="156"/>
      <c r="K75" s="157"/>
      <c r="L75" s="171"/>
      <c r="M75" s="157">
        <f t="shared" si="59"/>
        <v>0.75</v>
      </c>
      <c r="N75" s="172"/>
      <c r="O75" s="190">
        <f t="shared" si="17"/>
        <v>8775</v>
      </c>
      <c r="P75" s="112">
        <v>55366</v>
      </c>
      <c r="Q75" s="174"/>
      <c r="R75" s="113">
        <f t="shared" si="50"/>
        <v>9</v>
      </c>
      <c r="S75" s="113">
        <v>8</v>
      </c>
      <c r="T75" s="113">
        <v>7</v>
      </c>
      <c r="U75" s="113">
        <f t="shared" si="51"/>
        <v>311</v>
      </c>
      <c r="V75" s="187">
        <f t="shared" si="52"/>
        <v>26</v>
      </c>
      <c r="W75" s="113">
        <v>25</v>
      </c>
      <c r="X75" s="113">
        <v>11</v>
      </c>
      <c r="Y75" s="160"/>
      <c r="Z75" s="161"/>
      <c r="AA75" s="176"/>
      <c r="AB75" s="176"/>
      <c r="AC75" s="203">
        <f t="shared" si="53"/>
        <v>565987.5</v>
      </c>
      <c r="AD75" s="178">
        <f t="shared" si="54"/>
        <v>421200</v>
      </c>
      <c r="AE75" s="421">
        <f t="shared" si="55"/>
        <v>118462.5</v>
      </c>
      <c r="AF75" s="180">
        <f t="shared" si="56"/>
        <v>26325</v>
      </c>
      <c r="AG75" s="165">
        <f t="shared" ref="AG75:AG80" si="60">ROUND(Y75+Z75,0)</f>
        <v>0</v>
      </c>
      <c r="AH75" s="165">
        <f t="shared" ref="AH75:AH80" si="61">ROUND(AC75,0)</f>
        <v>565988</v>
      </c>
      <c r="AI75" s="165"/>
      <c r="AJ75" s="167">
        <f t="shared" ref="AJ75:AJ80" si="62">AG75+AH75+AI75</f>
        <v>565988</v>
      </c>
    </row>
    <row r="76" spans="1:36" s="119" customFormat="1" ht="45.75" customHeight="1" x14ac:dyDescent="0.25">
      <c r="A76" s="153">
        <v>5</v>
      </c>
      <c r="B76" s="168" t="s">
        <v>515</v>
      </c>
      <c r="C76" s="169">
        <v>29313</v>
      </c>
      <c r="D76" s="199" t="s">
        <v>512</v>
      </c>
      <c r="E76" s="423" t="s">
        <v>387</v>
      </c>
      <c r="F76" s="113">
        <v>3.99</v>
      </c>
      <c r="G76" s="157"/>
      <c r="H76" s="157"/>
      <c r="I76" s="156"/>
      <c r="J76" s="156"/>
      <c r="K76" s="157"/>
      <c r="L76" s="171"/>
      <c r="M76" s="157">
        <f t="shared" si="59"/>
        <v>0.99750000000000005</v>
      </c>
      <c r="N76" s="172"/>
      <c r="O76" s="190">
        <f t="shared" si="17"/>
        <v>11670.750000000002</v>
      </c>
      <c r="P76" s="112">
        <v>51987</v>
      </c>
      <c r="Q76" s="174"/>
      <c r="R76" s="113">
        <f t="shared" si="50"/>
        <v>22</v>
      </c>
      <c r="S76" s="113">
        <v>21</v>
      </c>
      <c r="T76" s="113">
        <v>9</v>
      </c>
      <c r="U76" s="113">
        <f t="shared" si="51"/>
        <v>200</v>
      </c>
      <c r="V76" s="187">
        <f t="shared" si="52"/>
        <v>17</v>
      </c>
      <c r="W76" s="113">
        <v>16</v>
      </c>
      <c r="X76" s="113">
        <v>8</v>
      </c>
      <c r="Y76" s="160"/>
      <c r="Z76" s="161"/>
      <c r="AA76" s="176"/>
      <c r="AB76" s="176"/>
      <c r="AC76" s="203">
        <f t="shared" si="53"/>
        <v>980343.00000000023</v>
      </c>
      <c r="AD76" s="178">
        <f t="shared" si="54"/>
        <v>560196.00000000012</v>
      </c>
      <c r="AE76" s="421">
        <f t="shared" si="55"/>
        <v>385134.75000000006</v>
      </c>
      <c r="AF76" s="180">
        <f t="shared" si="56"/>
        <v>35012.250000000007</v>
      </c>
      <c r="AG76" s="165">
        <f t="shared" si="60"/>
        <v>0</v>
      </c>
      <c r="AH76" s="165">
        <f t="shared" si="61"/>
        <v>980343</v>
      </c>
      <c r="AI76" s="165"/>
      <c r="AJ76" s="167">
        <f t="shared" si="62"/>
        <v>980343</v>
      </c>
    </row>
    <row r="77" spans="1:36" s="119" customFormat="1" ht="45.75" customHeight="1" x14ac:dyDescent="0.25">
      <c r="A77" s="153">
        <v>6</v>
      </c>
      <c r="B77" s="168" t="s">
        <v>516</v>
      </c>
      <c r="C77" s="169">
        <v>32569</v>
      </c>
      <c r="D77" s="199" t="s">
        <v>154</v>
      </c>
      <c r="E77" s="423" t="s">
        <v>517</v>
      </c>
      <c r="F77" s="113">
        <v>2.67</v>
      </c>
      <c r="G77" s="157"/>
      <c r="H77" s="157">
        <v>0.2</v>
      </c>
      <c r="I77" s="156"/>
      <c r="J77" s="156"/>
      <c r="K77" s="157"/>
      <c r="L77" s="171"/>
      <c r="M77" s="157">
        <f t="shared" si="59"/>
        <v>0.71750000000000003</v>
      </c>
      <c r="N77" s="172"/>
      <c r="O77" s="190">
        <f t="shared" si="17"/>
        <v>8394.75</v>
      </c>
      <c r="P77" s="112">
        <v>55244</v>
      </c>
      <c r="Q77" s="174"/>
      <c r="R77" s="113">
        <f t="shared" si="50"/>
        <v>9.5</v>
      </c>
      <c r="S77" s="113">
        <v>9</v>
      </c>
      <c r="T77" s="113">
        <v>6</v>
      </c>
      <c r="U77" s="113">
        <f t="shared" si="51"/>
        <v>307</v>
      </c>
      <c r="V77" s="187">
        <f t="shared" si="52"/>
        <v>26</v>
      </c>
      <c r="W77" s="113">
        <v>25</v>
      </c>
      <c r="X77" s="113">
        <v>7</v>
      </c>
      <c r="Y77" s="160"/>
      <c r="Z77" s="161"/>
      <c r="AA77" s="176"/>
      <c r="AB77" s="176"/>
      <c r="AC77" s="203">
        <f t="shared" si="53"/>
        <v>547757.4375</v>
      </c>
      <c r="AD77" s="178">
        <f t="shared" si="54"/>
        <v>402948</v>
      </c>
      <c r="AE77" s="421">
        <f t="shared" si="55"/>
        <v>119625.1875</v>
      </c>
      <c r="AF77" s="180">
        <f t="shared" si="56"/>
        <v>25184.25</v>
      </c>
      <c r="AG77" s="165">
        <f t="shared" si="60"/>
        <v>0</v>
      </c>
      <c r="AH77" s="165">
        <f t="shared" si="61"/>
        <v>547757</v>
      </c>
      <c r="AI77" s="165"/>
      <c r="AJ77" s="167">
        <f t="shared" si="62"/>
        <v>547757</v>
      </c>
    </row>
    <row r="78" spans="1:36" s="119" customFormat="1" ht="45.75" customHeight="1" x14ac:dyDescent="0.25">
      <c r="A78" s="153">
        <v>7</v>
      </c>
      <c r="B78" s="168" t="s">
        <v>518</v>
      </c>
      <c r="C78" s="169">
        <v>31064</v>
      </c>
      <c r="D78" s="199" t="s">
        <v>154</v>
      </c>
      <c r="E78" s="423" t="s">
        <v>517</v>
      </c>
      <c r="F78" s="113">
        <v>2.67</v>
      </c>
      <c r="G78" s="157"/>
      <c r="H78" s="157">
        <v>0.2</v>
      </c>
      <c r="I78" s="156"/>
      <c r="J78" s="156"/>
      <c r="K78" s="157"/>
      <c r="L78" s="171"/>
      <c r="M78" s="157">
        <f t="shared" si="59"/>
        <v>0.71750000000000003</v>
      </c>
      <c r="N78" s="172"/>
      <c r="O78" s="190">
        <f t="shared" si="17"/>
        <v>8394.75</v>
      </c>
      <c r="P78" s="112">
        <v>53724</v>
      </c>
      <c r="Q78" s="174"/>
      <c r="R78" s="113">
        <f t="shared" si="50"/>
        <v>12.5</v>
      </c>
      <c r="S78" s="113">
        <v>12</v>
      </c>
      <c r="T78" s="113">
        <v>4</v>
      </c>
      <c r="U78" s="113">
        <f t="shared" si="51"/>
        <v>257</v>
      </c>
      <c r="V78" s="187">
        <f t="shared" si="52"/>
        <v>21.5</v>
      </c>
      <c r="W78" s="113">
        <v>21</v>
      </c>
      <c r="X78" s="113">
        <v>5</v>
      </c>
      <c r="Y78" s="160"/>
      <c r="Z78" s="161"/>
      <c r="AA78" s="176"/>
      <c r="AB78" s="176"/>
      <c r="AC78" s="203">
        <f t="shared" si="53"/>
        <v>585533.8125</v>
      </c>
      <c r="AD78" s="178">
        <f t="shared" si="54"/>
        <v>402948</v>
      </c>
      <c r="AE78" s="421">
        <f t="shared" si="55"/>
        <v>157401.5625</v>
      </c>
      <c r="AF78" s="180">
        <f t="shared" si="56"/>
        <v>25184.25</v>
      </c>
      <c r="AG78" s="165">
        <f t="shared" si="60"/>
        <v>0</v>
      </c>
      <c r="AH78" s="165">
        <f t="shared" si="61"/>
        <v>585534</v>
      </c>
      <c r="AI78" s="165"/>
      <c r="AJ78" s="167">
        <f t="shared" si="62"/>
        <v>585534</v>
      </c>
    </row>
    <row r="79" spans="1:36" s="119" customFormat="1" ht="45.75" customHeight="1" x14ac:dyDescent="0.25">
      <c r="A79" s="153">
        <v>8</v>
      </c>
      <c r="B79" s="168" t="s">
        <v>519</v>
      </c>
      <c r="C79" s="169">
        <v>29367</v>
      </c>
      <c r="D79" s="199" t="s">
        <v>104</v>
      </c>
      <c r="E79" s="423" t="s">
        <v>520</v>
      </c>
      <c r="F79" s="113">
        <v>3.66</v>
      </c>
      <c r="G79" s="157"/>
      <c r="H79" s="157"/>
      <c r="I79" s="156"/>
      <c r="J79" s="204">
        <f>F79*19%</f>
        <v>0.69540000000000002</v>
      </c>
      <c r="K79" s="205"/>
      <c r="L79" s="422"/>
      <c r="M79" s="157">
        <f t="shared" si="59"/>
        <v>0.91500000000000004</v>
      </c>
      <c r="N79" s="172"/>
      <c r="O79" s="190">
        <f t="shared" si="17"/>
        <v>12332.736000000001</v>
      </c>
      <c r="P79" s="112">
        <v>52018</v>
      </c>
      <c r="Q79" s="174"/>
      <c r="R79" s="113">
        <f t="shared" si="50"/>
        <v>19.5</v>
      </c>
      <c r="S79" s="113">
        <v>19</v>
      </c>
      <c r="T79" s="113">
        <v>3</v>
      </c>
      <c r="U79" s="113">
        <f t="shared" si="51"/>
        <v>201</v>
      </c>
      <c r="V79" s="187">
        <f t="shared" si="52"/>
        <v>17</v>
      </c>
      <c r="W79" s="113">
        <v>16</v>
      </c>
      <c r="X79" s="113">
        <v>9</v>
      </c>
      <c r="Y79" s="160"/>
      <c r="Z79" s="161"/>
      <c r="AA79" s="176"/>
      <c r="AB79" s="176"/>
      <c r="AC79" s="203">
        <f t="shared" si="53"/>
        <v>989702.0639999999</v>
      </c>
      <c r="AD79" s="178">
        <f t="shared" si="54"/>
        <v>591971.32799999998</v>
      </c>
      <c r="AE79" s="421">
        <f t="shared" si="55"/>
        <v>360732.52799999999</v>
      </c>
      <c r="AF79" s="180">
        <f t="shared" si="56"/>
        <v>36998.207999999999</v>
      </c>
      <c r="AG79" s="165">
        <f t="shared" si="60"/>
        <v>0</v>
      </c>
      <c r="AH79" s="165">
        <f t="shared" si="61"/>
        <v>989702</v>
      </c>
      <c r="AI79" s="165"/>
      <c r="AJ79" s="167">
        <f t="shared" si="62"/>
        <v>989702</v>
      </c>
    </row>
    <row r="80" spans="1:36" s="119" customFormat="1" ht="45.75" customHeight="1" x14ac:dyDescent="0.25">
      <c r="A80" s="153">
        <v>9</v>
      </c>
      <c r="B80" s="168" t="s">
        <v>521</v>
      </c>
      <c r="C80" s="169">
        <v>29440</v>
      </c>
      <c r="D80" s="199" t="s">
        <v>49</v>
      </c>
      <c r="E80" s="423" t="s">
        <v>407</v>
      </c>
      <c r="F80" s="113">
        <v>3.66</v>
      </c>
      <c r="G80" s="157"/>
      <c r="H80" s="157">
        <v>0.3</v>
      </c>
      <c r="I80" s="156"/>
      <c r="J80" s="204">
        <f>F80*6%</f>
        <v>0.21959999999999999</v>
      </c>
      <c r="K80" s="157"/>
      <c r="L80" s="171"/>
      <c r="M80" s="157">
        <f t="shared" si="59"/>
        <v>0.99</v>
      </c>
      <c r="N80" s="172"/>
      <c r="O80" s="190">
        <f t="shared" si="17"/>
        <v>12096.864</v>
      </c>
      <c r="P80" s="112">
        <v>52110</v>
      </c>
      <c r="Q80" s="174"/>
      <c r="R80" s="113">
        <f t="shared" si="50"/>
        <v>21</v>
      </c>
      <c r="S80" s="113">
        <v>20</v>
      </c>
      <c r="T80" s="113">
        <v>10</v>
      </c>
      <c r="U80" s="113">
        <f t="shared" si="51"/>
        <v>204</v>
      </c>
      <c r="V80" s="187">
        <f t="shared" si="52"/>
        <v>17</v>
      </c>
      <c r="W80" s="113">
        <v>17</v>
      </c>
      <c r="X80" s="113">
        <v>0</v>
      </c>
      <c r="Y80" s="160"/>
      <c r="Z80" s="161"/>
      <c r="AA80" s="176"/>
      <c r="AB80" s="176"/>
      <c r="AC80" s="203">
        <f t="shared" si="53"/>
        <v>997991.2799999998</v>
      </c>
      <c r="AD80" s="178">
        <f t="shared" si="54"/>
        <v>580649.47199999995</v>
      </c>
      <c r="AE80" s="421">
        <f t="shared" si="55"/>
        <v>381051.21599999996</v>
      </c>
      <c r="AF80" s="180">
        <f t="shared" si="56"/>
        <v>36290.591999999997</v>
      </c>
      <c r="AG80" s="165">
        <f t="shared" si="60"/>
        <v>0</v>
      </c>
      <c r="AH80" s="165">
        <f t="shared" si="61"/>
        <v>997991</v>
      </c>
      <c r="AI80" s="165"/>
      <c r="AJ80" s="167">
        <f t="shared" si="62"/>
        <v>997991</v>
      </c>
    </row>
    <row r="81" spans="1:36" ht="42.6" customHeight="1" x14ac:dyDescent="0.25">
      <c r="A81" s="206">
        <v>11</v>
      </c>
      <c r="B81" s="115" t="s">
        <v>522</v>
      </c>
      <c r="C81" s="112"/>
      <c r="D81" s="113"/>
      <c r="E81" s="444"/>
      <c r="F81" s="155"/>
      <c r="G81" s="113"/>
      <c r="H81" s="113"/>
      <c r="I81" s="156"/>
      <c r="J81" s="156"/>
      <c r="K81" s="156"/>
      <c r="L81" s="113"/>
      <c r="M81" s="157">
        <f>(F81+G81+H81+I81)*25%</f>
        <v>0</v>
      </c>
      <c r="N81" s="157"/>
      <c r="O81" s="190">
        <f t="shared" si="17"/>
        <v>0</v>
      </c>
      <c r="P81" s="194"/>
      <c r="Q81" s="174"/>
      <c r="R81" s="171"/>
      <c r="S81" s="208"/>
      <c r="T81" s="208"/>
      <c r="U81" s="113"/>
      <c r="V81" s="209"/>
      <c r="W81" s="208"/>
      <c r="X81" s="208"/>
      <c r="Y81" s="210">
        <f t="shared" ref="Y81:AJ81" si="63">SUM(Y82:Y83)</f>
        <v>0</v>
      </c>
      <c r="Z81" s="210">
        <f t="shared" si="63"/>
        <v>0</v>
      </c>
      <c r="AA81" s="210">
        <f t="shared" si="63"/>
        <v>0</v>
      </c>
      <c r="AB81" s="210">
        <f t="shared" si="63"/>
        <v>0</v>
      </c>
      <c r="AC81" s="210">
        <f t="shared" si="63"/>
        <v>1701779.625</v>
      </c>
      <c r="AD81" s="210">
        <f t="shared" si="63"/>
        <v>981396</v>
      </c>
      <c r="AE81" s="210">
        <f t="shared" si="63"/>
        <v>659046.375</v>
      </c>
      <c r="AF81" s="210">
        <f t="shared" si="63"/>
        <v>61337.25</v>
      </c>
      <c r="AG81" s="210">
        <f t="shared" si="63"/>
        <v>0</v>
      </c>
      <c r="AH81" s="210">
        <f t="shared" si="63"/>
        <v>1701780</v>
      </c>
      <c r="AI81" s="210">
        <f t="shared" si="63"/>
        <v>0</v>
      </c>
      <c r="AJ81" s="211">
        <f t="shared" si="63"/>
        <v>1701780</v>
      </c>
    </row>
    <row r="82" spans="1:36" s="132" customFormat="1" ht="51.6" customHeight="1" x14ac:dyDescent="0.25">
      <c r="A82" s="153">
        <v>1</v>
      </c>
      <c r="B82" s="201" t="s">
        <v>523</v>
      </c>
      <c r="C82" s="199">
        <v>29074</v>
      </c>
      <c r="D82" s="199" t="s">
        <v>49</v>
      </c>
      <c r="E82" s="202" t="s">
        <v>524</v>
      </c>
      <c r="F82" s="155">
        <v>4.6500000000000004</v>
      </c>
      <c r="G82" s="113"/>
      <c r="H82" s="113"/>
      <c r="I82" s="156"/>
      <c r="J82" s="156"/>
      <c r="K82" s="157"/>
      <c r="L82" s="157"/>
      <c r="M82" s="157">
        <f>(F82+G82+H82+I82)*25%</f>
        <v>1.1625000000000001</v>
      </c>
      <c r="N82" s="157"/>
      <c r="O82" s="190">
        <f t="shared" si="17"/>
        <v>13601.25</v>
      </c>
      <c r="P82" s="199">
        <v>51745</v>
      </c>
      <c r="Q82" s="174"/>
      <c r="R82" s="113">
        <f>(S82)+(IF(T82=0,0,IF(T82&lt;7,1/2,1)))</f>
        <v>24</v>
      </c>
      <c r="S82" s="113">
        <v>23</v>
      </c>
      <c r="T82" s="113">
        <v>11</v>
      </c>
      <c r="U82" s="113">
        <f>(W82*12)+X82</f>
        <v>192</v>
      </c>
      <c r="V82" s="187">
        <f>(W82)+(IF(X82=0,0,IF(X82&lt;6,1/2,1)))</f>
        <v>16</v>
      </c>
      <c r="W82" s="113">
        <v>16</v>
      </c>
      <c r="X82" s="113">
        <v>0</v>
      </c>
      <c r="Y82" s="160"/>
      <c r="Z82" s="161"/>
      <c r="AA82" s="162"/>
      <c r="AB82" s="163"/>
      <c r="AC82" s="203">
        <f>AD82+AE82+AF82</f>
        <v>1183308.75</v>
      </c>
      <c r="AD82" s="178">
        <f>0.8*60*O82</f>
        <v>652860</v>
      </c>
      <c r="AE82" s="179">
        <f>1.5*O82*R82</f>
        <v>489645</v>
      </c>
      <c r="AF82" s="180">
        <f>3*O82</f>
        <v>40803.75</v>
      </c>
      <c r="AG82" s="165">
        <f>ROUND(Y82+Z82,0)</f>
        <v>0</v>
      </c>
      <c r="AH82" s="165">
        <f>ROUND(AC82,0)</f>
        <v>1183309</v>
      </c>
      <c r="AI82" s="166"/>
      <c r="AJ82" s="167">
        <f>AG82+AH82+AI82</f>
        <v>1183309</v>
      </c>
    </row>
    <row r="83" spans="1:36" s="119" customFormat="1" ht="49.2" customHeight="1" x14ac:dyDescent="0.25">
      <c r="A83" s="153">
        <v>2</v>
      </c>
      <c r="B83" s="168" t="s">
        <v>525</v>
      </c>
      <c r="C83" s="169">
        <v>29014</v>
      </c>
      <c r="D83" s="199" t="s">
        <v>49</v>
      </c>
      <c r="E83" s="423" t="s">
        <v>387</v>
      </c>
      <c r="F83" s="113">
        <v>2.34</v>
      </c>
      <c r="G83" s="157"/>
      <c r="H83" s="157"/>
      <c r="I83" s="156"/>
      <c r="J83" s="156"/>
      <c r="K83" s="157"/>
      <c r="L83" s="171"/>
      <c r="M83" s="157">
        <f>(F83+G83+H83)*25%</f>
        <v>0.58499999999999996</v>
      </c>
      <c r="N83" s="172"/>
      <c r="O83" s="190">
        <f t="shared" si="17"/>
        <v>6844.5</v>
      </c>
      <c r="P83" s="112">
        <v>51683</v>
      </c>
      <c r="Q83" s="174"/>
      <c r="R83" s="113">
        <f>(S83)+(IF(T83=0,0,IF(T83&lt;7,1/2,1)))</f>
        <v>16.5</v>
      </c>
      <c r="S83" s="113">
        <v>16</v>
      </c>
      <c r="T83" s="113">
        <v>1</v>
      </c>
      <c r="U83" s="113">
        <f>(W83*12)+X83</f>
        <v>190</v>
      </c>
      <c r="V83" s="187">
        <f>(W83)+(IF(X83=0,0,IF(X83&lt;6,1/2,1)))</f>
        <v>16</v>
      </c>
      <c r="W83" s="113">
        <v>15</v>
      </c>
      <c r="X83" s="113">
        <v>10</v>
      </c>
      <c r="Y83" s="160"/>
      <c r="Z83" s="161"/>
      <c r="AA83" s="176"/>
      <c r="AB83" s="176"/>
      <c r="AC83" s="203">
        <f>AD83+AE83+AF83</f>
        <v>518470.875</v>
      </c>
      <c r="AD83" s="178">
        <f>0.8*60*O83</f>
        <v>328536</v>
      </c>
      <c r="AE83" s="179">
        <f>1.5*O83*R83</f>
        <v>169401.375</v>
      </c>
      <c r="AF83" s="180">
        <f>3*O83</f>
        <v>20533.5</v>
      </c>
      <c r="AG83" s="165">
        <f>ROUND(Y83+Z83,0)</f>
        <v>0</v>
      </c>
      <c r="AH83" s="165">
        <f>ROUND(AC83,0)</f>
        <v>518471</v>
      </c>
      <c r="AI83" s="165"/>
      <c r="AJ83" s="167">
        <f>AG83+AH83+AI83</f>
        <v>518471</v>
      </c>
    </row>
    <row r="84" spans="1:36" s="125" customFormat="1" ht="45" customHeight="1" x14ac:dyDescent="0.25">
      <c r="A84" s="206">
        <v>12</v>
      </c>
      <c r="B84" s="115" t="s">
        <v>526</v>
      </c>
      <c r="C84" s="112"/>
      <c r="D84" s="113"/>
      <c r="E84" s="444"/>
      <c r="F84" s="155"/>
      <c r="G84" s="113"/>
      <c r="H84" s="113"/>
      <c r="I84" s="156"/>
      <c r="J84" s="156"/>
      <c r="K84" s="156"/>
      <c r="L84" s="113"/>
      <c r="M84" s="157"/>
      <c r="N84" s="157"/>
      <c r="O84" s="190">
        <f t="shared" si="17"/>
        <v>0</v>
      </c>
      <c r="P84" s="194"/>
      <c r="Q84" s="174"/>
      <c r="R84" s="171"/>
      <c r="S84" s="208"/>
      <c r="T84" s="208"/>
      <c r="U84" s="113"/>
      <c r="V84" s="209"/>
      <c r="W84" s="208"/>
      <c r="X84" s="208"/>
      <c r="Y84" s="210">
        <f t="shared" ref="Y84:AJ84" si="64">SUM(Y85:Y94)</f>
        <v>1353631.5</v>
      </c>
      <c r="Z84" s="210">
        <f t="shared" si="64"/>
        <v>1033892.4375</v>
      </c>
      <c r="AA84" s="210">
        <f t="shared" si="64"/>
        <v>765531</v>
      </c>
      <c r="AB84" s="210">
        <f t="shared" si="64"/>
        <v>268361.4375</v>
      </c>
      <c r="AC84" s="210">
        <f t="shared" si="64"/>
        <v>7540138.125</v>
      </c>
      <c r="AD84" s="210">
        <f t="shared" si="64"/>
        <v>4363632</v>
      </c>
      <c r="AE84" s="210">
        <f t="shared" si="64"/>
        <v>2903779.125</v>
      </c>
      <c r="AF84" s="210">
        <f t="shared" si="64"/>
        <v>272727</v>
      </c>
      <c r="AG84" s="210">
        <f t="shared" si="64"/>
        <v>2387524</v>
      </c>
      <c r="AH84" s="210">
        <f t="shared" si="64"/>
        <v>7540139</v>
      </c>
      <c r="AI84" s="210">
        <f t="shared" si="64"/>
        <v>0</v>
      </c>
      <c r="AJ84" s="211">
        <f t="shared" si="64"/>
        <v>9927663</v>
      </c>
    </row>
    <row r="85" spans="1:36" s="125" customFormat="1" ht="40.950000000000003" customHeight="1" x14ac:dyDescent="0.25">
      <c r="A85" s="153">
        <v>1</v>
      </c>
      <c r="B85" s="154" t="s">
        <v>527</v>
      </c>
      <c r="C85" s="169" t="s">
        <v>528</v>
      </c>
      <c r="D85" s="113" t="s">
        <v>49</v>
      </c>
      <c r="E85" s="113" t="s">
        <v>506</v>
      </c>
      <c r="F85" s="155">
        <v>4.32</v>
      </c>
      <c r="G85" s="113"/>
      <c r="H85" s="113">
        <v>0.25</v>
      </c>
      <c r="I85" s="156"/>
      <c r="J85" s="156"/>
      <c r="K85" s="156"/>
      <c r="L85" s="113"/>
      <c r="M85" s="157">
        <f t="shared" ref="M85:M91" si="65">(F85+G85+H85+I85)*25%</f>
        <v>1.1425000000000001</v>
      </c>
      <c r="N85" s="157"/>
      <c r="O85" s="190">
        <f t="shared" si="17"/>
        <v>13367.25</v>
      </c>
      <c r="P85" s="169" t="s">
        <v>529</v>
      </c>
      <c r="Q85" s="212" t="s">
        <v>129</v>
      </c>
      <c r="R85" s="171">
        <f t="shared" ref="R85:R94" si="66">(S85)+(IF(T85=0,0,IF(T85&lt;7,1/2,1)))</f>
        <v>32.5</v>
      </c>
      <c r="S85" s="113">
        <v>32</v>
      </c>
      <c r="T85" s="113">
        <v>1</v>
      </c>
      <c r="U85" s="113">
        <f t="shared" ref="U85:U94" si="67">(W85*12)+X85</f>
        <v>107</v>
      </c>
      <c r="V85" s="209">
        <f t="shared" ref="V85:V94" si="68">(W85)+(IF(X85=0,0,IF(X85&lt;7,1/2,1)))</f>
        <v>9</v>
      </c>
      <c r="W85" s="113">
        <v>8</v>
      </c>
      <c r="X85" s="113">
        <v>11</v>
      </c>
      <c r="Y85" s="160">
        <f>0.9*60*O85</f>
        <v>721831.5</v>
      </c>
      <c r="Z85" s="161">
        <f>SUM(AA85:AB85)</f>
        <v>651653.4375</v>
      </c>
      <c r="AA85" s="162">
        <f>4*V85*O85</f>
        <v>481221</v>
      </c>
      <c r="AB85" s="163">
        <f>SUM(4*O85)+(0.5*O85*(R85-15))</f>
        <v>170432.4375</v>
      </c>
      <c r="AC85" s="177">
        <f t="shared" ref="AC85:AC94" si="69">AD85+AE85+AF85</f>
        <v>0</v>
      </c>
      <c r="AD85" s="178"/>
      <c r="AE85" s="179"/>
      <c r="AF85" s="180"/>
      <c r="AG85" s="165">
        <f t="shared" ref="AG85:AG94" si="70">ROUND(Y85+Z85,0)</f>
        <v>1373485</v>
      </c>
      <c r="AH85" s="165"/>
      <c r="AI85" s="165"/>
      <c r="AJ85" s="167">
        <f t="shared" ref="AJ85:AJ94" si="71">AG85+AH85+AI85</f>
        <v>1373485</v>
      </c>
    </row>
    <row r="86" spans="1:36" s="125" customFormat="1" ht="40.950000000000003" customHeight="1" x14ac:dyDescent="0.25">
      <c r="A86" s="153">
        <v>2</v>
      </c>
      <c r="B86" s="154" t="s">
        <v>530</v>
      </c>
      <c r="C86" s="169" t="s">
        <v>531</v>
      </c>
      <c r="D86" s="113" t="s">
        <v>49</v>
      </c>
      <c r="E86" s="113" t="s">
        <v>532</v>
      </c>
      <c r="F86" s="155">
        <v>4.32</v>
      </c>
      <c r="G86" s="113"/>
      <c r="H86" s="113"/>
      <c r="I86" s="156"/>
      <c r="J86" s="156"/>
      <c r="K86" s="156"/>
      <c r="L86" s="113"/>
      <c r="M86" s="157">
        <f t="shared" si="65"/>
        <v>1.08</v>
      </c>
      <c r="N86" s="157"/>
      <c r="O86" s="190">
        <f t="shared" si="17"/>
        <v>12636</v>
      </c>
      <c r="P86" s="169" t="s">
        <v>533</v>
      </c>
      <c r="Q86" s="212" t="s">
        <v>129</v>
      </c>
      <c r="R86" s="171">
        <f t="shared" si="66"/>
        <v>22.5</v>
      </c>
      <c r="S86" s="113">
        <v>22</v>
      </c>
      <c r="T86" s="113">
        <v>6</v>
      </c>
      <c r="U86" s="113">
        <f t="shared" si="67"/>
        <v>50</v>
      </c>
      <c r="V86" s="209">
        <f t="shared" si="68"/>
        <v>4.5</v>
      </c>
      <c r="W86" s="113">
        <v>4</v>
      </c>
      <c r="X86" s="113">
        <v>2</v>
      </c>
      <c r="Y86" s="160">
        <f>1*U86*O86</f>
        <v>631800</v>
      </c>
      <c r="Z86" s="161">
        <f>SUM(AA86:AB86)</f>
        <v>382239</v>
      </c>
      <c r="AA86" s="162">
        <f>5*V86*O86</f>
        <v>284310</v>
      </c>
      <c r="AB86" s="163">
        <f>SUM(4*O86)+(0.5*O86*(R86-15))</f>
        <v>97929</v>
      </c>
      <c r="AC86" s="177">
        <f t="shared" si="69"/>
        <v>0</v>
      </c>
      <c r="AD86" s="178"/>
      <c r="AE86" s="179"/>
      <c r="AF86" s="180"/>
      <c r="AG86" s="165">
        <f t="shared" si="70"/>
        <v>1014039</v>
      </c>
      <c r="AH86" s="165"/>
      <c r="AI86" s="165"/>
      <c r="AJ86" s="167">
        <f t="shared" si="71"/>
        <v>1014039</v>
      </c>
    </row>
    <row r="87" spans="1:36" s="125" customFormat="1" ht="40.950000000000003" customHeight="1" x14ac:dyDescent="0.25">
      <c r="A87" s="153">
        <v>3</v>
      </c>
      <c r="B87" s="154" t="s">
        <v>534</v>
      </c>
      <c r="C87" s="169" t="s">
        <v>535</v>
      </c>
      <c r="D87" s="113" t="s">
        <v>49</v>
      </c>
      <c r="E87" s="113" t="s">
        <v>387</v>
      </c>
      <c r="F87" s="155">
        <v>3.66</v>
      </c>
      <c r="G87" s="113"/>
      <c r="H87" s="113">
        <v>0.3</v>
      </c>
      <c r="I87" s="157"/>
      <c r="J87" s="156"/>
      <c r="K87" s="156"/>
      <c r="L87" s="113"/>
      <c r="M87" s="157">
        <f t="shared" si="65"/>
        <v>0.99</v>
      </c>
      <c r="N87" s="157"/>
      <c r="O87" s="190">
        <f t="shared" si="17"/>
        <v>11583</v>
      </c>
      <c r="P87" s="169" t="s">
        <v>536</v>
      </c>
      <c r="Q87" s="212" t="s">
        <v>129</v>
      </c>
      <c r="R87" s="171">
        <f t="shared" si="66"/>
        <v>24.5</v>
      </c>
      <c r="S87" s="113">
        <v>24</v>
      </c>
      <c r="T87" s="113">
        <v>4</v>
      </c>
      <c r="U87" s="113">
        <f t="shared" si="67"/>
        <v>158</v>
      </c>
      <c r="V87" s="209">
        <f t="shared" si="68"/>
        <v>13.5</v>
      </c>
      <c r="W87" s="113">
        <v>13</v>
      </c>
      <c r="X87" s="113">
        <v>2</v>
      </c>
      <c r="Y87" s="160"/>
      <c r="Z87" s="161"/>
      <c r="AA87" s="162"/>
      <c r="AB87" s="163"/>
      <c r="AC87" s="177">
        <f t="shared" si="69"/>
        <v>1016408.25</v>
      </c>
      <c r="AD87" s="178">
        <f t="shared" ref="AD87:AD94" si="72">0.8*60*O87</f>
        <v>555984</v>
      </c>
      <c r="AE87" s="179">
        <f t="shared" ref="AE87:AE94" si="73">1.5*O87*R87</f>
        <v>425675.25</v>
      </c>
      <c r="AF87" s="180">
        <f t="shared" ref="AF87:AF94" si="74">3*O87</f>
        <v>34749</v>
      </c>
      <c r="AG87" s="165">
        <f t="shared" si="70"/>
        <v>0</v>
      </c>
      <c r="AH87" s="165">
        <f t="shared" ref="AH87:AH94" si="75">ROUND(AC87,0)</f>
        <v>1016408</v>
      </c>
      <c r="AI87" s="165"/>
      <c r="AJ87" s="167">
        <f t="shared" si="71"/>
        <v>1016408</v>
      </c>
    </row>
    <row r="88" spans="1:36" s="125" customFormat="1" ht="40.950000000000003" customHeight="1" x14ac:dyDescent="0.25">
      <c r="A88" s="153">
        <v>4</v>
      </c>
      <c r="B88" s="154" t="s">
        <v>537</v>
      </c>
      <c r="C88" s="169" t="s">
        <v>538</v>
      </c>
      <c r="D88" s="113" t="s">
        <v>539</v>
      </c>
      <c r="E88" s="113" t="s">
        <v>387</v>
      </c>
      <c r="F88" s="155">
        <v>3.34</v>
      </c>
      <c r="G88" s="113"/>
      <c r="H88" s="113"/>
      <c r="I88" s="156"/>
      <c r="J88" s="156"/>
      <c r="K88" s="156"/>
      <c r="L88" s="113"/>
      <c r="M88" s="157">
        <f t="shared" si="65"/>
        <v>0.83499999999999996</v>
      </c>
      <c r="N88" s="157"/>
      <c r="O88" s="190">
        <f t="shared" si="17"/>
        <v>9769.5</v>
      </c>
      <c r="P88" s="169" t="s">
        <v>540</v>
      </c>
      <c r="Q88" s="212" t="s">
        <v>129</v>
      </c>
      <c r="R88" s="171">
        <f t="shared" si="66"/>
        <v>14</v>
      </c>
      <c r="S88" s="113">
        <v>14</v>
      </c>
      <c r="T88" s="113">
        <v>0</v>
      </c>
      <c r="U88" s="113">
        <f t="shared" si="67"/>
        <v>289</v>
      </c>
      <c r="V88" s="209">
        <f t="shared" si="68"/>
        <v>24.5</v>
      </c>
      <c r="W88" s="113">
        <v>24</v>
      </c>
      <c r="X88" s="113">
        <v>1</v>
      </c>
      <c r="Y88" s="160"/>
      <c r="Z88" s="161"/>
      <c r="AA88" s="162"/>
      <c r="AB88" s="163"/>
      <c r="AC88" s="177">
        <f t="shared" si="69"/>
        <v>703404</v>
      </c>
      <c r="AD88" s="178">
        <f t="shared" si="72"/>
        <v>468936</v>
      </c>
      <c r="AE88" s="179">
        <f t="shared" si="73"/>
        <v>205159.5</v>
      </c>
      <c r="AF88" s="180">
        <f t="shared" si="74"/>
        <v>29308.5</v>
      </c>
      <c r="AG88" s="165">
        <f t="shared" si="70"/>
        <v>0</v>
      </c>
      <c r="AH88" s="165">
        <f t="shared" si="75"/>
        <v>703404</v>
      </c>
      <c r="AI88" s="165"/>
      <c r="AJ88" s="167">
        <f t="shared" si="71"/>
        <v>703404</v>
      </c>
    </row>
    <row r="89" spans="1:36" s="125" customFormat="1" ht="40.950000000000003" customHeight="1" x14ac:dyDescent="0.25">
      <c r="A89" s="153">
        <v>5</v>
      </c>
      <c r="B89" s="154" t="s">
        <v>541</v>
      </c>
      <c r="C89" s="169" t="s">
        <v>542</v>
      </c>
      <c r="D89" s="113" t="s">
        <v>49</v>
      </c>
      <c r="E89" s="113" t="s">
        <v>387</v>
      </c>
      <c r="F89" s="155">
        <v>3.33</v>
      </c>
      <c r="G89" s="113"/>
      <c r="H89" s="113"/>
      <c r="I89" s="156"/>
      <c r="J89" s="157"/>
      <c r="K89" s="156"/>
      <c r="L89" s="113"/>
      <c r="M89" s="157">
        <f t="shared" si="65"/>
        <v>0.83250000000000002</v>
      </c>
      <c r="N89" s="157"/>
      <c r="O89" s="190">
        <f t="shared" si="17"/>
        <v>9740.25</v>
      </c>
      <c r="P89" s="169" t="s">
        <v>543</v>
      </c>
      <c r="Q89" s="212" t="s">
        <v>129</v>
      </c>
      <c r="R89" s="171">
        <f t="shared" si="66"/>
        <v>21</v>
      </c>
      <c r="S89" s="113">
        <v>21</v>
      </c>
      <c r="T89" s="113">
        <v>0</v>
      </c>
      <c r="U89" s="113">
        <f t="shared" si="67"/>
        <v>129</v>
      </c>
      <c r="V89" s="209">
        <f t="shared" si="68"/>
        <v>11</v>
      </c>
      <c r="W89" s="113">
        <v>10</v>
      </c>
      <c r="X89" s="113">
        <v>9</v>
      </c>
      <c r="Y89" s="160"/>
      <c r="Z89" s="161"/>
      <c r="AA89" s="162"/>
      <c r="AB89" s="163"/>
      <c r="AC89" s="177">
        <f t="shared" si="69"/>
        <v>803570.625</v>
      </c>
      <c r="AD89" s="178">
        <f t="shared" si="72"/>
        <v>467532</v>
      </c>
      <c r="AE89" s="179">
        <f t="shared" si="73"/>
        <v>306817.875</v>
      </c>
      <c r="AF89" s="180">
        <f t="shared" si="74"/>
        <v>29220.75</v>
      </c>
      <c r="AG89" s="165">
        <f t="shared" si="70"/>
        <v>0</v>
      </c>
      <c r="AH89" s="165">
        <f t="shared" si="75"/>
        <v>803571</v>
      </c>
      <c r="AI89" s="165"/>
      <c r="AJ89" s="167">
        <f t="shared" si="71"/>
        <v>803571</v>
      </c>
    </row>
    <row r="90" spans="1:36" s="125" customFormat="1" ht="40.950000000000003" customHeight="1" x14ac:dyDescent="0.25">
      <c r="A90" s="153">
        <v>6</v>
      </c>
      <c r="B90" s="154" t="s">
        <v>544</v>
      </c>
      <c r="C90" s="169" t="s">
        <v>545</v>
      </c>
      <c r="D90" s="113" t="s">
        <v>49</v>
      </c>
      <c r="E90" s="113" t="s">
        <v>387</v>
      </c>
      <c r="F90" s="155">
        <v>4.32</v>
      </c>
      <c r="G90" s="113"/>
      <c r="H90" s="113"/>
      <c r="I90" s="156"/>
      <c r="J90" s="156"/>
      <c r="K90" s="156"/>
      <c r="L90" s="113"/>
      <c r="M90" s="157">
        <f t="shared" si="65"/>
        <v>1.08</v>
      </c>
      <c r="N90" s="157"/>
      <c r="O90" s="190">
        <f t="shared" si="17"/>
        <v>12636</v>
      </c>
      <c r="P90" s="169" t="s">
        <v>546</v>
      </c>
      <c r="Q90" s="212" t="s">
        <v>129</v>
      </c>
      <c r="R90" s="171">
        <f t="shared" si="66"/>
        <v>21</v>
      </c>
      <c r="S90" s="113">
        <v>20</v>
      </c>
      <c r="T90" s="113">
        <v>10</v>
      </c>
      <c r="U90" s="113">
        <f t="shared" si="67"/>
        <v>169</v>
      </c>
      <c r="V90" s="209">
        <f t="shared" si="68"/>
        <v>14.5</v>
      </c>
      <c r="W90" s="113">
        <v>14</v>
      </c>
      <c r="X90" s="113">
        <v>1</v>
      </c>
      <c r="Y90" s="160"/>
      <c r="Z90" s="161"/>
      <c r="AA90" s="162"/>
      <c r="AB90" s="163"/>
      <c r="AC90" s="177">
        <f t="shared" si="69"/>
        <v>1042470</v>
      </c>
      <c r="AD90" s="178">
        <f t="shared" si="72"/>
        <v>606528</v>
      </c>
      <c r="AE90" s="179">
        <f t="shared" si="73"/>
        <v>398034</v>
      </c>
      <c r="AF90" s="180">
        <f t="shared" si="74"/>
        <v>37908</v>
      </c>
      <c r="AG90" s="165">
        <f t="shared" si="70"/>
        <v>0</v>
      </c>
      <c r="AH90" s="165">
        <f t="shared" si="75"/>
        <v>1042470</v>
      </c>
      <c r="AI90" s="165"/>
      <c r="AJ90" s="167">
        <f t="shared" si="71"/>
        <v>1042470</v>
      </c>
    </row>
    <row r="91" spans="1:36" s="125" customFormat="1" ht="40.950000000000003" customHeight="1" x14ac:dyDescent="0.25">
      <c r="A91" s="153">
        <v>7</v>
      </c>
      <c r="B91" s="154" t="s">
        <v>547</v>
      </c>
      <c r="C91" s="169">
        <v>27713</v>
      </c>
      <c r="D91" s="113" t="s">
        <v>49</v>
      </c>
      <c r="E91" s="113" t="s">
        <v>387</v>
      </c>
      <c r="F91" s="155">
        <v>4.32</v>
      </c>
      <c r="G91" s="113"/>
      <c r="H91" s="113"/>
      <c r="I91" s="156"/>
      <c r="J91" s="156"/>
      <c r="K91" s="156"/>
      <c r="L91" s="113"/>
      <c r="M91" s="157">
        <f t="shared" si="65"/>
        <v>1.08</v>
      </c>
      <c r="N91" s="157"/>
      <c r="O91" s="190">
        <f t="shared" ref="O91:O154" si="76">SUM(F91:N91)*2340</f>
        <v>12636</v>
      </c>
      <c r="P91" s="169" t="s">
        <v>180</v>
      </c>
      <c r="Q91" s="212" t="s">
        <v>129</v>
      </c>
      <c r="R91" s="171">
        <f t="shared" si="66"/>
        <v>26</v>
      </c>
      <c r="S91" s="113">
        <v>25</v>
      </c>
      <c r="T91" s="113">
        <v>8</v>
      </c>
      <c r="U91" s="113">
        <f t="shared" si="67"/>
        <v>123</v>
      </c>
      <c r="V91" s="209">
        <f t="shared" si="68"/>
        <v>10.5</v>
      </c>
      <c r="W91" s="113">
        <v>10</v>
      </c>
      <c r="X91" s="113">
        <v>3</v>
      </c>
      <c r="Y91" s="160"/>
      <c r="Z91" s="161"/>
      <c r="AA91" s="162"/>
      <c r="AB91" s="163"/>
      <c r="AC91" s="177">
        <f t="shared" si="69"/>
        <v>1137240</v>
      </c>
      <c r="AD91" s="178">
        <f t="shared" si="72"/>
        <v>606528</v>
      </c>
      <c r="AE91" s="179">
        <f t="shared" si="73"/>
        <v>492804</v>
      </c>
      <c r="AF91" s="180">
        <f t="shared" si="74"/>
        <v>37908</v>
      </c>
      <c r="AG91" s="165">
        <f t="shared" si="70"/>
        <v>0</v>
      </c>
      <c r="AH91" s="165">
        <f t="shared" si="75"/>
        <v>1137240</v>
      </c>
      <c r="AI91" s="165"/>
      <c r="AJ91" s="167">
        <f t="shared" si="71"/>
        <v>1137240</v>
      </c>
    </row>
    <row r="92" spans="1:36" s="125" customFormat="1" ht="40.950000000000003" customHeight="1" x14ac:dyDescent="0.25">
      <c r="A92" s="153">
        <v>8</v>
      </c>
      <c r="B92" s="154" t="s">
        <v>548</v>
      </c>
      <c r="C92" s="169">
        <v>27649</v>
      </c>
      <c r="D92" s="113" t="s">
        <v>49</v>
      </c>
      <c r="E92" s="113" t="s">
        <v>396</v>
      </c>
      <c r="F92" s="153">
        <v>4.32</v>
      </c>
      <c r="G92" s="113"/>
      <c r="H92" s="157">
        <v>0.2</v>
      </c>
      <c r="I92" s="157"/>
      <c r="J92" s="156"/>
      <c r="K92" s="113"/>
      <c r="L92" s="113"/>
      <c r="M92" s="157">
        <f>(F92+G92+H92)*25%</f>
        <v>1.1300000000000001</v>
      </c>
      <c r="N92" s="171"/>
      <c r="O92" s="190">
        <f t="shared" si="76"/>
        <v>13221</v>
      </c>
      <c r="P92" s="169" t="s">
        <v>146</v>
      </c>
      <c r="Q92" s="212" t="s">
        <v>129</v>
      </c>
      <c r="R92" s="171">
        <f t="shared" si="66"/>
        <v>23</v>
      </c>
      <c r="S92" s="113">
        <v>22</v>
      </c>
      <c r="T92" s="113">
        <v>10</v>
      </c>
      <c r="U92" s="113">
        <f t="shared" si="67"/>
        <v>145</v>
      </c>
      <c r="V92" s="209">
        <f t="shared" si="68"/>
        <v>12.5</v>
      </c>
      <c r="W92" s="113">
        <v>12</v>
      </c>
      <c r="X92" s="113">
        <v>1</v>
      </c>
      <c r="Y92" s="160"/>
      <c r="Z92" s="161"/>
      <c r="AA92" s="162"/>
      <c r="AB92" s="163"/>
      <c r="AC92" s="177">
        <f t="shared" si="69"/>
        <v>1130395.5</v>
      </c>
      <c r="AD92" s="178">
        <f t="shared" si="72"/>
        <v>634608</v>
      </c>
      <c r="AE92" s="179">
        <f t="shared" si="73"/>
        <v>456124.5</v>
      </c>
      <c r="AF92" s="180">
        <f t="shared" si="74"/>
        <v>39663</v>
      </c>
      <c r="AG92" s="165">
        <f t="shared" si="70"/>
        <v>0</v>
      </c>
      <c r="AH92" s="165">
        <f t="shared" si="75"/>
        <v>1130396</v>
      </c>
      <c r="AI92" s="165"/>
      <c r="AJ92" s="167">
        <f t="shared" si="71"/>
        <v>1130396</v>
      </c>
    </row>
    <row r="93" spans="1:36" s="125" customFormat="1" ht="40.950000000000003" customHeight="1" x14ac:dyDescent="0.25">
      <c r="A93" s="153">
        <v>9</v>
      </c>
      <c r="B93" s="154" t="s">
        <v>549</v>
      </c>
      <c r="C93" s="169" t="s">
        <v>550</v>
      </c>
      <c r="D93" s="113" t="s">
        <v>49</v>
      </c>
      <c r="E93" s="113" t="s">
        <v>396</v>
      </c>
      <c r="F93" s="153">
        <v>3.33</v>
      </c>
      <c r="G93" s="113"/>
      <c r="H93" s="157"/>
      <c r="I93" s="157"/>
      <c r="J93" s="156"/>
      <c r="K93" s="113"/>
      <c r="L93" s="113"/>
      <c r="M93" s="157">
        <f>(F93+G93+H93)*25%</f>
        <v>0.83250000000000002</v>
      </c>
      <c r="N93" s="171"/>
      <c r="O93" s="190">
        <f t="shared" si="76"/>
        <v>9740.25</v>
      </c>
      <c r="P93" s="169" t="s">
        <v>551</v>
      </c>
      <c r="Q93" s="212" t="s">
        <v>129</v>
      </c>
      <c r="R93" s="171">
        <f t="shared" si="66"/>
        <v>18</v>
      </c>
      <c r="S93" s="113">
        <v>17</v>
      </c>
      <c r="T93" s="113">
        <v>9</v>
      </c>
      <c r="U93" s="113">
        <f t="shared" si="67"/>
        <v>170</v>
      </c>
      <c r="V93" s="209">
        <f t="shared" si="68"/>
        <v>14.5</v>
      </c>
      <c r="W93" s="113">
        <v>14</v>
      </c>
      <c r="X93" s="113">
        <v>2</v>
      </c>
      <c r="Y93" s="160"/>
      <c r="Z93" s="161"/>
      <c r="AA93" s="162"/>
      <c r="AB93" s="163"/>
      <c r="AC93" s="177">
        <f t="shared" si="69"/>
        <v>759739.5</v>
      </c>
      <c r="AD93" s="178">
        <f t="shared" si="72"/>
        <v>467532</v>
      </c>
      <c r="AE93" s="179">
        <f t="shared" si="73"/>
        <v>262986.75</v>
      </c>
      <c r="AF93" s="180">
        <f t="shared" si="74"/>
        <v>29220.75</v>
      </c>
      <c r="AG93" s="165">
        <f t="shared" si="70"/>
        <v>0</v>
      </c>
      <c r="AH93" s="165">
        <f t="shared" si="75"/>
        <v>759740</v>
      </c>
      <c r="AI93" s="165"/>
      <c r="AJ93" s="167">
        <f t="shared" si="71"/>
        <v>759740</v>
      </c>
    </row>
    <row r="94" spans="1:36" s="125" customFormat="1" ht="40.950000000000003" customHeight="1" x14ac:dyDescent="0.25">
      <c r="A94" s="153">
        <v>10</v>
      </c>
      <c r="B94" s="154" t="s">
        <v>552</v>
      </c>
      <c r="C94" s="169" t="s">
        <v>553</v>
      </c>
      <c r="D94" s="113" t="s">
        <v>539</v>
      </c>
      <c r="E94" s="113" t="s">
        <v>396</v>
      </c>
      <c r="F94" s="155">
        <v>3.96</v>
      </c>
      <c r="G94" s="113"/>
      <c r="H94" s="113"/>
      <c r="I94" s="157"/>
      <c r="J94" s="156"/>
      <c r="K94" s="156"/>
      <c r="L94" s="113"/>
      <c r="M94" s="157">
        <f>(F94+G94+H94+I94)*25%</f>
        <v>0.99</v>
      </c>
      <c r="N94" s="157"/>
      <c r="O94" s="190">
        <f t="shared" si="76"/>
        <v>11583</v>
      </c>
      <c r="P94" s="169" t="s">
        <v>554</v>
      </c>
      <c r="Q94" s="212" t="s">
        <v>129</v>
      </c>
      <c r="R94" s="171">
        <f t="shared" si="66"/>
        <v>20.5</v>
      </c>
      <c r="S94" s="113">
        <v>20</v>
      </c>
      <c r="T94" s="113">
        <v>3</v>
      </c>
      <c r="U94" s="113">
        <f t="shared" si="67"/>
        <v>164</v>
      </c>
      <c r="V94" s="209">
        <f t="shared" si="68"/>
        <v>14</v>
      </c>
      <c r="W94" s="113">
        <v>13</v>
      </c>
      <c r="X94" s="113">
        <v>8</v>
      </c>
      <c r="Y94" s="160"/>
      <c r="Z94" s="161"/>
      <c r="AA94" s="162"/>
      <c r="AB94" s="163"/>
      <c r="AC94" s="177">
        <f t="shared" si="69"/>
        <v>946910.25</v>
      </c>
      <c r="AD94" s="178">
        <f t="shared" si="72"/>
        <v>555984</v>
      </c>
      <c r="AE94" s="179">
        <f t="shared" si="73"/>
        <v>356177.25</v>
      </c>
      <c r="AF94" s="180">
        <f t="shared" si="74"/>
        <v>34749</v>
      </c>
      <c r="AG94" s="165">
        <f t="shared" si="70"/>
        <v>0</v>
      </c>
      <c r="AH94" s="165">
        <f t="shared" si="75"/>
        <v>946910</v>
      </c>
      <c r="AI94" s="165"/>
      <c r="AJ94" s="167">
        <f t="shared" si="71"/>
        <v>946910</v>
      </c>
    </row>
    <row r="95" spans="1:36" s="125" customFormat="1" ht="48.6" customHeight="1" x14ac:dyDescent="0.25">
      <c r="A95" s="206">
        <v>13</v>
      </c>
      <c r="B95" s="115" t="s">
        <v>555</v>
      </c>
      <c r="C95" s="112"/>
      <c r="D95" s="113"/>
      <c r="E95" s="444"/>
      <c r="F95" s="155"/>
      <c r="G95" s="113"/>
      <c r="H95" s="113"/>
      <c r="I95" s="156"/>
      <c r="J95" s="156"/>
      <c r="K95" s="156"/>
      <c r="L95" s="113"/>
      <c r="M95" s="157"/>
      <c r="N95" s="157"/>
      <c r="O95" s="190">
        <f t="shared" si="76"/>
        <v>0</v>
      </c>
      <c r="P95" s="194"/>
      <c r="Q95" s="174"/>
      <c r="R95" s="171"/>
      <c r="S95" s="208"/>
      <c r="T95" s="208"/>
      <c r="U95" s="113"/>
      <c r="V95" s="209"/>
      <c r="W95" s="208"/>
      <c r="X95" s="208"/>
      <c r="Y95" s="210">
        <f t="shared" ref="Y95:AJ95" si="77">SUM(Y96:Y100)</f>
        <v>1486836.0000000002</v>
      </c>
      <c r="Z95" s="210">
        <f t="shared" si="77"/>
        <v>1015859.8125000002</v>
      </c>
      <c r="AA95" s="210">
        <f t="shared" si="77"/>
        <v>757896.75000000012</v>
      </c>
      <c r="AB95" s="210">
        <f t="shared" si="77"/>
        <v>257963.06250000006</v>
      </c>
      <c r="AC95" s="210">
        <f t="shared" si="77"/>
        <v>2856152.8125</v>
      </c>
      <c r="AD95" s="210">
        <f t="shared" si="77"/>
        <v>1635660</v>
      </c>
      <c r="AE95" s="210">
        <f t="shared" si="77"/>
        <v>1118264.0625</v>
      </c>
      <c r="AF95" s="210">
        <f t="shared" si="77"/>
        <v>102228.75</v>
      </c>
      <c r="AG95" s="210">
        <f t="shared" si="77"/>
        <v>2502696</v>
      </c>
      <c r="AH95" s="210">
        <f t="shared" si="77"/>
        <v>2856154</v>
      </c>
      <c r="AI95" s="210">
        <f t="shared" si="77"/>
        <v>0</v>
      </c>
      <c r="AJ95" s="211">
        <f t="shared" si="77"/>
        <v>5358850</v>
      </c>
    </row>
    <row r="96" spans="1:36" s="125" customFormat="1" ht="48.6" customHeight="1" x14ac:dyDescent="0.25">
      <c r="A96" s="153">
        <v>1</v>
      </c>
      <c r="B96" s="154" t="s">
        <v>556</v>
      </c>
      <c r="C96" s="169" t="s">
        <v>557</v>
      </c>
      <c r="D96" s="113" t="s">
        <v>49</v>
      </c>
      <c r="E96" s="113" t="s">
        <v>558</v>
      </c>
      <c r="F96" s="153">
        <v>4.9800000000000004</v>
      </c>
      <c r="G96" s="113"/>
      <c r="H96" s="157"/>
      <c r="I96" s="157"/>
      <c r="J96" s="156"/>
      <c r="K96" s="113"/>
      <c r="L96" s="113"/>
      <c r="M96" s="157">
        <f>(F96+G96+H96+I96)*25%</f>
        <v>1.2450000000000001</v>
      </c>
      <c r="N96" s="171"/>
      <c r="O96" s="190">
        <f t="shared" si="76"/>
        <v>14566.500000000002</v>
      </c>
      <c r="P96" s="112">
        <v>48823</v>
      </c>
      <c r="Q96" s="212" t="s">
        <v>129</v>
      </c>
      <c r="R96" s="171">
        <f>(S96)+(IF(T96=0,0,IF(T96&lt;7,1/2,1)))</f>
        <v>30</v>
      </c>
      <c r="S96" s="113">
        <v>29</v>
      </c>
      <c r="T96" s="113">
        <v>8</v>
      </c>
      <c r="U96" s="113">
        <f>(W96*12)+X96</f>
        <v>96</v>
      </c>
      <c r="V96" s="209">
        <f>(W96)+(IF(X96=0,0,IF(X96&lt;7,1/2,1)))</f>
        <v>8</v>
      </c>
      <c r="W96" s="113">
        <v>8</v>
      </c>
      <c r="X96" s="113">
        <v>0</v>
      </c>
      <c r="Y96" s="160">
        <f>0.9*60*O96</f>
        <v>786591.00000000012</v>
      </c>
      <c r="Z96" s="161">
        <f>SUM(AA96:AB96)</f>
        <v>633642.75000000012</v>
      </c>
      <c r="AA96" s="162">
        <f>4*V96*O96</f>
        <v>466128.00000000006</v>
      </c>
      <c r="AB96" s="163">
        <f>SUM(4*O96)+(0.5*O96*(R96-15))</f>
        <v>167514.75000000003</v>
      </c>
      <c r="AC96" s="177"/>
      <c r="AD96" s="178"/>
      <c r="AE96" s="179"/>
      <c r="AF96" s="180"/>
      <c r="AG96" s="165">
        <f>ROUND(Y96+Z96,0)</f>
        <v>1420234</v>
      </c>
      <c r="AH96" s="165">
        <f>ROUND(AC96,0)</f>
        <v>0</v>
      </c>
      <c r="AI96" s="165"/>
      <c r="AJ96" s="167">
        <f>AG96+AH96+AI96</f>
        <v>1420234</v>
      </c>
    </row>
    <row r="97" spans="1:36" s="125" customFormat="1" ht="48.6" customHeight="1" x14ac:dyDescent="0.25">
      <c r="A97" s="153">
        <v>2</v>
      </c>
      <c r="B97" s="154" t="s">
        <v>559</v>
      </c>
      <c r="C97" s="169" t="s">
        <v>560</v>
      </c>
      <c r="D97" s="113" t="s">
        <v>49</v>
      </c>
      <c r="E97" s="113" t="s">
        <v>561</v>
      </c>
      <c r="F97" s="153">
        <v>3.99</v>
      </c>
      <c r="G97" s="113"/>
      <c r="H97" s="157"/>
      <c r="I97" s="157"/>
      <c r="J97" s="156"/>
      <c r="K97" s="113"/>
      <c r="L97" s="113"/>
      <c r="M97" s="157">
        <f>(F97+G97+H97+I97)*25%</f>
        <v>0.99750000000000005</v>
      </c>
      <c r="N97" s="171"/>
      <c r="O97" s="190">
        <f t="shared" si="76"/>
        <v>11670.750000000002</v>
      </c>
      <c r="P97" s="112">
        <v>47727</v>
      </c>
      <c r="Q97" s="212" t="s">
        <v>129</v>
      </c>
      <c r="R97" s="171">
        <f>(S97)+(IF(T97=0,0,IF(T97&lt;7,1/2,1)))</f>
        <v>22.5</v>
      </c>
      <c r="S97" s="113">
        <v>22</v>
      </c>
      <c r="T97" s="113">
        <v>4</v>
      </c>
      <c r="U97" s="113">
        <f>(W97*12)+X97</f>
        <v>60</v>
      </c>
      <c r="V97" s="209">
        <f>(W97)+(IF(X97=0,0,IF(X97&lt;7,1/2,1)))</f>
        <v>5</v>
      </c>
      <c r="W97" s="113">
        <v>5</v>
      </c>
      <c r="X97" s="113">
        <v>0</v>
      </c>
      <c r="Y97" s="160">
        <f>1*U97*O97</f>
        <v>700245.00000000012</v>
      </c>
      <c r="Z97" s="161">
        <f>SUM(AA97:AB97)</f>
        <v>382217.06250000006</v>
      </c>
      <c r="AA97" s="162">
        <f>5*V97*O97</f>
        <v>291768.75000000006</v>
      </c>
      <c r="AB97" s="163">
        <f>SUM(4*O97)+(0.5*O97*(R97-15))</f>
        <v>90448.312500000015</v>
      </c>
      <c r="AC97" s="177"/>
      <c r="AD97" s="178"/>
      <c r="AE97" s="179"/>
      <c r="AF97" s="180"/>
      <c r="AG97" s="165">
        <f>ROUND(Y97+Z97,0)</f>
        <v>1082462</v>
      </c>
      <c r="AH97" s="165">
        <f>ROUND(AC97,0)</f>
        <v>0</v>
      </c>
      <c r="AI97" s="165"/>
      <c r="AJ97" s="167">
        <f>AG97+AH97+AI97</f>
        <v>1082462</v>
      </c>
    </row>
    <row r="98" spans="1:36" s="125" customFormat="1" ht="48.6" customHeight="1" x14ac:dyDescent="0.25">
      <c r="A98" s="153">
        <v>3</v>
      </c>
      <c r="B98" s="154" t="s">
        <v>562</v>
      </c>
      <c r="C98" s="169" t="s">
        <v>563</v>
      </c>
      <c r="D98" s="113" t="s">
        <v>49</v>
      </c>
      <c r="E98" s="113" t="s">
        <v>564</v>
      </c>
      <c r="F98" s="153">
        <v>3.33</v>
      </c>
      <c r="G98" s="113"/>
      <c r="H98" s="157">
        <v>0.25</v>
      </c>
      <c r="I98" s="157"/>
      <c r="J98" s="156"/>
      <c r="K98" s="113"/>
      <c r="L98" s="113"/>
      <c r="M98" s="157">
        <f>(F98+G98+H98+I98)*25%</f>
        <v>0.89500000000000002</v>
      </c>
      <c r="N98" s="171"/>
      <c r="O98" s="190">
        <f t="shared" si="76"/>
        <v>10471.5</v>
      </c>
      <c r="P98" s="112">
        <v>51075</v>
      </c>
      <c r="Q98" s="212" t="s">
        <v>129</v>
      </c>
      <c r="R98" s="171">
        <f>(S98)+(IF(T98=0,0,IF(T98&lt;7,1/2,1)))</f>
        <v>25</v>
      </c>
      <c r="S98" s="113">
        <v>24</v>
      </c>
      <c r="T98" s="113">
        <v>10</v>
      </c>
      <c r="U98" s="113">
        <f>(W98*12)+X98</f>
        <v>170</v>
      </c>
      <c r="V98" s="209">
        <f>(W98)+(IF(X98=0,0,IF(X98&lt;7,1/2,1)))</f>
        <v>14.5</v>
      </c>
      <c r="W98" s="113">
        <v>14</v>
      </c>
      <c r="X98" s="113">
        <v>2</v>
      </c>
      <c r="Y98" s="160"/>
      <c r="Z98" s="161"/>
      <c r="AA98" s="162"/>
      <c r="AB98" s="163"/>
      <c r="AC98" s="177">
        <f>AD98+AE98+AF98</f>
        <v>926727.75</v>
      </c>
      <c r="AD98" s="178">
        <f>0.8*60*O98</f>
        <v>502632</v>
      </c>
      <c r="AE98" s="179">
        <f>1.5*O98*R98</f>
        <v>392681.25</v>
      </c>
      <c r="AF98" s="180">
        <f>3*O98</f>
        <v>31414.5</v>
      </c>
      <c r="AG98" s="165">
        <f>ROUND(Y98+Z98,0)</f>
        <v>0</v>
      </c>
      <c r="AH98" s="165">
        <f>ROUND(AC98,0)</f>
        <v>926728</v>
      </c>
      <c r="AI98" s="165"/>
      <c r="AJ98" s="167">
        <f>AG98+AH98+AI98</f>
        <v>926728</v>
      </c>
    </row>
    <row r="99" spans="1:36" s="125" customFormat="1" ht="48.6" customHeight="1" x14ac:dyDescent="0.25">
      <c r="A99" s="153">
        <v>4</v>
      </c>
      <c r="B99" s="154" t="s">
        <v>565</v>
      </c>
      <c r="C99" s="169" t="s">
        <v>566</v>
      </c>
      <c r="D99" s="113" t="s">
        <v>49</v>
      </c>
      <c r="E99" s="113" t="s">
        <v>561</v>
      </c>
      <c r="F99" s="153">
        <v>3.33</v>
      </c>
      <c r="G99" s="113"/>
      <c r="H99" s="157"/>
      <c r="I99" s="157"/>
      <c r="J99" s="156"/>
      <c r="K99" s="113"/>
      <c r="L99" s="113"/>
      <c r="M99" s="157">
        <f>(F99+G99+H99+I99)*25%</f>
        <v>0.83250000000000002</v>
      </c>
      <c r="N99" s="171"/>
      <c r="O99" s="190">
        <f t="shared" si="76"/>
        <v>9740.25</v>
      </c>
      <c r="P99" s="169" t="s">
        <v>567</v>
      </c>
      <c r="Q99" s="212" t="s">
        <v>129</v>
      </c>
      <c r="R99" s="171">
        <f>(S99)+(IF(T99=0,0,IF(T99&lt;7,1/2,1)))</f>
        <v>15.5</v>
      </c>
      <c r="S99" s="113">
        <v>15</v>
      </c>
      <c r="T99" s="113">
        <v>1</v>
      </c>
      <c r="U99" s="113">
        <f>(W99*12)+X99</f>
        <v>205</v>
      </c>
      <c r="V99" s="209">
        <f>(W99)+(IF(X99=0,0,IF(X99&lt;7,1/2,1)))</f>
        <v>17.5</v>
      </c>
      <c r="W99" s="113">
        <v>17</v>
      </c>
      <c r="X99" s="113">
        <v>1</v>
      </c>
      <c r="Y99" s="160"/>
      <c r="Z99" s="161"/>
      <c r="AA99" s="162"/>
      <c r="AB99" s="163"/>
      <c r="AC99" s="177">
        <f>AD99+AE99+AF99</f>
        <v>723213.5625</v>
      </c>
      <c r="AD99" s="178">
        <f>0.8*60*O99</f>
        <v>467532</v>
      </c>
      <c r="AE99" s="179">
        <f>1.5*O99*R99</f>
        <v>226460.8125</v>
      </c>
      <c r="AF99" s="180">
        <f>3*O99</f>
        <v>29220.75</v>
      </c>
      <c r="AG99" s="165">
        <f>ROUND(Y99+Z99,0)</f>
        <v>0</v>
      </c>
      <c r="AH99" s="165">
        <f>ROUND(AC99,0)</f>
        <v>723214</v>
      </c>
      <c r="AI99" s="165"/>
      <c r="AJ99" s="167">
        <f>AG99+AH99+AI99</f>
        <v>723214</v>
      </c>
    </row>
    <row r="100" spans="1:36" s="125" customFormat="1" ht="48.6" customHeight="1" x14ac:dyDescent="0.25">
      <c r="A100" s="153">
        <v>5</v>
      </c>
      <c r="B100" s="154" t="s">
        <v>568</v>
      </c>
      <c r="C100" s="169" t="s">
        <v>569</v>
      </c>
      <c r="D100" s="113" t="s">
        <v>59</v>
      </c>
      <c r="E100" s="113" t="s">
        <v>570</v>
      </c>
      <c r="F100" s="153">
        <v>4.74</v>
      </c>
      <c r="G100" s="113"/>
      <c r="H100" s="157"/>
      <c r="I100" s="157"/>
      <c r="J100" s="156"/>
      <c r="K100" s="113"/>
      <c r="L100" s="113"/>
      <c r="M100" s="157">
        <f>(F100+G100+H100+I100)*25%</f>
        <v>1.1850000000000001</v>
      </c>
      <c r="N100" s="171"/>
      <c r="O100" s="190">
        <f t="shared" si="76"/>
        <v>13864.500000000002</v>
      </c>
      <c r="P100" s="169">
        <v>50922</v>
      </c>
      <c r="Q100" s="212" t="s">
        <v>129</v>
      </c>
      <c r="R100" s="171">
        <f>(S100)+(IF(T100=0,0,IF(T100&lt;7,1/2,1)))</f>
        <v>24</v>
      </c>
      <c r="S100" s="113">
        <v>23</v>
      </c>
      <c r="T100" s="113">
        <v>7</v>
      </c>
      <c r="U100" s="113">
        <f>(W100*12)+X100</f>
        <v>165</v>
      </c>
      <c r="V100" s="209">
        <f>(W100)+(IF(X100=0,0,IF(X100&lt;7,1/2,1)))</f>
        <v>14</v>
      </c>
      <c r="W100" s="113">
        <v>13</v>
      </c>
      <c r="X100" s="113">
        <v>9</v>
      </c>
      <c r="Y100" s="160"/>
      <c r="Z100" s="161"/>
      <c r="AA100" s="162"/>
      <c r="AB100" s="163"/>
      <c r="AC100" s="177">
        <f>AD100+AE100+AF100</f>
        <v>1206211.5000000002</v>
      </c>
      <c r="AD100" s="178">
        <f>0.8*60*O100</f>
        <v>665496.00000000012</v>
      </c>
      <c r="AE100" s="179">
        <f>1.5*O100*R100</f>
        <v>499122.00000000012</v>
      </c>
      <c r="AF100" s="180">
        <f>3*O100</f>
        <v>41593.500000000007</v>
      </c>
      <c r="AG100" s="165">
        <f>ROUND(Y100+Z100,0)</f>
        <v>0</v>
      </c>
      <c r="AH100" s="196">
        <f>ROUND(AC100,0)</f>
        <v>1206212</v>
      </c>
      <c r="AI100" s="162"/>
      <c r="AJ100" s="197">
        <f>AG100+AH100+AI100</f>
        <v>1206212</v>
      </c>
    </row>
    <row r="101" spans="1:36" ht="42.75" customHeight="1" x14ac:dyDescent="0.25">
      <c r="A101" s="206">
        <v>14</v>
      </c>
      <c r="B101" s="115" t="s">
        <v>571</v>
      </c>
      <c r="C101" s="112"/>
      <c r="D101" s="113"/>
      <c r="E101" s="444"/>
      <c r="F101" s="153"/>
      <c r="G101" s="113"/>
      <c r="H101" s="157"/>
      <c r="I101" s="157"/>
      <c r="J101" s="156"/>
      <c r="K101" s="113"/>
      <c r="L101" s="113"/>
      <c r="M101" s="157"/>
      <c r="N101" s="171"/>
      <c r="O101" s="190">
        <f t="shared" si="76"/>
        <v>0</v>
      </c>
      <c r="P101" s="194"/>
      <c r="Q101" s="174"/>
      <c r="R101" s="171"/>
      <c r="S101" s="113"/>
      <c r="T101" s="113"/>
      <c r="U101" s="113"/>
      <c r="V101" s="209"/>
      <c r="W101" s="113"/>
      <c r="X101" s="113"/>
      <c r="Y101" s="424">
        <f t="shared" ref="Y101:AJ101" si="78">SUM(Y102:Y108)</f>
        <v>0</v>
      </c>
      <c r="Z101" s="424">
        <f t="shared" si="78"/>
        <v>0</v>
      </c>
      <c r="AA101" s="424">
        <f t="shared" si="78"/>
        <v>0</v>
      </c>
      <c r="AB101" s="424">
        <f t="shared" si="78"/>
        <v>0</v>
      </c>
      <c r="AC101" s="424">
        <f t="shared" si="78"/>
        <v>6618059.3700000001</v>
      </c>
      <c r="AD101" s="424">
        <f t="shared" si="78"/>
        <v>3968771.04</v>
      </c>
      <c r="AE101" s="424">
        <f t="shared" si="78"/>
        <v>2401240.14</v>
      </c>
      <c r="AF101" s="424">
        <f t="shared" si="78"/>
        <v>248048.19</v>
      </c>
      <c r="AG101" s="424">
        <f t="shared" si="78"/>
        <v>0</v>
      </c>
      <c r="AH101" s="424">
        <f t="shared" si="78"/>
        <v>6618061</v>
      </c>
      <c r="AI101" s="424">
        <f t="shared" si="78"/>
        <v>0</v>
      </c>
      <c r="AJ101" s="425">
        <f t="shared" si="78"/>
        <v>6618061</v>
      </c>
    </row>
    <row r="102" spans="1:36" ht="42.75" customHeight="1" x14ac:dyDescent="0.25">
      <c r="A102" s="153">
        <v>1</v>
      </c>
      <c r="B102" s="154" t="s">
        <v>572</v>
      </c>
      <c r="C102" s="169" t="s">
        <v>573</v>
      </c>
      <c r="D102" s="113" t="s">
        <v>49</v>
      </c>
      <c r="E102" s="113" t="s">
        <v>561</v>
      </c>
      <c r="F102" s="153">
        <v>3.66</v>
      </c>
      <c r="G102" s="113"/>
      <c r="H102" s="157"/>
      <c r="I102" s="157"/>
      <c r="J102" s="156"/>
      <c r="K102" s="113"/>
      <c r="L102" s="113"/>
      <c r="M102" s="157">
        <f t="shared" ref="M102:M108" si="79">(F102+G102+H102+I102)*25%</f>
        <v>0.91500000000000004</v>
      </c>
      <c r="N102" s="171"/>
      <c r="O102" s="190">
        <f t="shared" si="76"/>
        <v>10705.5</v>
      </c>
      <c r="P102" s="169">
        <v>50222</v>
      </c>
      <c r="Q102" s="212" t="s">
        <v>129</v>
      </c>
      <c r="R102" s="171">
        <f t="shared" ref="R102:R108" si="80">(S102)+(IF(T102=0,0,IF(T102&lt;7,1/2,1)))</f>
        <v>16.5</v>
      </c>
      <c r="S102" s="113">
        <v>16</v>
      </c>
      <c r="T102" s="113">
        <v>4</v>
      </c>
      <c r="U102" s="113">
        <f t="shared" ref="U102:U123" si="81">(W102*12)+X102</f>
        <v>142</v>
      </c>
      <c r="V102" s="209">
        <f t="shared" ref="V102:V108" si="82">(W102)+(IF(X102=0,0,IF(X102&lt;7,1/2,1)))</f>
        <v>12</v>
      </c>
      <c r="W102" s="113">
        <v>11</v>
      </c>
      <c r="X102" s="113">
        <v>10</v>
      </c>
      <c r="Y102" s="160"/>
      <c r="Z102" s="161"/>
      <c r="AA102" s="162"/>
      <c r="AB102" s="163"/>
      <c r="AC102" s="177">
        <f t="shared" ref="AC102:AC108" si="83">AD102+AE102+AF102</f>
        <v>810941.625</v>
      </c>
      <c r="AD102" s="178">
        <f t="shared" ref="AD102:AD108" si="84">0.8*60*O102</f>
        <v>513864</v>
      </c>
      <c r="AE102" s="179">
        <f t="shared" ref="AE102:AE108" si="85">1.5*O102*R102</f>
        <v>264961.125</v>
      </c>
      <c r="AF102" s="180">
        <f t="shared" ref="AF102:AF108" si="86">3*O102</f>
        <v>32116.5</v>
      </c>
      <c r="AG102" s="196">
        <f>ROUND(Y102+Z102,0)</f>
        <v>0</v>
      </c>
      <c r="AH102" s="196">
        <f>ROUND(AC102,0)</f>
        <v>810942</v>
      </c>
      <c r="AI102" s="162"/>
      <c r="AJ102" s="197">
        <f t="shared" ref="AJ102:AJ108" si="87">AG102+AH102+AI102</f>
        <v>810942</v>
      </c>
    </row>
    <row r="103" spans="1:36" ht="42.75" customHeight="1" x14ac:dyDescent="0.25">
      <c r="A103" s="153">
        <v>2</v>
      </c>
      <c r="B103" s="154" t="s">
        <v>574</v>
      </c>
      <c r="C103" s="112">
        <v>32760</v>
      </c>
      <c r="D103" s="113" t="s">
        <v>49</v>
      </c>
      <c r="E103" s="113" t="s">
        <v>561</v>
      </c>
      <c r="F103" s="153">
        <v>3.33</v>
      </c>
      <c r="G103" s="113"/>
      <c r="H103" s="157"/>
      <c r="I103" s="157"/>
      <c r="J103" s="156"/>
      <c r="K103" s="113"/>
      <c r="L103" s="113"/>
      <c r="M103" s="157">
        <f t="shared" si="79"/>
        <v>0.83250000000000002</v>
      </c>
      <c r="N103" s="171"/>
      <c r="O103" s="190">
        <f t="shared" si="76"/>
        <v>9740.25</v>
      </c>
      <c r="P103" s="112">
        <v>54697</v>
      </c>
      <c r="Q103" s="212" t="s">
        <v>129</v>
      </c>
      <c r="R103" s="171">
        <f t="shared" si="80"/>
        <v>14</v>
      </c>
      <c r="S103" s="113">
        <v>13</v>
      </c>
      <c r="T103" s="113">
        <v>7</v>
      </c>
      <c r="U103" s="113">
        <f t="shared" si="81"/>
        <v>289</v>
      </c>
      <c r="V103" s="209">
        <f t="shared" si="82"/>
        <v>24.5</v>
      </c>
      <c r="W103" s="113">
        <v>24</v>
      </c>
      <c r="X103" s="113">
        <v>1</v>
      </c>
      <c r="Y103" s="160"/>
      <c r="Z103" s="162"/>
      <c r="AA103" s="176"/>
      <c r="AB103" s="176"/>
      <c r="AC103" s="177">
        <f t="shared" si="83"/>
        <v>701298</v>
      </c>
      <c r="AD103" s="178">
        <f t="shared" si="84"/>
        <v>467532</v>
      </c>
      <c r="AE103" s="179">
        <f t="shared" si="85"/>
        <v>204545.25</v>
      </c>
      <c r="AF103" s="180">
        <f t="shared" si="86"/>
        <v>29220.75</v>
      </c>
      <c r="AG103" s="196">
        <f>(Y103+Z103)</f>
        <v>0</v>
      </c>
      <c r="AH103" s="196">
        <f t="shared" ref="AH103:AH108" si="88">ROUND(AC103,0)</f>
        <v>701298</v>
      </c>
      <c r="AI103" s="162"/>
      <c r="AJ103" s="197">
        <f t="shared" si="87"/>
        <v>701298</v>
      </c>
    </row>
    <row r="104" spans="1:36" ht="42.75" customHeight="1" x14ac:dyDescent="0.25">
      <c r="A104" s="153">
        <v>3</v>
      </c>
      <c r="B104" s="154" t="s">
        <v>575</v>
      </c>
      <c r="C104" s="112">
        <v>29629</v>
      </c>
      <c r="D104" s="113" t="s">
        <v>49</v>
      </c>
      <c r="E104" s="113" t="s">
        <v>576</v>
      </c>
      <c r="F104" s="153">
        <v>3.99</v>
      </c>
      <c r="G104" s="113"/>
      <c r="H104" s="157"/>
      <c r="I104" s="157"/>
      <c r="J104" s="156"/>
      <c r="K104" s="113"/>
      <c r="L104" s="113"/>
      <c r="M104" s="157">
        <f t="shared" si="79"/>
        <v>0.99750000000000005</v>
      </c>
      <c r="N104" s="171"/>
      <c r="O104" s="190">
        <f t="shared" si="76"/>
        <v>11670.750000000002</v>
      </c>
      <c r="P104" s="112">
        <v>51561</v>
      </c>
      <c r="Q104" s="212" t="s">
        <v>129</v>
      </c>
      <c r="R104" s="171">
        <f t="shared" si="80"/>
        <v>20.5</v>
      </c>
      <c r="S104" s="113">
        <v>20</v>
      </c>
      <c r="T104" s="113">
        <v>4</v>
      </c>
      <c r="U104" s="113">
        <f t="shared" si="81"/>
        <v>186</v>
      </c>
      <c r="V104" s="209">
        <f t="shared" si="82"/>
        <v>15.5</v>
      </c>
      <c r="W104" s="113">
        <v>15</v>
      </c>
      <c r="X104" s="113">
        <v>6</v>
      </c>
      <c r="Y104" s="160"/>
      <c r="Z104" s="161"/>
      <c r="AA104" s="162"/>
      <c r="AB104" s="163"/>
      <c r="AC104" s="177">
        <f t="shared" si="83"/>
        <v>954083.81250000023</v>
      </c>
      <c r="AD104" s="178">
        <f t="shared" si="84"/>
        <v>560196.00000000012</v>
      </c>
      <c r="AE104" s="179">
        <f t="shared" si="85"/>
        <v>358875.56250000006</v>
      </c>
      <c r="AF104" s="180">
        <f t="shared" si="86"/>
        <v>35012.250000000007</v>
      </c>
      <c r="AG104" s="196">
        <f>ROUND(Y104+Z104,0)</f>
        <v>0</v>
      </c>
      <c r="AH104" s="196">
        <f t="shared" si="88"/>
        <v>954084</v>
      </c>
      <c r="AI104" s="162"/>
      <c r="AJ104" s="197">
        <f t="shared" si="87"/>
        <v>954084</v>
      </c>
    </row>
    <row r="105" spans="1:36" ht="42.75" customHeight="1" x14ac:dyDescent="0.25">
      <c r="A105" s="153">
        <v>4</v>
      </c>
      <c r="B105" s="154" t="s">
        <v>577</v>
      </c>
      <c r="C105" s="112">
        <v>30151</v>
      </c>
      <c r="D105" s="113" t="s">
        <v>49</v>
      </c>
      <c r="E105" s="113" t="s">
        <v>576</v>
      </c>
      <c r="F105" s="153">
        <v>3.99</v>
      </c>
      <c r="G105" s="113"/>
      <c r="H105" s="157"/>
      <c r="I105" s="157"/>
      <c r="J105" s="156"/>
      <c r="K105" s="113"/>
      <c r="L105" s="113"/>
      <c r="M105" s="157">
        <f t="shared" si="79"/>
        <v>0.99750000000000005</v>
      </c>
      <c r="N105" s="171"/>
      <c r="O105" s="190">
        <f t="shared" si="76"/>
        <v>11670.750000000002</v>
      </c>
      <c r="P105" s="112">
        <v>52810</v>
      </c>
      <c r="Q105" s="212" t="s">
        <v>129</v>
      </c>
      <c r="R105" s="171">
        <f t="shared" si="80"/>
        <v>20.5</v>
      </c>
      <c r="S105" s="113">
        <v>20</v>
      </c>
      <c r="T105" s="113">
        <v>3</v>
      </c>
      <c r="U105" s="113">
        <f t="shared" si="81"/>
        <v>227</v>
      </c>
      <c r="V105" s="209">
        <f t="shared" si="82"/>
        <v>19</v>
      </c>
      <c r="W105" s="113">
        <v>18</v>
      </c>
      <c r="X105" s="113">
        <v>11</v>
      </c>
      <c r="Y105" s="160"/>
      <c r="Z105" s="161"/>
      <c r="AA105" s="162"/>
      <c r="AB105" s="163"/>
      <c r="AC105" s="177">
        <f t="shared" si="83"/>
        <v>954083.81250000023</v>
      </c>
      <c r="AD105" s="178">
        <f t="shared" si="84"/>
        <v>560196.00000000012</v>
      </c>
      <c r="AE105" s="179">
        <f t="shared" si="85"/>
        <v>358875.56250000006</v>
      </c>
      <c r="AF105" s="180">
        <f t="shared" si="86"/>
        <v>35012.250000000007</v>
      </c>
      <c r="AG105" s="196">
        <f>ROUND(Y105+Z105,0)</f>
        <v>0</v>
      </c>
      <c r="AH105" s="196">
        <f t="shared" si="88"/>
        <v>954084</v>
      </c>
      <c r="AI105" s="162"/>
      <c r="AJ105" s="197">
        <f t="shared" si="87"/>
        <v>954084</v>
      </c>
    </row>
    <row r="106" spans="1:36" ht="42.75" customHeight="1" x14ac:dyDescent="0.25">
      <c r="A106" s="153">
        <v>5</v>
      </c>
      <c r="B106" s="154" t="s">
        <v>578</v>
      </c>
      <c r="C106" s="112">
        <v>33341</v>
      </c>
      <c r="D106" s="113" t="s">
        <v>49</v>
      </c>
      <c r="E106" s="113" t="s">
        <v>418</v>
      </c>
      <c r="F106" s="153">
        <v>3</v>
      </c>
      <c r="G106" s="113"/>
      <c r="H106" s="157"/>
      <c r="I106" s="157"/>
      <c r="J106" s="156"/>
      <c r="K106" s="113"/>
      <c r="L106" s="113"/>
      <c r="M106" s="157">
        <f t="shared" si="79"/>
        <v>0.75</v>
      </c>
      <c r="N106" s="171"/>
      <c r="O106" s="190">
        <f t="shared" si="76"/>
        <v>8775</v>
      </c>
      <c r="P106" s="112">
        <v>56005</v>
      </c>
      <c r="Q106" s="212" t="s">
        <v>129</v>
      </c>
      <c r="R106" s="171">
        <f t="shared" si="80"/>
        <v>9</v>
      </c>
      <c r="S106" s="113">
        <v>8</v>
      </c>
      <c r="T106" s="113">
        <v>8</v>
      </c>
      <c r="U106" s="113">
        <f t="shared" si="81"/>
        <v>332</v>
      </c>
      <c r="V106" s="209">
        <f t="shared" si="82"/>
        <v>28</v>
      </c>
      <c r="W106" s="113">
        <v>27</v>
      </c>
      <c r="X106" s="113">
        <v>8</v>
      </c>
      <c r="Y106" s="160"/>
      <c r="Z106" s="161"/>
      <c r="AA106" s="162"/>
      <c r="AB106" s="163"/>
      <c r="AC106" s="177">
        <f t="shared" si="83"/>
        <v>565987.5</v>
      </c>
      <c r="AD106" s="178">
        <f t="shared" si="84"/>
        <v>421200</v>
      </c>
      <c r="AE106" s="179">
        <f t="shared" si="85"/>
        <v>118462.5</v>
      </c>
      <c r="AF106" s="180">
        <f t="shared" si="86"/>
        <v>26325</v>
      </c>
      <c r="AG106" s="196">
        <f>ROUND(Y106+Z106,0)</f>
        <v>0</v>
      </c>
      <c r="AH106" s="196">
        <f t="shared" si="88"/>
        <v>565988</v>
      </c>
      <c r="AI106" s="162"/>
      <c r="AJ106" s="197">
        <f t="shared" si="87"/>
        <v>565988</v>
      </c>
    </row>
    <row r="107" spans="1:36" ht="42.75" customHeight="1" x14ac:dyDescent="0.25">
      <c r="A107" s="153">
        <v>6</v>
      </c>
      <c r="B107" s="154" t="s">
        <v>579</v>
      </c>
      <c r="C107" s="112">
        <v>30251</v>
      </c>
      <c r="D107" s="113" t="s">
        <v>539</v>
      </c>
      <c r="E107" s="113" t="s">
        <v>580</v>
      </c>
      <c r="F107" s="153">
        <v>3.34</v>
      </c>
      <c r="G107" s="113"/>
      <c r="H107" s="157"/>
      <c r="I107" s="157"/>
      <c r="J107" s="157">
        <f>F107*20%</f>
        <v>0.66800000000000004</v>
      </c>
      <c r="K107" s="113"/>
      <c r="L107" s="113"/>
      <c r="M107" s="157">
        <f t="shared" si="79"/>
        <v>0.83499999999999996</v>
      </c>
      <c r="N107" s="171"/>
      <c r="O107" s="190">
        <f t="shared" si="76"/>
        <v>11332.62</v>
      </c>
      <c r="P107" s="112">
        <v>51075</v>
      </c>
      <c r="Q107" s="212" t="s">
        <v>129</v>
      </c>
      <c r="R107" s="171">
        <f t="shared" si="80"/>
        <v>23</v>
      </c>
      <c r="S107" s="113">
        <v>22</v>
      </c>
      <c r="T107" s="113">
        <v>11</v>
      </c>
      <c r="U107" s="113">
        <f t="shared" si="81"/>
        <v>170</v>
      </c>
      <c r="V107" s="209">
        <f t="shared" si="82"/>
        <v>14.5</v>
      </c>
      <c r="W107" s="113">
        <v>14</v>
      </c>
      <c r="X107" s="113">
        <v>2</v>
      </c>
      <c r="Y107" s="160"/>
      <c r="Z107" s="161"/>
      <c r="AA107" s="162"/>
      <c r="AB107" s="163"/>
      <c r="AC107" s="177">
        <f t="shared" si="83"/>
        <v>968939.01</v>
      </c>
      <c r="AD107" s="178">
        <f t="shared" si="84"/>
        <v>543965.76</v>
      </c>
      <c r="AE107" s="179">
        <f t="shared" si="85"/>
        <v>390975.39</v>
      </c>
      <c r="AF107" s="180">
        <f t="shared" si="86"/>
        <v>33997.86</v>
      </c>
      <c r="AG107" s="196">
        <f>ROUND(Y107+Z107,0)</f>
        <v>0</v>
      </c>
      <c r="AH107" s="196">
        <f t="shared" si="88"/>
        <v>968939</v>
      </c>
      <c r="AI107" s="162"/>
      <c r="AJ107" s="197">
        <f t="shared" si="87"/>
        <v>968939</v>
      </c>
    </row>
    <row r="108" spans="1:36" ht="42.75" customHeight="1" x14ac:dyDescent="0.25">
      <c r="A108" s="153">
        <v>7</v>
      </c>
      <c r="B108" s="154" t="s">
        <v>581</v>
      </c>
      <c r="C108" s="112">
        <v>28853</v>
      </c>
      <c r="D108" s="113" t="s">
        <v>49</v>
      </c>
      <c r="E108" s="113" t="s">
        <v>582</v>
      </c>
      <c r="F108" s="153">
        <v>4.9800000000000004</v>
      </c>
      <c r="G108" s="113"/>
      <c r="H108" s="157">
        <v>0.2</v>
      </c>
      <c r="I108" s="157"/>
      <c r="J108" s="156"/>
      <c r="K108" s="113"/>
      <c r="L108" s="113"/>
      <c r="M108" s="157">
        <f t="shared" si="79"/>
        <v>1.2950000000000002</v>
      </c>
      <c r="N108" s="171">
        <f>(F108+H108)*30%</f>
        <v>1.554</v>
      </c>
      <c r="O108" s="190">
        <f t="shared" si="76"/>
        <v>18787.86</v>
      </c>
      <c r="P108" s="112">
        <v>50771</v>
      </c>
      <c r="Q108" s="212" t="s">
        <v>129</v>
      </c>
      <c r="R108" s="171">
        <f t="shared" si="80"/>
        <v>25</v>
      </c>
      <c r="S108" s="113">
        <v>25</v>
      </c>
      <c r="T108" s="113">
        <v>0</v>
      </c>
      <c r="U108" s="113">
        <f t="shared" si="81"/>
        <v>160</v>
      </c>
      <c r="V108" s="209">
        <f t="shared" si="82"/>
        <v>13.5</v>
      </c>
      <c r="W108" s="113">
        <v>13</v>
      </c>
      <c r="X108" s="113">
        <v>4</v>
      </c>
      <c r="Y108" s="160"/>
      <c r="Z108" s="161"/>
      <c r="AA108" s="162"/>
      <c r="AB108" s="163"/>
      <c r="AC108" s="177">
        <f t="shared" si="83"/>
        <v>1662725.61</v>
      </c>
      <c r="AD108" s="178">
        <f t="shared" si="84"/>
        <v>901817.28</v>
      </c>
      <c r="AE108" s="179">
        <f t="shared" si="85"/>
        <v>704544.75</v>
      </c>
      <c r="AF108" s="180">
        <f t="shared" si="86"/>
        <v>56363.58</v>
      </c>
      <c r="AG108" s="196">
        <f>ROUND(Y108+Z108,0)</f>
        <v>0</v>
      </c>
      <c r="AH108" s="196">
        <f t="shared" si="88"/>
        <v>1662726</v>
      </c>
      <c r="AI108" s="162"/>
      <c r="AJ108" s="197">
        <f t="shared" si="87"/>
        <v>1662726</v>
      </c>
    </row>
    <row r="109" spans="1:36" ht="42.75" customHeight="1" x14ac:dyDescent="0.25">
      <c r="A109" s="188">
        <v>15</v>
      </c>
      <c r="B109" s="115" t="s">
        <v>583</v>
      </c>
      <c r="C109" s="115"/>
      <c r="D109" s="188"/>
      <c r="E109" s="113"/>
      <c r="F109" s="113"/>
      <c r="G109" s="113"/>
      <c r="H109" s="113"/>
      <c r="I109" s="113"/>
      <c r="J109" s="156"/>
      <c r="K109" s="113"/>
      <c r="L109" s="113"/>
      <c r="M109" s="157"/>
      <c r="N109" s="171"/>
      <c r="O109" s="190">
        <f t="shared" si="76"/>
        <v>0</v>
      </c>
      <c r="P109" s="194"/>
      <c r="Q109" s="174"/>
      <c r="R109" s="171"/>
      <c r="S109" s="113"/>
      <c r="T109" s="113"/>
      <c r="U109" s="113">
        <f t="shared" si="81"/>
        <v>0</v>
      </c>
      <c r="V109" s="209"/>
      <c r="W109" s="113"/>
      <c r="X109" s="113"/>
      <c r="Y109" s="210">
        <f>SUM(Y110:Y117)</f>
        <v>0</v>
      </c>
      <c r="Z109" s="210">
        <f>SUM(Z110:Z117)</f>
        <v>0</v>
      </c>
      <c r="AA109" s="210">
        <f t="shared" ref="AA109:AJ109" si="89">SUM(AA110:AA117)</f>
        <v>0</v>
      </c>
      <c r="AB109" s="210">
        <f t="shared" si="89"/>
        <v>0</v>
      </c>
      <c r="AC109" s="210">
        <f t="shared" si="89"/>
        <v>7662176.4375</v>
      </c>
      <c r="AD109" s="210">
        <f t="shared" si="89"/>
        <v>4352400</v>
      </c>
      <c r="AE109" s="210">
        <f t="shared" si="89"/>
        <v>3037751.4375000005</v>
      </c>
      <c r="AF109" s="210">
        <f t="shared" si="89"/>
        <v>272025</v>
      </c>
      <c r="AG109" s="210">
        <f t="shared" si="89"/>
        <v>0</v>
      </c>
      <c r="AH109" s="210">
        <f t="shared" si="89"/>
        <v>7662176</v>
      </c>
      <c r="AI109" s="210">
        <f t="shared" si="89"/>
        <v>0</v>
      </c>
      <c r="AJ109" s="211">
        <f t="shared" si="89"/>
        <v>7662176</v>
      </c>
    </row>
    <row r="110" spans="1:36" ht="42.75" customHeight="1" x14ac:dyDescent="0.25">
      <c r="A110" s="113">
        <v>1</v>
      </c>
      <c r="B110" s="154" t="s">
        <v>584</v>
      </c>
      <c r="C110" s="169">
        <v>27178</v>
      </c>
      <c r="D110" s="112" t="s">
        <v>585</v>
      </c>
      <c r="E110" s="113" t="s">
        <v>586</v>
      </c>
      <c r="F110" s="153">
        <v>3.66</v>
      </c>
      <c r="G110" s="113"/>
      <c r="H110" s="157"/>
      <c r="I110" s="157"/>
      <c r="J110" s="156"/>
      <c r="K110" s="113"/>
      <c r="L110" s="113"/>
      <c r="M110" s="157">
        <f t="shared" ref="M110:M117" si="90">(F110+G110+H110+I110)*25%</f>
        <v>0.91500000000000004</v>
      </c>
      <c r="N110" s="171"/>
      <c r="O110" s="190">
        <f t="shared" si="76"/>
        <v>10705.5</v>
      </c>
      <c r="P110" s="169">
        <v>49827</v>
      </c>
      <c r="Q110" s="169">
        <v>45901</v>
      </c>
      <c r="R110" s="113">
        <f t="shared" ref="R110:R117" si="91">(S110)+(IF(T110=0,0,IF(T110&lt;7,1/2,1)))</f>
        <v>26</v>
      </c>
      <c r="S110" s="113">
        <v>25</v>
      </c>
      <c r="T110" s="113">
        <v>8</v>
      </c>
      <c r="U110" s="113">
        <f t="shared" si="81"/>
        <v>129</v>
      </c>
      <c r="V110" s="187">
        <f t="shared" ref="V110:V117" si="92">(W110)+(IF(X110=0,0,IF(X110&lt;6,1/2,1)))</f>
        <v>11</v>
      </c>
      <c r="W110" s="113">
        <v>10</v>
      </c>
      <c r="X110" s="113">
        <v>9</v>
      </c>
      <c r="Y110" s="160"/>
      <c r="Z110" s="162"/>
      <c r="AA110" s="176"/>
      <c r="AB110" s="176"/>
      <c r="AC110" s="177">
        <f t="shared" ref="AC110:AC117" si="93">AD110+AE110+AF110</f>
        <v>963495</v>
      </c>
      <c r="AD110" s="178">
        <f t="shared" ref="AD110:AD117" si="94">0.8*60*O110</f>
        <v>513864</v>
      </c>
      <c r="AE110" s="179">
        <f t="shared" ref="AE110:AE117" si="95">1.5*O110*R110</f>
        <v>417514.5</v>
      </c>
      <c r="AF110" s="180">
        <f t="shared" ref="AF110:AF117" si="96">3*O110</f>
        <v>32116.5</v>
      </c>
      <c r="AG110" s="196">
        <f t="shared" ref="AG110:AG117" si="97">ROUND(Y110+Z110,0)</f>
        <v>0</v>
      </c>
      <c r="AH110" s="196">
        <f t="shared" ref="AH110:AH117" si="98">ROUND(AC110,0)</f>
        <v>963495</v>
      </c>
      <c r="AI110" s="162"/>
      <c r="AJ110" s="197">
        <f t="shared" ref="AJ110:AJ117" si="99">AG110+AH110+AI110</f>
        <v>963495</v>
      </c>
    </row>
    <row r="111" spans="1:36" ht="42.75" customHeight="1" x14ac:dyDescent="0.25">
      <c r="A111" s="113">
        <v>2</v>
      </c>
      <c r="B111" s="154" t="s">
        <v>587</v>
      </c>
      <c r="C111" s="112">
        <v>27495</v>
      </c>
      <c r="D111" s="112" t="s">
        <v>588</v>
      </c>
      <c r="E111" s="113" t="s">
        <v>589</v>
      </c>
      <c r="F111" s="153">
        <v>4.9800000000000004</v>
      </c>
      <c r="G111" s="113"/>
      <c r="H111" s="157"/>
      <c r="I111" s="157"/>
      <c r="J111" s="156"/>
      <c r="K111" s="113"/>
      <c r="L111" s="113"/>
      <c r="M111" s="157">
        <f t="shared" si="90"/>
        <v>1.2450000000000001</v>
      </c>
      <c r="N111" s="171"/>
      <c r="O111" s="190">
        <f t="shared" si="76"/>
        <v>14566.500000000002</v>
      </c>
      <c r="P111" s="112">
        <v>50161</v>
      </c>
      <c r="Q111" s="169">
        <v>45901</v>
      </c>
      <c r="R111" s="113">
        <f t="shared" si="91"/>
        <v>25</v>
      </c>
      <c r="S111" s="113">
        <v>24</v>
      </c>
      <c r="T111" s="113">
        <v>8</v>
      </c>
      <c r="U111" s="113">
        <f t="shared" si="81"/>
        <v>140</v>
      </c>
      <c r="V111" s="187">
        <f t="shared" si="92"/>
        <v>12</v>
      </c>
      <c r="W111" s="113">
        <v>11</v>
      </c>
      <c r="X111" s="113">
        <v>8</v>
      </c>
      <c r="Y111" s="160"/>
      <c r="Z111" s="161"/>
      <c r="AA111" s="162"/>
      <c r="AB111" s="163"/>
      <c r="AC111" s="177">
        <f t="shared" si="93"/>
        <v>1289135.2500000002</v>
      </c>
      <c r="AD111" s="178">
        <f t="shared" si="94"/>
        <v>699192.00000000012</v>
      </c>
      <c r="AE111" s="179">
        <f t="shared" si="95"/>
        <v>546243.75000000012</v>
      </c>
      <c r="AF111" s="180">
        <f t="shared" si="96"/>
        <v>43699.500000000007</v>
      </c>
      <c r="AG111" s="196">
        <f t="shared" si="97"/>
        <v>0</v>
      </c>
      <c r="AH111" s="196">
        <f t="shared" si="98"/>
        <v>1289135</v>
      </c>
      <c r="AI111" s="162"/>
      <c r="AJ111" s="197">
        <f t="shared" si="99"/>
        <v>1289135</v>
      </c>
    </row>
    <row r="112" spans="1:36" ht="42.75" customHeight="1" x14ac:dyDescent="0.25">
      <c r="A112" s="113">
        <v>3</v>
      </c>
      <c r="B112" s="154" t="s">
        <v>590</v>
      </c>
      <c r="C112" s="112">
        <v>27849</v>
      </c>
      <c r="D112" s="112" t="s">
        <v>591</v>
      </c>
      <c r="E112" s="113" t="s">
        <v>592</v>
      </c>
      <c r="F112" s="153">
        <v>3.99</v>
      </c>
      <c r="G112" s="113"/>
      <c r="H112" s="157"/>
      <c r="I112" s="157"/>
      <c r="J112" s="156"/>
      <c r="K112" s="113"/>
      <c r="L112" s="113"/>
      <c r="M112" s="157">
        <f t="shared" si="90"/>
        <v>0.99750000000000005</v>
      </c>
      <c r="N112" s="171"/>
      <c r="O112" s="190">
        <f t="shared" si="76"/>
        <v>11670.750000000002</v>
      </c>
      <c r="P112" s="112">
        <v>49766</v>
      </c>
      <c r="Q112" s="169">
        <v>45901</v>
      </c>
      <c r="R112" s="113">
        <f t="shared" si="91"/>
        <v>20.5</v>
      </c>
      <c r="S112" s="113">
        <v>20</v>
      </c>
      <c r="T112" s="113">
        <v>4</v>
      </c>
      <c r="U112" s="113">
        <f t="shared" si="81"/>
        <v>127</v>
      </c>
      <c r="V112" s="187">
        <f t="shared" si="92"/>
        <v>11</v>
      </c>
      <c r="W112" s="113">
        <v>10</v>
      </c>
      <c r="X112" s="113">
        <v>7</v>
      </c>
      <c r="Y112" s="160"/>
      <c r="Z112" s="162"/>
      <c r="AA112" s="176"/>
      <c r="AB112" s="176"/>
      <c r="AC112" s="177">
        <f t="shared" si="93"/>
        <v>954083.81250000023</v>
      </c>
      <c r="AD112" s="178">
        <f t="shared" si="94"/>
        <v>560196.00000000012</v>
      </c>
      <c r="AE112" s="179">
        <f t="shared" si="95"/>
        <v>358875.56250000006</v>
      </c>
      <c r="AF112" s="180">
        <f t="shared" si="96"/>
        <v>35012.250000000007</v>
      </c>
      <c r="AG112" s="196">
        <f t="shared" si="97"/>
        <v>0</v>
      </c>
      <c r="AH112" s="196">
        <f t="shared" si="98"/>
        <v>954084</v>
      </c>
      <c r="AI112" s="162"/>
      <c r="AJ112" s="197">
        <f t="shared" si="99"/>
        <v>954084</v>
      </c>
    </row>
    <row r="113" spans="1:36" ht="42.75" customHeight="1" x14ac:dyDescent="0.25">
      <c r="A113" s="113">
        <v>4</v>
      </c>
      <c r="B113" s="154" t="s">
        <v>593</v>
      </c>
      <c r="C113" s="112">
        <v>27120</v>
      </c>
      <c r="D113" s="112" t="s">
        <v>591</v>
      </c>
      <c r="E113" s="113" t="s">
        <v>592</v>
      </c>
      <c r="F113" s="153">
        <v>3</v>
      </c>
      <c r="G113" s="113"/>
      <c r="H113" s="157"/>
      <c r="I113" s="157"/>
      <c r="J113" s="156"/>
      <c r="K113" s="113"/>
      <c r="L113" s="113"/>
      <c r="M113" s="157">
        <f t="shared" si="90"/>
        <v>0.75</v>
      </c>
      <c r="N113" s="171"/>
      <c r="O113" s="190">
        <f t="shared" si="76"/>
        <v>8775</v>
      </c>
      <c r="P113" s="112">
        <v>47969</v>
      </c>
      <c r="Q113" s="169">
        <v>45901</v>
      </c>
      <c r="R113" s="113">
        <f t="shared" si="91"/>
        <v>21.5</v>
      </c>
      <c r="S113" s="113">
        <v>21</v>
      </c>
      <c r="T113" s="113">
        <v>2</v>
      </c>
      <c r="U113" s="113">
        <f t="shared" si="81"/>
        <v>68</v>
      </c>
      <c r="V113" s="187">
        <f t="shared" si="92"/>
        <v>6</v>
      </c>
      <c r="W113" s="113">
        <v>5</v>
      </c>
      <c r="X113" s="113">
        <v>8</v>
      </c>
      <c r="Y113" s="160"/>
      <c r="Z113" s="161"/>
      <c r="AA113" s="162"/>
      <c r="AB113" s="163"/>
      <c r="AC113" s="177">
        <f t="shared" si="93"/>
        <v>730518.75</v>
      </c>
      <c r="AD113" s="178">
        <f t="shared" si="94"/>
        <v>421200</v>
      </c>
      <c r="AE113" s="179">
        <f t="shared" si="95"/>
        <v>282993.75</v>
      </c>
      <c r="AF113" s="180">
        <f t="shared" si="96"/>
        <v>26325</v>
      </c>
      <c r="AG113" s="196">
        <f t="shared" si="97"/>
        <v>0</v>
      </c>
      <c r="AH113" s="196">
        <f t="shared" si="98"/>
        <v>730519</v>
      </c>
      <c r="AI113" s="162"/>
      <c r="AJ113" s="197">
        <f t="shared" si="99"/>
        <v>730519</v>
      </c>
    </row>
    <row r="114" spans="1:36" ht="42.75" customHeight="1" x14ac:dyDescent="0.25">
      <c r="A114" s="113">
        <v>5</v>
      </c>
      <c r="B114" s="154" t="s">
        <v>594</v>
      </c>
      <c r="C114" s="112">
        <v>27178</v>
      </c>
      <c r="D114" s="112" t="s">
        <v>595</v>
      </c>
      <c r="E114" s="113" t="s">
        <v>592</v>
      </c>
      <c r="F114" s="153">
        <v>4.32</v>
      </c>
      <c r="G114" s="113"/>
      <c r="H114" s="157"/>
      <c r="I114" s="157"/>
      <c r="J114" s="156"/>
      <c r="K114" s="113"/>
      <c r="L114" s="113"/>
      <c r="M114" s="157">
        <f t="shared" si="90"/>
        <v>1.08</v>
      </c>
      <c r="N114" s="171"/>
      <c r="O114" s="190">
        <f t="shared" si="76"/>
        <v>12636</v>
      </c>
      <c r="P114" s="112">
        <v>49796</v>
      </c>
      <c r="Q114" s="169">
        <v>45901</v>
      </c>
      <c r="R114" s="113">
        <f t="shared" si="91"/>
        <v>23.5</v>
      </c>
      <c r="S114" s="113">
        <v>23</v>
      </c>
      <c r="T114" s="113">
        <v>1</v>
      </c>
      <c r="U114" s="113">
        <f t="shared" si="81"/>
        <v>128</v>
      </c>
      <c r="V114" s="187">
        <f t="shared" si="92"/>
        <v>11</v>
      </c>
      <c r="W114" s="113">
        <v>10</v>
      </c>
      <c r="X114" s="113">
        <v>8</v>
      </c>
      <c r="Y114" s="160"/>
      <c r="Z114" s="162"/>
      <c r="AA114" s="176"/>
      <c r="AB114" s="176"/>
      <c r="AC114" s="177">
        <f t="shared" si="93"/>
        <v>1089855</v>
      </c>
      <c r="AD114" s="178">
        <f t="shared" si="94"/>
        <v>606528</v>
      </c>
      <c r="AE114" s="179">
        <f t="shared" si="95"/>
        <v>445419</v>
      </c>
      <c r="AF114" s="180">
        <f t="shared" si="96"/>
        <v>37908</v>
      </c>
      <c r="AG114" s="196">
        <f t="shared" si="97"/>
        <v>0</v>
      </c>
      <c r="AH114" s="196">
        <f t="shared" si="98"/>
        <v>1089855</v>
      </c>
      <c r="AI114" s="162"/>
      <c r="AJ114" s="197">
        <f t="shared" si="99"/>
        <v>1089855</v>
      </c>
    </row>
    <row r="115" spans="1:36" ht="42.75" customHeight="1" x14ac:dyDescent="0.25">
      <c r="A115" s="113">
        <v>6</v>
      </c>
      <c r="B115" s="154" t="s">
        <v>596</v>
      </c>
      <c r="C115" s="112">
        <v>29849</v>
      </c>
      <c r="D115" s="112" t="s">
        <v>154</v>
      </c>
      <c r="E115" s="113" t="s">
        <v>592</v>
      </c>
      <c r="F115" s="153">
        <v>3.33</v>
      </c>
      <c r="G115" s="113"/>
      <c r="H115" s="157">
        <v>0.2</v>
      </c>
      <c r="I115" s="157"/>
      <c r="J115" s="156"/>
      <c r="K115" s="113"/>
      <c r="L115" s="113"/>
      <c r="M115" s="157">
        <f t="shared" si="90"/>
        <v>0.88250000000000006</v>
      </c>
      <c r="N115" s="171"/>
      <c r="O115" s="190">
        <f t="shared" si="76"/>
        <v>10325.250000000002</v>
      </c>
      <c r="P115" s="112">
        <v>50679</v>
      </c>
      <c r="Q115" s="169">
        <v>45901</v>
      </c>
      <c r="R115" s="113">
        <f t="shared" si="91"/>
        <v>19</v>
      </c>
      <c r="S115" s="113">
        <v>18</v>
      </c>
      <c r="T115" s="113">
        <v>9</v>
      </c>
      <c r="U115" s="113">
        <f t="shared" si="81"/>
        <v>157</v>
      </c>
      <c r="V115" s="187">
        <f t="shared" si="92"/>
        <v>13.5</v>
      </c>
      <c r="W115" s="113">
        <v>13</v>
      </c>
      <c r="X115" s="113">
        <v>1</v>
      </c>
      <c r="Y115" s="160"/>
      <c r="Z115" s="162"/>
      <c r="AA115" s="176"/>
      <c r="AB115" s="176"/>
      <c r="AC115" s="177">
        <f t="shared" si="93"/>
        <v>820857.37500000023</v>
      </c>
      <c r="AD115" s="178">
        <f t="shared" si="94"/>
        <v>495612.00000000012</v>
      </c>
      <c r="AE115" s="179">
        <f t="shared" si="95"/>
        <v>294269.62500000006</v>
      </c>
      <c r="AF115" s="180">
        <f t="shared" si="96"/>
        <v>30975.750000000007</v>
      </c>
      <c r="AG115" s="196">
        <f t="shared" si="97"/>
        <v>0</v>
      </c>
      <c r="AH115" s="196">
        <f t="shared" si="98"/>
        <v>820857</v>
      </c>
      <c r="AI115" s="162"/>
      <c r="AJ115" s="197">
        <f t="shared" si="99"/>
        <v>820857</v>
      </c>
    </row>
    <row r="116" spans="1:36" ht="42.75" customHeight="1" x14ac:dyDescent="0.25">
      <c r="A116" s="113">
        <v>7</v>
      </c>
      <c r="B116" s="154" t="s">
        <v>597</v>
      </c>
      <c r="C116" s="112">
        <v>30312</v>
      </c>
      <c r="D116" s="112" t="s">
        <v>154</v>
      </c>
      <c r="E116" s="113" t="s">
        <v>598</v>
      </c>
      <c r="F116" s="153">
        <v>3.66</v>
      </c>
      <c r="G116" s="113"/>
      <c r="H116" s="157"/>
      <c r="I116" s="157"/>
      <c r="J116" s="156"/>
      <c r="K116" s="113"/>
      <c r="L116" s="113"/>
      <c r="M116" s="157">
        <f t="shared" si="90"/>
        <v>0.91500000000000004</v>
      </c>
      <c r="N116" s="171"/>
      <c r="O116" s="190">
        <f t="shared" si="76"/>
        <v>10705.5</v>
      </c>
      <c r="P116" s="112">
        <v>51136</v>
      </c>
      <c r="Q116" s="169">
        <v>45901</v>
      </c>
      <c r="R116" s="113">
        <f t="shared" si="91"/>
        <v>21.5</v>
      </c>
      <c r="S116" s="113">
        <v>21</v>
      </c>
      <c r="T116" s="113">
        <v>2</v>
      </c>
      <c r="U116" s="113">
        <f t="shared" si="81"/>
        <v>172</v>
      </c>
      <c r="V116" s="187">
        <f t="shared" si="92"/>
        <v>14.5</v>
      </c>
      <c r="W116" s="113">
        <v>14</v>
      </c>
      <c r="X116" s="113">
        <v>4</v>
      </c>
      <c r="Y116" s="160"/>
      <c r="Z116" s="162"/>
      <c r="AA116" s="176"/>
      <c r="AB116" s="176"/>
      <c r="AC116" s="177">
        <f t="shared" si="93"/>
        <v>891232.875</v>
      </c>
      <c r="AD116" s="178">
        <f t="shared" si="94"/>
        <v>513864</v>
      </c>
      <c r="AE116" s="179">
        <f t="shared" si="95"/>
        <v>345252.375</v>
      </c>
      <c r="AF116" s="180">
        <f t="shared" si="96"/>
        <v>32116.5</v>
      </c>
      <c r="AG116" s="196">
        <f t="shared" si="97"/>
        <v>0</v>
      </c>
      <c r="AH116" s="196">
        <f t="shared" si="98"/>
        <v>891233</v>
      </c>
      <c r="AI116" s="162"/>
      <c r="AJ116" s="197">
        <f t="shared" si="99"/>
        <v>891233</v>
      </c>
    </row>
    <row r="117" spans="1:36" ht="42.75" customHeight="1" x14ac:dyDescent="0.25">
      <c r="A117" s="113">
        <v>8</v>
      </c>
      <c r="B117" s="154" t="s">
        <v>599</v>
      </c>
      <c r="C117" s="112">
        <v>28727</v>
      </c>
      <c r="D117" s="112" t="s">
        <v>600</v>
      </c>
      <c r="E117" s="113" t="s">
        <v>598</v>
      </c>
      <c r="F117" s="153">
        <v>3.86</v>
      </c>
      <c r="G117" s="113"/>
      <c r="H117" s="157"/>
      <c r="I117" s="157"/>
      <c r="J117" s="156"/>
      <c r="K117" s="113"/>
      <c r="L117" s="113"/>
      <c r="M117" s="157">
        <f t="shared" si="90"/>
        <v>0.96499999999999997</v>
      </c>
      <c r="N117" s="171"/>
      <c r="O117" s="190">
        <f t="shared" si="76"/>
        <v>11290.5</v>
      </c>
      <c r="P117" s="112">
        <v>50649</v>
      </c>
      <c r="Q117" s="169">
        <v>45901</v>
      </c>
      <c r="R117" s="113">
        <f t="shared" si="91"/>
        <v>20.5</v>
      </c>
      <c r="S117" s="113">
        <v>20</v>
      </c>
      <c r="T117" s="113">
        <v>4</v>
      </c>
      <c r="U117" s="113">
        <f t="shared" si="81"/>
        <v>156</v>
      </c>
      <c r="V117" s="187">
        <f t="shared" si="92"/>
        <v>13</v>
      </c>
      <c r="W117" s="113">
        <v>13</v>
      </c>
      <c r="X117" s="113">
        <v>0</v>
      </c>
      <c r="Y117" s="160"/>
      <c r="Z117" s="162"/>
      <c r="AA117" s="176"/>
      <c r="AB117" s="176"/>
      <c r="AC117" s="177">
        <f t="shared" si="93"/>
        <v>922998.375</v>
      </c>
      <c r="AD117" s="178">
        <f t="shared" si="94"/>
        <v>541944</v>
      </c>
      <c r="AE117" s="179">
        <f t="shared" si="95"/>
        <v>347182.875</v>
      </c>
      <c r="AF117" s="180">
        <f t="shared" si="96"/>
        <v>33871.5</v>
      </c>
      <c r="AG117" s="196">
        <f t="shared" si="97"/>
        <v>0</v>
      </c>
      <c r="AH117" s="196">
        <f t="shared" si="98"/>
        <v>922998</v>
      </c>
      <c r="AI117" s="162"/>
      <c r="AJ117" s="197">
        <f t="shared" si="99"/>
        <v>922998</v>
      </c>
    </row>
    <row r="118" spans="1:36" ht="42.75" customHeight="1" x14ac:dyDescent="0.25">
      <c r="A118" s="113">
        <v>16</v>
      </c>
      <c r="B118" s="115" t="s">
        <v>601</v>
      </c>
      <c r="C118" s="113"/>
      <c r="D118" s="113"/>
      <c r="E118" s="113"/>
      <c r="F118" s="113"/>
      <c r="G118" s="113"/>
      <c r="H118" s="113"/>
      <c r="I118" s="113"/>
      <c r="J118" s="156"/>
      <c r="K118" s="113"/>
      <c r="L118" s="113"/>
      <c r="M118" s="157"/>
      <c r="N118" s="171"/>
      <c r="O118" s="190">
        <f t="shared" si="76"/>
        <v>0</v>
      </c>
      <c r="P118" s="113"/>
      <c r="Q118" s="174"/>
      <c r="R118" s="113"/>
      <c r="S118" s="113"/>
      <c r="T118" s="113"/>
      <c r="U118" s="113">
        <f t="shared" si="81"/>
        <v>0</v>
      </c>
      <c r="V118" s="187"/>
      <c r="W118" s="113"/>
      <c r="X118" s="113"/>
      <c r="Y118" s="213">
        <f>Y119</f>
        <v>682000</v>
      </c>
      <c r="Z118" s="213">
        <f>Z119</f>
        <v>477000</v>
      </c>
      <c r="AA118" s="213">
        <f t="shared" ref="AA118:AJ118" si="100">AA119</f>
        <v>353808</v>
      </c>
      <c r="AB118" s="213">
        <f t="shared" si="100"/>
        <v>123201</v>
      </c>
      <c r="AC118" s="213">
        <f t="shared" si="100"/>
        <v>0</v>
      </c>
      <c r="AD118" s="213">
        <f t="shared" si="100"/>
        <v>0</v>
      </c>
      <c r="AE118" s="213">
        <f t="shared" si="100"/>
        <v>0</v>
      </c>
      <c r="AF118" s="213">
        <f t="shared" si="100"/>
        <v>0</v>
      </c>
      <c r="AG118" s="213">
        <f t="shared" si="100"/>
        <v>1159000</v>
      </c>
      <c r="AH118" s="213">
        <f t="shared" si="100"/>
        <v>0</v>
      </c>
      <c r="AI118" s="213">
        <f t="shared" si="100"/>
        <v>0</v>
      </c>
      <c r="AJ118" s="211">
        <f t="shared" si="100"/>
        <v>1159000</v>
      </c>
    </row>
    <row r="119" spans="1:36" ht="42.75" customHeight="1" x14ac:dyDescent="0.25">
      <c r="A119" s="113">
        <v>1</v>
      </c>
      <c r="B119" s="201" t="s">
        <v>602</v>
      </c>
      <c r="C119" s="199">
        <v>25769</v>
      </c>
      <c r="D119" s="113" t="s">
        <v>603</v>
      </c>
      <c r="E119" s="426" t="s">
        <v>604</v>
      </c>
      <c r="F119" s="113">
        <v>4.32</v>
      </c>
      <c r="G119" s="113"/>
      <c r="H119" s="426"/>
      <c r="I119" s="112"/>
      <c r="J119" s="156"/>
      <c r="K119" s="113"/>
      <c r="L119" s="113"/>
      <c r="M119" s="157">
        <f>(F119+G119+H119+I119)*25%</f>
        <v>1.08</v>
      </c>
      <c r="N119" s="171"/>
      <c r="O119" s="190">
        <f t="shared" si="76"/>
        <v>12636</v>
      </c>
      <c r="P119" s="112">
        <v>48427</v>
      </c>
      <c r="Q119" s="174">
        <v>45901</v>
      </c>
      <c r="R119" s="113">
        <f>(S119)+(IF(T119=0,0,IF(T119&lt;7,1/2,1)))</f>
        <v>26.5</v>
      </c>
      <c r="S119" s="113">
        <v>26</v>
      </c>
      <c r="T119" s="113">
        <v>5</v>
      </c>
      <c r="U119" s="113">
        <f t="shared" si="81"/>
        <v>83</v>
      </c>
      <c r="V119" s="187">
        <f>(W119)+(IF(X119=0,0,IF(X119&lt;6,1/2,1)))</f>
        <v>7</v>
      </c>
      <c r="W119" s="113">
        <v>6</v>
      </c>
      <c r="X119" s="113">
        <v>11</v>
      </c>
      <c r="Y119" s="160">
        <f>ROUND((0.9*60*O119),-3)</f>
        <v>682000</v>
      </c>
      <c r="Z119" s="161">
        <f>ROUND(SUM(AA119:AB119),-3)</f>
        <v>477000</v>
      </c>
      <c r="AA119" s="162">
        <f>4*V119*O119</f>
        <v>353808</v>
      </c>
      <c r="AB119" s="163">
        <f>SUM(4*O119)+(0.5*O119*(R119-15))</f>
        <v>123201</v>
      </c>
      <c r="AC119" s="177"/>
      <c r="AD119" s="178"/>
      <c r="AE119" s="179"/>
      <c r="AF119" s="180"/>
      <c r="AG119" s="196">
        <f>ROUND(Y119+Z119,0)</f>
        <v>1159000</v>
      </c>
      <c r="AH119" s="196">
        <f>AC119</f>
        <v>0</v>
      </c>
      <c r="AI119" s="162"/>
      <c r="AJ119" s="197">
        <f>AG119+AH119+AI119</f>
        <v>1159000</v>
      </c>
    </row>
    <row r="120" spans="1:36" ht="39" customHeight="1" x14ac:dyDescent="0.25">
      <c r="A120" s="113">
        <v>17</v>
      </c>
      <c r="B120" s="115" t="s">
        <v>605</v>
      </c>
      <c r="C120" s="113"/>
      <c r="D120" s="113"/>
      <c r="E120" s="113"/>
      <c r="F120" s="153"/>
      <c r="G120" s="113"/>
      <c r="H120" s="157"/>
      <c r="I120" s="157"/>
      <c r="J120" s="156"/>
      <c r="K120" s="113"/>
      <c r="L120" s="113"/>
      <c r="M120" s="157"/>
      <c r="N120" s="171"/>
      <c r="O120" s="190">
        <f t="shared" si="76"/>
        <v>0</v>
      </c>
      <c r="P120" s="113"/>
      <c r="Q120" s="174"/>
      <c r="R120" s="113"/>
      <c r="S120" s="113"/>
      <c r="T120" s="113"/>
      <c r="U120" s="113">
        <f t="shared" si="81"/>
        <v>0</v>
      </c>
      <c r="V120" s="187"/>
      <c r="W120" s="113"/>
      <c r="X120" s="113"/>
      <c r="Y120" s="213">
        <f>SUM(Y121:Y123)</f>
        <v>0</v>
      </c>
      <c r="Z120" s="213">
        <f>SUM(Z121:Z123)</f>
        <v>0</v>
      </c>
      <c r="AA120" s="213">
        <f t="shared" ref="AA120:AJ120" si="101">SUM(AA121:AA123)</f>
        <v>0</v>
      </c>
      <c r="AB120" s="213">
        <f t="shared" si="101"/>
        <v>0</v>
      </c>
      <c r="AC120" s="213">
        <f t="shared" si="101"/>
        <v>2344069.2599999998</v>
      </c>
      <c r="AD120" s="213">
        <f t="shared" si="101"/>
        <v>1507839.8399999999</v>
      </c>
      <c r="AE120" s="213">
        <f t="shared" si="101"/>
        <v>741989.42999999993</v>
      </c>
      <c r="AF120" s="213">
        <f t="shared" si="101"/>
        <v>94239.989999999991</v>
      </c>
      <c r="AG120" s="213">
        <f t="shared" si="101"/>
        <v>0</v>
      </c>
      <c r="AH120" s="213">
        <f t="shared" si="101"/>
        <v>2344070</v>
      </c>
      <c r="AI120" s="213">
        <f t="shared" si="101"/>
        <v>0</v>
      </c>
      <c r="AJ120" s="211">
        <f t="shared" si="101"/>
        <v>2344070</v>
      </c>
    </row>
    <row r="121" spans="1:36" s="125" customFormat="1" ht="33.6" customHeight="1" x14ac:dyDescent="0.25">
      <c r="A121" s="113">
        <v>1</v>
      </c>
      <c r="B121" s="154" t="s">
        <v>606</v>
      </c>
      <c r="C121" s="112">
        <v>31665</v>
      </c>
      <c r="D121" s="112" t="s">
        <v>49</v>
      </c>
      <c r="E121" s="113" t="s">
        <v>607</v>
      </c>
      <c r="F121" s="153">
        <v>2.67</v>
      </c>
      <c r="G121" s="113"/>
      <c r="H121" s="157">
        <v>0.2</v>
      </c>
      <c r="I121" s="157"/>
      <c r="J121" s="156"/>
      <c r="K121" s="113"/>
      <c r="L121" s="113"/>
      <c r="M121" s="157">
        <f>(F121+G121+H121+I121)*25%</f>
        <v>0.71750000000000003</v>
      </c>
      <c r="N121" s="171"/>
      <c r="O121" s="190">
        <f t="shared" si="76"/>
        <v>8394.75</v>
      </c>
      <c r="P121" s="112">
        <v>54332</v>
      </c>
      <c r="Q121" s="169">
        <v>45901</v>
      </c>
      <c r="R121" s="113">
        <f>(S121)+(IF(T121=0,0,IF(T121&lt;7,1/2,1)))</f>
        <v>10</v>
      </c>
      <c r="S121" s="113">
        <v>9</v>
      </c>
      <c r="T121" s="113">
        <v>8</v>
      </c>
      <c r="U121" s="113">
        <f t="shared" si="81"/>
        <v>277</v>
      </c>
      <c r="V121" s="187">
        <f>(W121)+(IF(X121=0,0,IF(X121&lt;6,1/2,1)))</f>
        <v>23.5</v>
      </c>
      <c r="W121" s="113">
        <v>23</v>
      </c>
      <c r="X121" s="113">
        <v>1</v>
      </c>
      <c r="Y121" s="160"/>
      <c r="Z121" s="162"/>
      <c r="AA121" s="176"/>
      <c r="AB121" s="176"/>
      <c r="AC121" s="177">
        <f>AD121+AE121+AF121</f>
        <v>554053.5</v>
      </c>
      <c r="AD121" s="178">
        <f>0.8*60*O121</f>
        <v>402948</v>
      </c>
      <c r="AE121" s="179">
        <f>1.5*O121*R121</f>
        <v>125921.25</v>
      </c>
      <c r="AF121" s="180">
        <f>3*O121</f>
        <v>25184.25</v>
      </c>
      <c r="AG121" s="165">
        <f>ROUND(Y121+Z121,0)</f>
        <v>0</v>
      </c>
      <c r="AH121" s="196">
        <f>ROUND(AC121,0)</f>
        <v>554054</v>
      </c>
      <c r="AI121" s="162"/>
      <c r="AJ121" s="197">
        <f>AG121+AH121+AI121</f>
        <v>554054</v>
      </c>
    </row>
    <row r="122" spans="1:36" s="125" customFormat="1" ht="33.6" customHeight="1" x14ac:dyDescent="0.25">
      <c r="A122" s="113">
        <v>2</v>
      </c>
      <c r="B122" s="154" t="s">
        <v>608</v>
      </c>
      <c r="C122" s="112">
        <v>29529</v>
      </c>
      <c r="D122" s="112" t="s">
        <v>104</v>
      </c>
      <c r="E122" s="113" t="s">
        <v>609</v>
      </c>
      <c r="F122" s="153">
        <v>3.06</v>
      </c>
      <c r="G122" s="113"/>
      <c r="H122" s="157"/>
      <c r="I122" s="157"/>
      <c r="J122" s="157">
        <f>(F122+H122)*20%</f>
        <v>0.6120000000000001</v>
      </c>
      <c r="K122" s="113"/>
      <c r="L122" s="113"/>
      <c r="M122" s="157">
        <f>(F122+G122+H122+I122)*25%</f>
        <v>0.76500000000000001</v>
      </c>
      <c r="N122" s="171"/>
      <c r="O122" s="190">
        <f t="shared" si="76"/>
        <v>10382.58</v>
      </c>
      <c r="P122" s="112">
        <v>52201</v>
      </c>
      <c r="Q122" s="169">
        <v>45901</v>
      </c>
      <c r="R122" s="113">
        <f>(S122)+(IF(T122=0,0,IF(T122&lt;7,1/2,1)))</f>
        <v>14</v>
      </c>
      <c r="S122" s="113">
        <v>13</v>
      </c>
      <c r="T122" s="113">
        <v>11</v>
      </c>
      <c r="U122" s="113">
        <f t="shared" si="81"/>
        <v>207</v>
      </c>
      <c r="V122" s="187">
        <f>(W122)+(IF(X122=0,0,IF(X122&lt;6,1/2,1)))</f>
        <v>17.5</v>
      </c>
      <c r="W122" s="113">
        <v>17</v>
      </c>
      <c r="X122" s="113">
        <v>3</v>
      </c>
      <c r="Y122" s="160"/>
      <c r="Z122" s="162"/>
      <c r="AA122" s="176"/>
      <c r="AB122" s="176"/>
      <c r="AC122" s="177">
        <f>AD122+AE122+AF122</f>
        <v>747545.76</v>
      </c>
      <c r="AD122" s="178">
        <f>0.8*60*O122</f>
        <v>498363.83999999997</v>
      </c>
      <c r="AE122" s="179">
        <f>1.5*O122*R122</f>
        <v>218034.18</v>
      </c>
      <c r="AF122" s="180">
        <f>3*O122</f>
        <v>31147.739999999998</v>
      </c>
      <c r="AG122" s="165">
        <f>ROUND(Y122+Z122,0)</f>
        <v>0</v>
      </c>
      <c r="AH122" s="196">
        <f t="shared" ref="AH122:AH123" si="102">ROUND(AC122,0)</f>
        <v>747546</v>
      </c>
      <c r="AI122" s="162"/>
      <c r="AJ122" s="197">
        <f>AG122+AH122+AI122</f>
        <v>747546</v>
      </c>
    </row>
    <row r="123" spans="1:36" s="125" customFormat="1" ht="33.6" customHeight="1" x14ac:dyDescent="0.25">
      <c r="A123" s="113">
        <v>3</v>
      </c>
      <c r="B123" s="154" t="s">
        <v>610</v>
      </c>
      <c r="C123" s="112">
        <v>28625</v>
      </c>
      <c r="D123" s="112" t="s">
        <v>49</v>
      </c>
      <c r="E123" s="113" t="s">
        <v>586</v>
      </c>
      <c r="F123" s="153">
        <v>4.32</v>
      </c>
      <c r="G123" s="113"/>
      <c r="H123" s="157"/>
      <c r="I123" s="157"/>
      <c r="J123" s="156"/>
      <c r="K123" s="113"/>
      <c r="L123" s="113"/>
      <c r="M123" s="157">
        <f>(F123+G123+H123+I123)*25%</f>
        <v>1.08</v>
      </c>
      <c r="N123" s="171"/>
      <c r="O123" s="190">
        <f t="shared" si="76"/>
        <v>12636</v>
      </c>
      <c r="P123" s="112">
        <v>50557</v>
      </c>
      <c r="Q123" s="169">
        <v>45901</v>
      </c>
      <c r="R123" s="113">
        <f>(S123)+(IF(T123=0,0,IF(T123&lt;7,1/2,1)))</f>
        <v>21</v>
      </c>
      <c r="S123" s="113">
        <v>20</v>
      </c>
      <c r="T123" s="113">
        <v>8</v>
      </c>
      <c r="U123" s="113">
        <f t="shared" si="81"/>
        <v>153</v>
      </c>
      <c r="V123" s="187">
        <f>(W123)+(IF(X123=0,0,IF(X123&lt;6,1/2,1)))</f>
        <v>13</v>
      </c>
      <c r="W123" s="113">
        <v>12</v>
      </c>
      <c r="X123" s="113">
        <v>9</v>
      </c>
      <c r="Y123" s="160"/>
      <c r="Z123" s="162"/>
      <c r="AA123" s="176"/>
      <c r="AB123" s="176"/>
      <c r="AC123" s="177">
        <f>AD123+AE123+AF123</f>
        <v>1042470</v>
      </c>
      <c r="AD123" s="178">
        <f>0.8*60*O123</f>
        <v>606528</v>
      </c>
      <c r="AE123" s="179">
        <f>1.5*O123*R123</f>
        <v>398034</v>
      </c>
      <c r="AF123" s="180">
        <f>3*O123</f>
        <v>37908</v>
      </c>
      <c r="AG123" s="165">
        <f>ROUND(Y123+Z123,0)</f>
        <v>0</v>
      </c>
      <c r="AH123" s="196">
        <f t="shared" si="102"/>
        <v>1042470</v>
      </c>
      <c r="AI123" s="162"/>
      <c r="AJ123" s="197">
        <f>AG123+AH123+AI123</f>
        <v>1042470</v>
      </c>
    </row>
    <row r="124" spans="1:36" ht="31.2" x14ac:dyDescent="0.25">
      <c r="A124" s="113">
        <v>18</v>
      </c>
      <c r="B124" s="115" t="s">
        <v>611</v>
      </c>
      <c r="C124" s="113"/>
      <c r="D124" s="113"/>
      <c r="E124" s="113"/>
      <c r="F124" s="153"/>
      <c r="G124" s="113"/>
      <c r="H124" s="157"/>
      <c r="I124" s="157"/>
      <c r="J124" s="156"/>
      <c r="K124" s="113"/>
      <c r="L124" s="113"/>
      <c r="M124" s="157"/>
      <c r="N124" s="171"/>
      <c r="O124" s="190">
        <f t="shared" si="76"/>
        <v>0</v>
      </c>
      <c r="P124" s="113"/>
      <c r="Q124" s="174"/>
      <c r="R124" s="113"/>
      <c r="S124" s="113"/>
      <c r="T124" s="113"/>
      <c r="U124" s="113"/>
      <c r="V124" s="187"/>
      <c r="W124" s="113"/>
      <c r="X124" s="113"/>
      <c r="Y124" s="213">
        <f>SUM(Y125:Y127)</f>
        <v>1364688</v>
      </c>
      <c r="Z124" s="213">
        <f>SUM(Z125:Z127)</f>
        <v>1105650</v>
      </c>
      <c r="AA124" s="213">
        <f t="shared" ref="AA124:AJ124" si="103">SUM(AA125:AA127)</f>
        <v>884520</v>
      </c>
      <c r="AB124" s="213">
        <f t="shared" si="103"/>
        <v>221130</v>
      </c>
      <c r="AC124" s="213">
        <f t="shared" si="103"/>
        <v>751161.93750000023</v>
      </c>
      <c r="AD124" s="213">
        <f t="shared" si="103"/>
        <v>495612.00000000012</v>
      </c>
      <c r="AE124" s="213">
        <f t="shared" si="103"/>
        <v>224574.18750000006</v>
      </c>
      <c r="AF124" s="213">
        <f t="shared" si="103"/>
        <v>30975.750000000007</v>
      </c>
      <c r="AG124" s="213">
        <f t="shared" si="103"/>
        <v>2470338</v>
      </c>
      <c r="AH124" s="213">
        <f t="shared" si="103"/>
        <v>751162</v>
      </c>
      <c r="AI124" s="213">
        <f t="shared" si="103"/>
        <v>0</v>
      </c>
      <c r="AJ124" s="211">
        <f t="shared" si="103"/>
        <v>3221500</v>
      </c>
    </row>
    <row r="125" spans="1:36" ht="31.2" x14ac:dyDescent="0.25">
      <c r="A125" s="113">
        <v>1</v>
      </c>
      <c r="B125" s="154" t="s">
        <v>612</v>
      </c>
      <c r="C125" s="169" t="s">
        <v>613</v>
      </c>
      <c r="D125" s="112" t="s">
        <v>512</v>
      </c>
      <c r="E125" s="113" t="s">
        <v>614</v>
      </c>
      <c r="F125" s="153">
        <v>4.32</v>
      </c>
      <c r="G125" s="113"/>
      <c r="H125" s="157"/>
      <c r="I125" s="157"/>
      <c r="J125" s="156"/>
      <c r="K125" s="113"/>
      <c r="L125" s="113"/>
      <c r="M125" s="157">
        <f>(F125+G125+H125+I125)*25%</f>
        <v>1.08</v>
      </c>
      <c r="N125" s="171"/>
      <c r="O125" s="190">
        <f t="shared" si="76"/>
        <v>12636</v>
      </c>
      <c r="P125" s="112">
        <v>48519</v>
      </c>
      <c r="Q125" s="169">
        <v>45901</v>
      </c>
      <c r="R125" s="113">
        <f>(S125)+(IF(T125=0,0,IF(T125&lt;7,1/2,1)))</f>
        <v>26</v>
      </c>
      <c r="S125" s="113">
        <v>25</v>
      </c>
      <c r="T125" s="113">
        <v>8</v>
      </c>
      <c r="U125" s="113">
        <f t="shared" ref="U125:U130" si="104">(W125*12)+X125</f>
        <v>86</v>
      </c>
      <c r="V125" s="187">
        <f>(W125)+(IF(X125=0,0,IF(X125&lt;6,1/2,1)))</f>
        <v>7.5</v>
      </c>
      <c r="W125" s="113">
        <v>7</v>
      </c>
      <c r="X125" s="113">
        <v>2</v>
      </c>
      <c r="Y125" s="160">
        <f>0.9*60*O125</f>
        <v>682344</v>
      </c>
      <c r="Z125" s="161">
        <f>SUM(AA125:AB125)</f>
        <v>499122</v>
      </c>
      <c r="AA125" s="162">
        <f>4*V125*O125</f>
        <v>379080</v>
      </c>
      <c r="AB125" s="163">
        <f>SUM(4*O125)+(0.5*O125*(R125-15))</f>
        <v>120042</v>
      </c>
      <c r="AC125" s="177">
        <f>AD125+AE125+AF125</f>
        <v>0</v>
      </c>
      <c r="AD125" s="178"/>
      <c r="AE125" s="179"/>
      <c r="AF125" s="180"/>
      <c r="AG125" s="165">
        <f>ROUND(Y125+Z125,0)</f>
        <v>1181466</v>
      </c>
      <c r="AH125" s="196">
        <f>AC125</f>
        <v>0</v>
      </c>
      <c r="AI125" s="162"/>
      <c r="AJ125" s="197">
        <f>AG125+AH125+AI125</f>
        <v>1181466</v>
      </c>
    </row>
    <row r="126" spans="1:36" ht="31.2" x14ac:dyDescent="0.25">
      <c r="A126" s="113">
        <v>2</v>
      </c>
      <c r="B126" s="154" t="s">
        <v>615</v>
      </c>
      <c r="C126" s="169" t="s">
        <v>616</v>
      </c>
      <c r="D126" s="112" t="s">
        <v>512</v>
      </c>
      <c r="E126" s="113" t="s">
        <v>617</v>
      </c>
      <c r="F126" s="153">
        <v>4.32</v>
      </c>
      <c r="G126" s="113"/>
      <c r="H126" s="157"/>
      <c r="I126" s="157"/>
      <c r="J126" s="156"/>
      <c r="K126" s="113"/>
      <c r="L126" s="113"/>
      <c r="M126" s="157">
        <f>(F126+G126+H126+I126)*25%</f>
        <v>1.08</v>
      </c>
      <c r="N126" s="171"/>
      <c r="O126" s="190">
        <f t="shared" si="76"/>
        <v>12636</v>
      </c>
      <c r="P126" s="169" t="s">
        <v>618</v>
      </c>
      <c r="Q126" s="169">
        <v>45901</v>
      </c>
      <c r="R126" s="113">
        <f>(S126)+(IF(T126=0,0,IF(T126&lt;7,1/2,1)))</f>
        <v>23</v>
      </c>
      <c r="S126" s="113">
        <v>23</v>
      </c>
      <c r="T126" s="113">
        <v>0</v>
      </c>
      <c r="U126" s="113">
        <f t="shared" si="104"/>
        <v>119</v>
      </c>
      <c r="V126" s="187">
        <f>(W126)+(IF(X126=0,0,IF(X126&lt;6,1/2,1)))</f>
        <v>10</v>
      </c>
      <c r="W126" s="113">
        <v>9</v>
      </c>
      <c r="X126" s="113">
        <v>11</v>
      </c>
      <c r="Y126" s="160">
        <f>0.9*60*O126</f>
        <v>682344</v>
      </c>
      <c r="Z126" s="161">
        <f>SUM(AA126:AB126)</f>
        <v>606528</v>
      </c>
      <c r="AA126" s="162">
        <f>4*V126*O126</f>
        <v>505440</v>
      </c>
      <c r="AB126" s="163">
        <f>SUM(4*O126)+(0.5*O126*(R126-15))</f>
        <v>101088</v>
      </c>
      <c r="AC126" s="177">
        <f>AD126+AE126+AF126</f>
        <v>0</v>
      </c>
      <c r="AD126" s="178"/>
      <c r="AE126" s="179"/>
      <c r="AF126" s="180"/>
      <c r="AG126" s="165">
        <f>ROUND(Y126+Z126,0)</f>
        <v>1288872</v>
      </c>
      <c r="AH126" s="196">
        <f>AC126</f>
        <v>0</v>
      </c>
      <c r="AI126" s="162"/>
      <c r="AJ126" s="197">
        <f>AG126+AH126+AI126</f>
        <v>1288872</v>
      </c>
    </row>
    <row r="127" spans="1:36" ht="31.2" x14ac:dyDescent="0.25">
      <c r="A127" s="113">
        <v>3</v>
      </c>
      <c r="B127" s="154" t="s">
        <v>619</v>
      </c>
      <c r="C127" s="169" t="s">
        <v>620</v>
      </c>
      <c r="D127" s="112" t="s">
        <v>391</v>
      </c>
      <c r="E127" s="113" t="s">
        <v>621</v>
      </c>
      <c r="F127" s="153">
        <v>3.33</v>
      </c>
      <c r="G127" s="113"/>
      <c r="H127" s="157">
        <v>0.2</v>
      </c>
      <c r="I127" s="157"/>
      <c r="J127" s="156"/>
      <c r="K127" s="113"/>
      <c r="L127" s="113"/>
      <c r="M127" s="157">
        <f>(F127+G127+H127+I127)*25%</f>
        <v>0.88250000000000006</v>
      </c>
      <c r="N127" s="171"/>
      <c r="O127" s="190">
        <f t="shared" si="76"/>
        <v>10325.250000000002</v>
      </c>
      <c r="P127" s="112">
        <v>53724</v>
      </c>
      <c r="Q127" s="169">
        <v>45901</v>
      </c>
      <c r="R127" s="113">
        <f>(S127)+(IF(T127=0,0,IF(T127&lt;7,1/2,1)))</f>
        <v>14.5</v>
      </c>
      <c r="S127" s="113">
        <v>14</v>
      </c>
      <c r="T127" s="113">
        <v>1</v>
      </c>
      <c r="U127" s="113">
        <f t="shared" si="104"/>
        <v>257</v>
      </c>
      <c r="V127" s="187">
        <f>(W127)+(IF(X127=0,0,IF(X127&lt;6,1/2,1)))</f>
        <v>21.5</v>
      </c>
      <c r="W127" s="113">
        <v>21</v>
      </c>
      <c r="X127" s="113">
        <v>5</v>
      </c>
      <c r="Y127" s="160"/>
      <c r="Z127" s="161"/>
      <c r="AA127" s="162"/>
      <c r="AB127" s="163"/>
      <c r="AC127" s="177">
        <f>AD127+AE127+AF127</f>
        <v>751161.93750000023</v>
      </c>
      <c r="AD127" s="178">
        <f>0.8*60*O127</f>
        <v>495612.00000000012</v>
      </c>
      <c r="AE127" s="179">
        <f>1.5*O127*R127</f>
        <v>224574.18750000006</v>
      </c>
      <c r="AF127" s="180">
        <f>3*O127</f>
        <v>30975.750000000007</v>
      </c>
      <c r="AG127" s="165">
        <f>ROUND(Y127+Z127,0)</f>
        <v>0</v>
      </c>
      <c r="AH127" s="196">
        <f t="shared" ref="AH127" si="105">ROUND(AC127,0)</f>
        <v>751162</v>
      </c>
      <c r="AI127" s="162"/>
      <c r="AJ127" s="197">
        <f>AG127+AH127+AI127</f>
        <v>751162</v>
      </c>
    </row>
    <row r="128" spans="1:36" ht="15.6" x14ac:dyDescent="0.25">
      <c r="A128" s="113">
        <v>19</v>
      </c>
      <c r="B128" s="115" t="s">
        <v>622</v>
      </c>
      <c r="C128" s="113"/>
      <c r="D128" s="113"/>
      <c r="E128" s="113"/>
      <c r="F128" s="153"/>
      <c r="G128" s="113"/>
      <c r="H128" s="157"/>
      <c r="I128" s="157"/>
      <c r="J128" s="156"/>
      <c r="K128" s="113"/>
      <c r="L128" s="113"/>
      <c r="M128" s="157"/>
      <c r="N128" s="171"/>
      <c r="O128" s="190">
        <f t="shared" si="76"/>
        <v>0</v>
      </c>
      <c r="P128" s="113"/>
      <c r="Q128" s="174"/>
      <c r="R128" s="113"/>
      <c r="S128" s="113"/>
      <c r="T128" s="113"/>
      <c r="U128" s="113">
        <f t="shared" si="104"/>
        <v>0</v>
      </c>
      <c r="V128" s="187"/>
      <c r="W128" s="113"/>
      <c r="X128" s="113"/>
      <c r="Y128" s="427">
        <f>Y129+Y130</f>
        <v>682344</v>
      </c>
      <c r="Z128" s="427">
        <f>Z129+Z130</f>
        <v>514917</v>
      </c>
      <c r="AA128" s="427">
        <f t="shared" ref="AA128:AJ128" si="106">AA129+AA130</f>
        <v>404352</v>
      </c>
      <c r="AB128" s="427">
        <f t="shared" si="106"/>
        <v>110565</v>
      </c>
      <c r="AC128" s="427">
        <f t="shared" si="106"/>
        <v>1089855</v>
      </c>
      <c r="AD128" s="427">
        <f t="shared" si="106"/>
        <v>606528</v>
      </c>
      <c r="AE128" s="427">
        <f t="shared" si="106"/>
        <v>445419</v>
      </c>
      <c r="AF128" s="427">
        <f t="shared" si="106"/>
        <v>37908</v>
      </c>
      <c r="AG128" s="427">
        <f t="shared" si="106"/>
        <v>1197261</v>
      </c>
      <c r="AH128" s="427">
        <f t="shared" si="106"/>
        <v>1089855</v>
      </c>
      <c r="AI128" s="427">
        <f t="shared" si="106"/>
        <v>0</v>
      </c>
      <c r="AJ128" s="211">
        <f t="shared" si="106"/>
        <v>2287116</v>
      </c>
    </row>
    <row r="129" spans="1:36" ht="33.6" customHeight="1" x14ac:dyDescent="0.25">
      <c r="A129" s="113">
        <v>1</v>
      </c>
      <c r="B129" s="154" t="s">
        <v>623</v>
      </c>
      <c r="C129" s="112">
        <v>26098</v>
      </c>
      <c r="D129" s="113" t="s">
        <v>49</v>
      </c>
      <c r="E129" s="113" t="s">
        <v>589</v>
      </c>
      <c r="F129" s="153">
        <v>4.32</v>
      </c>
      <c r="G129" s="113"/>
      <c r="H129" s="157"/>
      <c r="I129" s="157"/>
      <c r="J129" s="156"/>
      <c r="K129" s="113"/>
      <c r="L129" s="113"/>
      <c r="M129" s="157">
        <f>(F129+G129+H129+I129)*25%</f>
        <v>1.08</v>
      </c>
      <c r="N129" s="171"/>
      <c r="O129" s="190">
        <f t="shared" si="76"/>
        <v>12636</v>
      </c>
      <c r="P129" s="112">
        <v>48761</v>
      </c>
      <c r="Q129" s="169">
        <v>45901</v>
      </c>
      <c r="R129" s="113">
        <f>(S129)+(IF(T129=0,0,IF(T129&lt;7,1/2,1)))</f>
        <v>24.5</v>
      </c>
      <c r="S129" s="113">
        <v>24</v>
      </c>
      <c r="T129" s="113">
        <v>6</v>
      </c>
      <c r="U129" s="113">
        <f t="shared" si="104"/>
        <v>94</v>
      </c>
      <c r="V129" s="187">
        <f>(W129)+(IF(X129=0,0,IF(X129&lt;6,1/2,1)))</f>
        <v>8</v>
      </c>
      <c r="W129" s="113">
        <v>7</v>
      </c>
      <c r="X129" s="113">
        <v>10</v>
      </c>
      <c r="Y129" s="160">
        <f>0.9*60*O129</f>
        <v>682344</v>
      </c>
      <c r="Z129" s="161">
        <f>SUM(AA129:AB129)</f>
        <v>514917</v>
      </c>
      <c r="AA129" s="162">
        <f>4*V129*O129</f>
        <v>404352</v>
      </c>
      <c r="AB129" s="163">
        <f>SUM(4*O129)+(0.5*O129*(R129-15))</f>
        <v>110565</v>
      </c>
      <c r="AC129" s="177">
        <f>AD129+AE129+AF129</f>
        <v>0</v>
      </c>
      <c r="AD129" s="178"/>
      <c r="AE129" s="179"/>
      <c r="AF129" s="180"/>
      <c r="AG129" s="165">
        <f>ROUND(Y129+Z129,0)</f>
        <v>1197261</v>
      </c>
      <c r="AH129" s="196">
        <f>AC129</f>
        <v>0</v>
      </c>
      <c r="AI129" s="162"/>
      <c r="AJ129" s="197">
        <f>AG129+AH129+AI129</f>
        <v>1197261</v>
      </c>
    </row>
    <row r="130" spans="1:36" ht="42" customHeight="1" x14ac:dyDescent="0.25">
      <c r="A130" s="113">
        <v>2</v>
      </c>
      <c r="B130" s="154" t="s">
        <v>624</v>
      </c>
      <c r="C130" s="112">
        <v>28233</v>
      </c>
      <c r="D130" s="113" t="s">
        <v>49</v>
      </c>
      <c r="E130" s="113" t="s">
        <v>418</v>
      </c>
      <c r="F130" s="153">
        <v>4.32</v>
      </c>
      <c r="G130" s="113"/>
      <c r="H130" s="157"/>
      <c r="I130" s="157"/>
      <c r="J130" s="156"/>
      <c r="K130" s="113"/>
      <c r="L130" s="113"/>
      <c r="M130" s="157">
        <f>(F130+G130+H130+I130)*25%</f>
        <v>1.08</v>
      </c>
      <c r="N130" s="171"/>
      <c r="O130" s="190">
        <f t="shared" si="76"/>
        <v>12636</v>
      </c>
      <c r="P130" s="112">
        <v>50891</v>
      </c>
      <c r="Q130" s="169">
        <v>45901</v>
      </c>
      <c r="R130" s="113">
        <f>(S130)+(IF(T130=0,0,IF(T130&lt;7,1/2,1)))</f>
        <v>23.5</v>
      </c>
      <c r="S130" s="113">
        <v>23</v>
      </c>
      <c r="T130" s="113">
        <v>1</v>
      </c>
      <c r="U130" s="113">
        <f t="shared" si="104"/>
        <v>164</v>
      </c>
      <c r="V130" s="187">
        <f>(W130)+(IF(X130=0,0,IF(X130&lt;6,1/2,1)))</f>
        <v>14</v>
      </c>
      <c r="W130" s="113">
        <v>13</v>
      </c>
      <c r="X130" s="113">
        <v>8</v>
      </c>
      <c r="Y130" s="160"/>
      <c r="Z130" s="161"/>
      <c r="AA130" s="162"/>
      <c r="AB130" s="163"/>
      <c r="AC130" s="177">
        <f>AD130+AE130+AF130</f>
        <v>1089855</v>
      </c>
      <c r="AD130" s="178">
        <f>0.8*60*O130</f>
        <v>606528</v>
      </c>
      <c r="AE130" s="179">
        <f>1.5*O130*R130</f>
        <v>445419</v>
      </c>
      <c r="AF130" s="180">
        <f>3*O130</f>
        <v>37908</v>
      </c>
      <c r="AG130" s="165">
        <f>ROUND(Y130+Z130,0)</f>
        <v>0</v>
      </c>
      <c r="AH130" s="196">
        <f>AC130</f>
        <v>1089855</v>
      </c>
      <c r="AI130" s="162"/>
      <c r="AJ130" s="197">
        <f>AG130+AH130+AI130</f>
        <v>1089855</v>
      </c>
    </row>
    <row r="131" spans="1:36" s="146" customFormat="1" ht="32.25" customHeight="1" x14ac:dyDescent="0.25">
      <c r="A131" s="181">
        <v>20</v>
      </c>
      <c r="B131" s="182" t="s">
        <v>625</v>
      </c>
      <c r="C131" s="183"/>
      <c r="D131" s="183"/>
      <c r="E131" s="183"/>
      <c r="F131" s="185"/>
      <c r="G131" s="183"/>
      <c r="H131" s="183"/>
      <c r="I131" s="183"/>
      <c r="J131" s="185"/>
      <c r="K131" s="183"/>
      <c r="L131" s="183"/>
      <c r="M131" s="185"/>
      <c r="N131" s="185"/>
      <c r="O131" s="190">
        <f t="shared" si="76"/>
        <v>0</v>
      </c>
      <c r="P131" s="183"/>
      <c r="Q131" s="185"/>
      <c r="R131" s="183"/>
      <c r="S131" s="183"/>
      <c r="T131" s="185"/>
      <c r="U131" s="183"/>
      <c r="V131" s="183"/>
      <c r="W131" s="183"/>
      <c r="X131" s="183"/>
      <c r="Y131" s="181">
        <f>SUM(Y132:Y134)</f>
        <v>0</v>
      </c>
      <c r="Z131" s="181">
        <f>SUM(Z132:Z134)</f>
        <v>0</v>
      </c>
      <c r="AA131" s="181">
        <f t="shared" ref="AA131:AJ131" si="107">SUM(AA132:AA134)</f>
        <v>0</v>
      </c>
      <c r="AB131" s="181">
        <f t="shared" si="107"/>
        <v>0</v>
      </c>
      <c r="AC131" s="181">
        <f t="shared" si="107"/>
        <v>2937848.0625</v>
      </c>
      <c r="AD131" s="181">
        <f t="shared" si="107"/>
        <v>1644084</v>
      </c>
      <c r="AE131" s="181">
        <f t="shared" si="107"/>
        <v>1191008.8125</v>
      </c>
      <c r="AF131" s="181">
        <f t="shared" si="107"/>
        <v>102755.25</v>
      </c>
      <c r="AG131" s="181">
        <f t="shared" si="107"/>
        <v>0</v>
      </c>
      <c r="AH131" s="181">
        <f t="shared" si="107"/>
        <v>2937848</v>
      </c>
      <c r="AI131" s="181">
        <f t="shared" si="107"/>
        <v>0</v>
      </c>
      <c r="AJ131" s="186">
        <f t="shared" si="107"/>
        <v>2937848</v>
      </c>
    </row>
    <row r="132" spans="1:36" s="132" customFormat="1" ht="39" customHeight="1" x14ac:dyDescent="0.25">
      <c r="A132" s="153">
        <v>1</v>
      </c>
      <c r="B132" s="201" t="s">
        <v>626</v>
      </c>
      <c r="C132" s="199">
        <v>26366</v>
      </c>
      <c r="D132" s="199" t="s">
        <v>391</v>
      </c>
      <c r="E132" s="202" t="s">
        <v>627</v>
      </c>
      <c r="F132" s="155">
        <v>2.67</v>
      </c>
      <c r="G132" s="113"/>
      <c r="H132" s="113">
        <v>0.2</v>
      </c>
      <c r="I132" s="156"/>
      <c r="J132" s="156"/>
      <c r="K132" s="157"/>
      <c r="L132" s="157"/>
      <c r="M132" s="157">
        <f>(F132+G132+H132+I132)*25%</f>
        <v>0.71750000000000003</v>
      </c>
      <c r="N132" s="157"/>
      <c r="O132" s="190">
        <f t="shared" si="76"/>
        <v>8394.75</v>
      </c>
      <c r="P132" s="199">
        <v>49035</v>
      </c>
      <c r="Q132" s="174" t="s">
        <v>56</v>
      </c>
      <c r="R132" s="171">
        <f>(S132)+(IF(T132=0,0,IF(T132&lt;7,1/2,1)))</f>
        <v>14.5</v>
      </c>
      <c r="S132" s="113">
        <v>14</v>
      </c>
      <c r="T132" s="113">
        <v>2</v>
      </c>
      <c r="U132" s="113">
        <f>(W132*12)+X132</f>
        <v>103</v>
      </c>
      <c r="V132" s="209">
        <f>(W132)+(IF(X132=0,0,IF(X132&lt;7,1/2,1)))</f>
        <v>9</v>
      </c>
      <c r="W132" s="113">
        <v>8</v>
      </c>
      <c r="X132" s="113">
        <v>7</v>
      </c>
      <c r="Y132" s="160"/>
      <c r="Z132" s="161"/>
      <c r="AA132" s="162"/>
      <c r="AB132" s="163"/>
      <c r="AC132" s="177">
        <f>AD132+AE132+AF132</f>
        <v>610718.0625</v>
      </c>
      <c r="AD132" s="178">
        <f>0.8*60*O132</f>
        <v>402948</v>
      </c>
      <c r="AE132" s="179">
        <f>1.5*O132*R132</f>
        <v>182585.8125</v>
      </c>
      <c r="AF132" s="180">
        <f>3*O132</f>
        <v>25184.25</v>
      </c>
      <c r="AG132" s="165">
        <f>ROUND(Y132+Z132,0)</f>
        <v>0</v>
      </c>
      <c r="AH132" s="165">
        <f>ROUND(AC132,0)</f>
        <v>610718</v>
      </c>
      <c r="AI132" s="166"/>
      <c r="AJ132" s="167">
        <f>AG132+AH132+AI132</f>
        <v>610718</v>
      </c>
    </row>
    <row r="133" spans="1:36" s="119" customFormat="1" ht="39" customHeight="1" x14ac:dyDescent="0.25">
      <c r="A133" s="153">
        <v>2</v>
      </c>
      <c r="B133" s="168" t="s">
        <v>628</v>
      </c>
      <c r="C133" s="169">
        <v>27170</v>
      </c>
      <c r="D133" s="112" t="s">
        <v>391</v>
      </c>
      <c r="E133" s="423" t="s">
        <v>629</v>
      </c>
      <c r="F133" s="113">
        <v>4.32</v>
      </c>
      <c r="G133" s="157"/>
      <c r="H133" s="157">
        <v>0.2</v>
      </c>
      <c r="I133" s="156"/>
      <c r="J133" s="156"/>
      <c r="K133" s="157"/>
      <c r="L133" s="171"/>
      <c r="M133" s="157">
        <f>(F133+G133+H133)*25%</f>
        <v>1.1300000000000001</v>
      </c>
      <c r="N133" s="172"/>
      <c r="O133" s="190">
        <f t="shared" si="76"/>
        <v>13221</v>
      </c>
      <c r="P133" s="112">
        <v>49827</v>
      </c>
      <c r="Q133" s="174" t="s">
        <v>56</v>
      </c>
      <c r="R133" s="171">
        <f>(S133)+(IF(T133=0,0,IF(T133&lt;7,1/2,1)))</f>
        <v>26</v>
      </c>
      <c r="S133" s="113">
        <v>25</v>
      </c>
      <c r="T133" s="113">
        <v>10</v>
      </c>
      <c r="U133" s="113">
        <f>(W133*12)+X133</f>
        <v>129</v>
      </c>
      <c r="V133" s="209">
        <f>(W133)+(IF(X133=0,0,IF(X133&lt;7,1/2,1)))</f>
        <v>11</v>
      </c>
      <c r="W133" s="113">
        <v>10</v>
      </c>
      <c r="X133" s="113">
        <v>9</v>
      </c>
      <c r="Y133" s="160"/>
      <c r="Z133" s="161"/>
      <c r="AA133" s="176"/>
      <c r="AB133" s="176"/>
      <c r="AC133" s="177">
        <f>AD133+AE133+AF133</f>
        <v>1189890</v>
      </c>
      <c r="AD133" s="178">
        <f>0.8*60*O133</f>
        <v>634608</v>
      </c>
      <c r="AE133" s="179">
        <f>1.5*O133*R133</f>
        <v>515619</v>
      </c>
      <c r="AF133" s="180">
        <f>3*O133</f>
        <v>39663</v>
      </c>
      <c r="AG133" s="165">
        <f>ROUND(Y133+Z133,0)</f>
        <v>0</v>
      </c>
      <c r="AH133" s="165">
        <f>ROUND(AC133,0)</f>
        <v>1189890</v>
      </c>
      <c r="AI133" s="165"/>
      <c r="AJ133" s="167">
        <f>AG133+AH133+AI133</f>
        <v>1189890</v>
      </c>
    </row>
    <row r="134" spans="1:36" s="119" customFormat="1" ht="39" customHeight="1" x14ac:dyDescent="0.25">
      <c r="A134" s="153">
        <v>3</v>
      </c>
      <c r="B134" s="168" t="s">
        <v>630</v>
      </c>
      <c r="C134" s="169">
        <v>28793</v>
      </c>
      <c r="D134" s="112" t="s">
        <v>391</v>
      </c>
      <c r="E134" s="423" t="s">
        <v>631</v>
      </c>
      <c r="F134" s="113">
        <v>4.32</v>
      </c>
      <c r="G134" s="157"/>
      <c r="H134" s="157"/>
      <c r="I134" s="156"/>
      <c r="J134" s="156"/>
      <c r="K134" s="157"/>
      <c r="L134" s="171"/>
      <c r="M134" s="157">
        <f>(F134+G134+H134)*25%</f>
        <v>1.08</v>
      </c>
      <c r="N134" s="172"/>
      <c r="O134" s="190">
        <f t="shared" si="76"/>
        <v>12636</v>
      </c>
      <c r="P134" s="112">
        <v>50618</v>
      </c>
      <c r="Q134" s="174" t="s">
        <v>56</v>
      </c>
      <c r="R134" s="171">
        <f>(S134)+(IF(T134=0,0,IF(T134&lt;7,1/2,1)))</f>
        <v>26</v>
      </c>
      <c r="S134" s="113">
        <v>25</v>
      </c>
      <c r="T134" s="113">
        <v>7</v>
      </c>
      <c r="U134" s="113">
        <f>(W134*12)+X134</f>
        <v>158</v>
      </c>
      <c r="V134" s="209">
        <f>(W134)+(IF(X134=0,0,IF(X134&lt;7,1/2,1)))</f>
        <v>13.5</v>
      </c>
      <c r="W134" s="113">
        <v>13</v>
      </c>
      <c r="X134" s="113">
        <v>2</v>
      </c>
      <c r="Y134" s="160"/>
      <c r="Z134" s="161"/>
      <c r="AA134" s="176"/>
      <c r="AB134" s="176"/>
      <c r="AC134" s="177">
        <f>AD134+AE134+AF134</f>
        <v>1137240</v>
      </c>
      <c r="AD134" s="178">
        <f>0.8*60*O134</f>
        <v>606528</v>
      </c>
      <c r="AE134" s="179">
        <f>1.5*O134*R134</f>
        <v>492804</v>
      </c>
      <c r="AF134" s="180">
        <f>3*O134</f>
        <v>37908</v>
      </c>
      <c r="AG134" s="165">
        <f>ROUND(Y134+Z134,0)</f>
        <v>0</v>
      </c>
      <c r="AH134" s="165">
        <f>ROUND(AC134,0)</f>
        <v>1137240</v>
      </c>
      <c r="AI134" s="165"/>
      <c r="AJ134" s="167">
        <f>AG134+AH134+AI134</f>
        <v>1137240</v>
      </c>
    </row>
    <row r="135" spans="1:36" s="146" customFormat="1" ht="32.25" customHeight="1" x14ac:dyDescent="0.25">
      <c r="A135" s="181">
        <v>21</v>
      </c>
      <c r="B135" s="182" t="s">
        <v>632</v>
      </c>
      <c r="C135" s="183"/>
      <c r="D135" s="183"/>
      <c r="E135" s="183"/>
      <c r="F135" s="185"/>
      <c r="G135" s="183"/>
      <c r="H135" s="183"/>
      <c r="I135" s="183"/>
      <c r="J135" s="185"/>
      <c r="K135" s="183"/>
      <c r="L135" s="183"/>
      <c r="M135" s="185"/>
      <c r="N135" s="185"/>
      <c r="O135" s="190">
        <f t="shared" si="76"/>
        <v>0</v>
      </c>
      <c r="P135" s="183"/>
      <c r="Q135" s="185"/>
      <c r="R135" s="183"/>
      <c r="S135" s="183"/>
      <c r="T135" s="185"/>
      <c r="U135" s="183"/>
      <c r="V135" s="183"/>
      <c r="W135" s="183"/>
      <c r="X135" s="183"/>
      <c r="Y135" s="181">
        <f>SUM(Y136:Y139)</f>
        <v>557563.50000000012</v>
      </c>
      <c r="Z135" s="181">
        <f t="shared" ref="Z135:AJ135" si="108">SUM(Z136:Z139)</f>
        <v>400103.43750000006</v>
      </c>
      <c r="AA135" s="181">
        <f t="shared" si="108"/>
        <v>330408.00000000006</v>
      </c>
      <c r="AB135" s="181">
        <f t="shared" si="108"/>
        <v>69695.437500000015</v>
      </c>
      <c r="AC135" s="181">
        <f t="shared" si="108"/>
        <v>2734465.5</v>
      </c>
      <c r="AD135" s="181">
        <f t="shared" si="108"/>
        <v>1597752</v>
      </c>
      <c r="AE135" s="181">
        <f t="shared" si="108"/>
        <v>1036854</v>
      </c>
      <c r="AF135" s="181">
        <f t="shared" si="108"/>
        <v>99859.5</v>
      </c>
      <c r="AG135" s="181">
        <f t="shared" si="108"/>
        <v>957667</v>
      </c>
      <c r="AH135" s="181">
        <f t="shared" si="108"/>
        <v>2734466</v>
      </c>
      <c r="AI135" s="181">
        <f t="shared" si="108"/>
        <v>0</v>
      </c>
      <c r="AJ135" s="186">
        <f t="shared" si="108"/>
        <v>3692133</v>
      </c>
    </row>
    <row r="136" spans="1:36" s="119" customFormat="1" ht="39" customHeight="1" x14ac:dyDescent="0.25">
      <c r="A136" s="153">
        <v>1</v>
      </c>
      <c r="B136" s="168" t="s">
        <v>633</v>
      </c>
      <c r="C136" s="169">
        <v>26046</v>
      </c>
      <c r="D136" s="112" t="s">
        <v>448</v>
      </c>
      <c r="E136" s="423" t="s">
        <v>634</v>
      </c>
      <c r="F136" s="113">
        <v>3.33</v>
      </c>
      <c r="G136" s="157"/>
      <c r="H136" s="157">
        <v>0.2</v>
      </c>
      <c r="I136" s="156"/>
      <c r="J136" s="156"/>
      <c r="K136" s="157"/>
      <c r="L136" s="171"/>
      <c r="M136" s="157">
        <f>(F136+G136+H136)*25%</f>
        <v>0.88250000000000006</v>
      </c>
      <c r="N136" s="172"/>
      <c r="O136" s="190">
        <f t="shared" si="76"/>
        <v>10325.250000000002</v>
      </c>
      <c r="P136" s="112">
        <v>48700</v>
      </c>
      <c r="Q136" s="174" t="s">
        <v>56</v>
      </c>
      <c r="R136" s="171">
        <f>(S136)+(IF(T136=0,0,IF(T136&lt;7,1/2,1)))</f>
        <v>20.5</v>
      </c>
      <c r="S136" s="113">
        <v>20</v>
      </c>
      <c r="T136" s="113">
        <v>1</v>
      </c>
      <c r="U136" s="113">
        <f>(W136*12)+X136</f>
        <v>92</v>
      </c>
      <c r="V136" s="209">
        <f>(W136)+(IF(X136=0,0,IF(X136&lt;7,1/2,1)))</f>
        <v>8</v>
      </c>
      <c r="W136" s="113">
        <v>7</v>
      </c>
      <c r="X136" s="113">
        <v>8</v>
      </c>
      <c r="Y136" s="160">
        <f>0.9*60*O136</f>
        <v>557563.50000000012</v>
      </c>
      <c r="Z136" s="161">
        <f>SUM(AA136:AB136)</f>
        <v>400103.43750000006</v>
      </c>
      <c r="AA136" s="162">
        <f>4*V136*O136</f>
        <v>330408.00000000006</v>
      </c>
      <c r="AB136" s="163">
        <f>SUM(4*O136)+(0.5*(R136-15)*O136)</f>
        <v>69695.437500000015</v>
      </c>
      <c r="AC136" s="164"/>
      <c r="AD136" s="178"/>
      <c r="AE136" s="179"/>
      <c r="AF136" s="180"/>
      <c r="AG136" s="165">
        <f>ROUND(Y136+Z136,0)</f>
        <v>957667</v>
      </c>
      <c r="AH136" s="165">
        <f>ROUND(AC136,0)</f>
        <v>0</v>
      </c>
      <c r="AI136" s="165"/>
      <c r="AJ136" s="167">
        <f>AG136+AH136+AI136</f>
        <v>957667</v>
      </c>
    </row>
    <row r="137" spans="1:36" s="119" customFormat="1" ht="39" customHeight="1" x14ac:dyDescent="0.25">
      <c r="A137" s="153">
        <v>2</v>
      </c>
      <c r="B137" s="168" t="s">
        <v>635</v>
      </c>
      <c r="C137" s="169">
        <v>27867</v>
      </c>
      <c r="D137" s="112" t="s">
        <v>636</v>
      </c>
      <c r="E137" s="423" t="s">
        <v>634</v>
      </c>
      <c r="F137" s="113">
        <v>4.0599999999999996</v>
      </c>
      <c r="G137" s="157"/>
      <c r="H137" s="157"/>
      <c r="I137" s="156"/>
      <c r="J137" s="156"/>
      <c r="K137" s="157"/>
      <c r="L137" s="171"/>
      <c r="M137" s="157">
        <f>(F137+G137+H137)*25%</f>
        <v>1.0149999999999999</v>
      </c>
      <c r="N137" s="172"/>
      <c r="O137" s="190">
        <f t="shared" si="76"/>
        <v>11875.499999999998</v>
      </c>
      <c r="P137" s="112">
        <v>50526</v>
      </c>
      <c r="Q137" s="174" t="s">
        <v>56</v>
      </c>
      <c r="R137" s="171">
        <f>(S137)+(IF(T137=0,0,IF(T137&lt;7,1/2,1)))</f>
        <v>23.5</v>
      </c>
      <c r="S137" s="113">
        <v>23</v>
      </c>
      <c r="T137" s="113">
        <v>5</v>
      </c>
      <c r="U137" s="113">
        <f>(W137*12)+X137</f>
        <v>152</v>
      </c>
      <c r="V137" s="209">
        <f>(W137)+(IF(X137=0,0,IF(X137&lt;7,1/2,1)))</f>
        <v>13</v>
      </c>
      <c r="W137" s="113">
        <v>12</v>
      </c>
      <c r="X137" s="113">
        <v>8</v>
      </c>
      <c r="Y137" s="160"/>
      <c r="Z137" s="161"/>
      <c r="AA137" s="176"/>
      <c r="AB137" s="176"/>
      <c r="AC137" s="177">
        <f>AD137+AE137+AF137</f>
        <v>1024261.8749999998</v>
      </c>
      <c r="AD137" s="178">
        <f>0.8*60*O137</f>
        <v>570023.99999999988</v>
      </c>
      <c r="AE137" s="179">
        <f>1.5*O137*R137</f>
        <v>418611.37499999994</v>
      </c>
      <c r="AF137" s="180">
        <f>3*O137</f>
        <v>35626.499999999993</v>
      </c>
      <c r="AG137" s="165">
        <f>ROUND(Y137+Z137,0)</f>
        <v>0</v>
      </c>
      <c r="AH137" s="165">
        <f>ROUND(AC137,0)</f>
        <v>1024262</v>
      </c>
      <c r="AI137" s="165"/>
      <c r="AJ137" s="167">
        <f>AG137+AH137+AI137</f>
        <v>1024262</v>
      </c>
    </row>
    <row r="138" spans="1:36" s="119" customFormat="1" ht="39" customHeight="1" x14ac:dyDescent="0.25">
      <c r="A138" s="153">
        <v>3</v>
      </c>
      <c r="B138" s="168" t="s">
        <v>637</v>
      </c>
      <c r="C138" s="169">
        <v>31388</v>
      </c>
      <c r="D138" s="112" t="s">
        <v>420</v>
      </c>
      <c r="E138" s="423" t="s">
        <v>634</v>
      </c>
      <c r="F138" s="113">
        <v>3.66</v>
      </c>
      <c r="G138" s="157"/>
      <c r="H138" s="157"/>
      <c r="I138" s="156"/>
      <c r="J138" s="156"/>
      <c r="K138" s="157"/>
      <c r="L138" s="171"/>
      <c r="M138" s="157">
        <f>(F138+G138+H138)*25%</f>
        <v>0.91500000000000004</v>
      </c>
      <c r="N138" s="172"/>
      <c r="O138" s="190">
        <f t="shared" si="76"/>
        <v>10705.5</v>
      </c>
      <c r="P138" s="112">
        <v>54058</v>
      </c>
      <c r="Q138" s="174" t="s">
        <v>56</v>
      </c>
      <c r="R138" s="171">
        <f>(S138)+(IF(T138=0,0,IF(T138&lt;7,1/2,1)))</f>
        <v>17.5</v>
      </c>
      <c r="S138" s="113">
        <v>17</v>
      </c>
      <c r="T138" s="113">
        <v>2</v>
      </c>
      <c r="U138" s="113">
        <f>(W138*12)+X138</f>
        <v>268</v>
      </c>
      <c r="V138" s="209">
        <f>(W138)+(IF(X138=0,0,IF(X138&lt;7,1/2,1)))</f>
        <v>22.5</v>
      </c>
      <c r="W138" s="113">
        <v>22</v>
      </c>
      <c r="X138" s="113">
        <v>4</v>
      </c>
      <c r="Y138" s="160"/>
      <c r="Z138" s="161"/>
      <c r="AA138" s="176"/>
      <c r="AB138" s="176"/>
      <c r="AC138" s="177">
        <f>AD138+AE138+AF138</f>
        <v>826999.875</v>
      </c>
      <c r="AD138" s="178">
        <f>0.8*60*O138</f>
        <v>513864</v>
      </c>
      <c r="AE138" s="179">
        <f>1.5*O138*R138</f>
        <v>281019.375</v>
      </c>
      <c r="AF138" s="180">
        <f>3*O138</f>
        <v>32116.5</v>
      </c>
      <c r="AG138" s="165">
        <f>ROUND(Y138+Z138,0)</f>
        <v>0</v>
      </c>
      <c r="AH138" s="165">
        <f>ROUND(AC138,0)</f>
        <v>827000</v>
      </c>
      <c r="AI138" s="165"/>
      <c r="AJ138" s="167">
        <f>AG138+AH138+AI138</f>
        <v>827000</v>
      </c>
    </row>
    <row r="139" spans="1:36" s="119" customFormat="1" ht="39" customHeight="1" x14ac:dyDescent="0.25">
      <c r="A139" s="153">
        <v>4</v>
      </c>
      <c r="B139" s="168" t="s">
        <v>638</v>
      </c>
      <c r="C139" s="169">
        <v>29646</v>
      </c>
      <c r="D139" s="112" t="s">
        <v>639</v>
      </c>
      <c r="E139" s="423" t="s">
        <v>634</v>
      </c>
      <c r="F139" s="113">
        <v>3.66</v>
      </c>
      <c r="G139" s="157"/>
      <c r="H139" s="157"/>
      <c r="I139" s="156"/>
      <c r="J139" s="156"/>
      <c r="K139" s="157"/>
      <c r="L139" s="171"/>
      <c r="M139" s="157">
        <f>(F139+G139+H139)*25%</f>
        <v>0.91500000000000004</v>
      </c>
      <c r="N139" s="172"/>
      <c r="O139" s="190">
        <f t="shared" si="76"/>
        <v>10705.5</v>
      </c>
      <c r="P139" s="112">
        <v>51592</v>
      </c>
      <c r="Q139" s="174" t="s">
        <v>56</v>
      </c>
      <c r="R139" s="171">
        <f>(S139)+(IF(T139=0,0,IF(T139&lt;7,1/2,1)))</f>
        <v>21</v>
      </c>
      <c r="S139" s="113">
        <v>20</v>
      </c>
      <c r="T139" s="113">
        <v>10</v>
      </c>
      <c r="U139" s="113">
        <f>(W139*12)+X139</f>
        <v>187</v>
      </c>
      <c r="V139" s="209">
        <f>(W139)+(IF(X139=0,0,IF(X139&lt;7,1/2,1)))</f>
        <v>16</v>
      </c>
      <c r="W139" s="113">
        <v>15</v>
      </c>
      <c r="X139" s="113">
        <v>7</v>
      </c>
      <c r="Y139" s="160"/>
      <c r="Z139" s="161"/>
      <c r="AA139" s="176"/>
      <c r="AB139" s="176"/>
      <c r="AC139" s="177">
        <f>AD139+AE139+AF139</f>
        <v>883203.75</v>
      </c>
      <c r="AD139" s="178">
        <f>0.8*60*O139</f>
        <v>513864</v>
      </c>
      <c r="AE139" s="179">
        <f>1.5*O139*R139</f>
        <v>337223.25</v>
      </c>
      <c r="AF139" s="180">
        <f>3*O139</f>
        <v>32116.5</v>
      </c>
      <c r="AG139" s="165">
        <f>ROUND(Y139+Z139,0)</f>
        <v>0</v>
      </c>
      <c r="AH139" s="165">
        <f>ROUND(AC139,0)</f>
        <v>883204</v>
      </c>
      <c r="AI139" s="165"/>
      <c r="AJ139" s="167">
        <f>AG139+AH139+AI139</f>
        <v>883204</v>
      </c>
    </row>
    <row r="140" spans="1:36" s="146" customFormat="1" ht="39" customHeight="1" x14ac:dyDescent="0.25">
      <c r="A140" s="181">
        <v>22</v>
      </c>
      <c r="B140" s="182" t="s">
        <v>640</v>
      </c>
      <c r="C140" s="183"/>
      <c r="D140" s="183"/>
      <c r="E140" s="183"/>
      <c r="F140" s="185"/>
      <c r="G140" s="183"/>
      <c r="H140" s="183"/>
      <c r="I140" s="183"/>
      <c r="J140" s="185"/>
      <c r="K140" s="183"/>
      <c r="L140" s="183"/>
      <c r="M140" s="185"/>
      <c r="N140" s="185"/>
      <c r="O140" s="190">
        <f t="shared" si="76"/>
        <v>0</v>
      </c>
      <c r="P140" s="183"/>
      <c r="Q140" s="185"/>
      <c r="R140" s="183"/>
      <c r="S140" s="183"/>
      <c r="T140" s="185"/>
      <c r="U140" s="183"/>
      <c r="V140" s="183"/>
      <c r="W140" s="183"/>
      <c r="X140" s="183"/>
      <c r="Y140" s="181">
        <f>Y141</f>
        <v>0</v>
      </c>
      <c r="Z140" s="181">
        <f t="shared" ref="Z140:AJ140" si="109">Z141</f>
        <v>0</v>
      </c>
      <c r="AA140" s="181">
        <f t="shared" si="109"/>
        <v>0</v>
      </c>
      <c r="AB140" s="181">
        <f t="shared" si="109"/>
        <v>0</v>
      </c>
      <c r="AC140" s="181">
        <f t="shared" si="109"/>
        <v>1303326.1800000002</v>
      </c>
      <c r="AD140" s="181">
        <f t="shared" si="109"/>
        <v>786913.92</v>
      </c>
      <c r="AE140" s="181">
        <f t="shared" si="109"/>
        <v>467230.14</v>
      </c>
      <c r="AF140" s="181">
        <f t="shared" si="109"/>
        <v>49182.12</v>
      </c>
      <c r="AG140" s="181">
        <f t="shared" si="109"/>
        <v>0</v>
      </c>
      <c r="AH140" s="181">
        <f t="shared" si="109"/>
        <v>1303326</v>
      </c>
      <c r="AI140" s="181">
        <f t="shared" si="109"/>
        <v>0</v>
      </c>
      <c r="AJ140" s="186">
        <f t="shared" si="109"/>
        <v>1303326</v>
      </c>
    </row>
    <row r="141" spans="1:36" s="119" customFormat="1" ht="68.25" customHeight="1" x14ac:dyDescent="0.25">
      <c r="A141" s="153">
        <v>1</v>
      </c>
      <c r="B141" s="168" t="s">
        <v>641</v>
      </c>
      <c r="C141" s="169">
        <v>28934</v>
      </c>
      <c r="D141" s="112" t="s">
        <v>49</v>
      </c>
      <c r="E141" s="423" t="s">
        <v>642</v>
      </c>
      <c r="F141" s="113">
        <v>4.32</v>
      </c>
      <c r="G141" s="157"/>
      <c r="H141" s="157">
        <v>0.2</v>
      </c>
      <c r="I141" s="156"/>
      <c r="J141" s="156"/>
      <c r="K141" s="157"/>
      <c r="L141" s="171"/>
      <c r="M141" s="157">
        <f>(F141+G141+H141)*25%</f>
        <v>1.1300000000000001</v>
      </c>
      <c r="N141" s="214">
        <f>(F141+G141+H141)*30%</f>
        <v>1.3560000000000001</v>
      </c>
      <c r="O141" s="190">
        <f t="shared" si="76"/>
        <v>16394.04</v>
      </c>
      <c r="P141" s="112">
        <v>50861</v>
      </c>
      <c r="Q141" s="174" t="s">
        <v>56</v>
      </c>
      <c r="R141" s="171">
        <f>(S141)+(IF(T141=0,0,IF(T141&lt;7,1/2,1)))</f>
        <v>19</v>
      </c>
      <c r="S141" s="113">
        <v>18</v>
      </c>
      <c r="T141" s="113">
        <v>7</v>
      </c>
      <c r="U141" s="113">
        <f>(W141*12)+X141</f>
        <v>163</v>
      </c>
      <c r="V141" s="209">
        <f>(W141)+(IF(X141=0,0,IF(X141&lt;7,1/2,1)))</f>
        <v>14</v>
      </c>
      <c r="W141" s="113">
        <v>13</v>
      </c>
      <c r="X141" s="113">
        <v>7</v>
      </c>
      <c r="Y141" s="160"/>
      <c r="Z141" s="161"/>
      <c r="AA141" s="176"/>
      <c r="AB141" s="176"/>
      <c r="AC141" s="177">
        <f>AD141+AE141+AF141</f>
        <v>1303326.1800000002</v>
      </c>
      <c r="AD141" s="178">
        <f>0.8*60*O141</f>
        <v>786913.92</v>
      </c>
      <c r="AE141" s="179">
        <f>1.5*O141*R141</f>
        <v>467230.14</v>
      </c>
      <c r="AF141" s="180">
        <f>3*O141</f>
        <v>49182.12</v>
      </c>
      <c r="AG141" s="165">
        <f>ROUND(Y141+Z141,0)</f>
        <v>0</v>
      </c>
      <c r="AH141" s="165">
        <f>ROUND(AC141,0)</f>
        <v>1303326</v>
      </c>
      <c r="AI141" s="165"/>
      <c r="AJ141" s="167">
        <f>AG141+AH141+AI141</f>
        <v>1303326</v>
      </c>
    </row>
    <row r="142" spans="1:36" s="146" customFormat="1" ht="32.25" customHeight="1" x14ac:dyDescent="0.25">
      <c r="A142" s="181">
        <v>23</v>
      </c>
      <c r="B142" s="182" t="s">
        <v>643</v>
      </c>
      <c r="C142" s="183"/>
      <c r="D142" s="183"/>
      <c r="E142" s="183"/>
      <c r="F142" s="185"/>
      <c r="G142" s="183"/>
      <c r="H142" s="183"/>
      <c r="I142" s="183"/>
      <c r="J142" s="185"/>
      <c r="K142" s="183"/>
      <c r="L142" s="183"/>
      <c r="M142" s="185"/>
      <c r="N142" s="185"/>
      <c r="O142" s="190">
        <f t="shared" si="76"/>
        <v>0</v>
      </c>
      <c r="P142" s="183"/>
      <c r="Q142" s="185"/>
      <c r="R142" s="183"/>
      <c r="S142" s="183"/>
      <c r="T142" s="185"/>
      <c r="U142" s="183"/>
      <c r="V142" s="183"/>
      <c r="W142" s="183"/>
      <c r="X142" s="183"/>
      <c r="Y142" s="181">
        <f>Y143</f>
        <v>0</v>
      </c>
      <c r="Z142" s="181">
        <f>Z143</f>
        <v>0</v>
      </c>
      <c r="AA142" s="181">
        <f t="shared" ref="AA142:AJ142" si="110">AA143</f>
        <v>0</v>
      </c>
      <c r="AB142" s="181">
        <f t="shared" si="110"/>
        <v>0</v>
      </c>
      <c r="AC142" s="181">
        <f t="shared" si="110"/>
        <v>962836.87500000023</v>
      </c>
      <c r="AD142" s="181">
        <f t="shared" si="110"/>
        <v>560196.00000000012</v>
      </c>
      <c r="AE142" s="181">
        <f t="shared" si="110"/>
        <v>367628.62500000006</v>
      </c>
      <c r="AF142" s="181">
        <f t="shared" si="110"/>
        <v>35012.250000000007</v>
      </c>
      <c r="AG142" s="181">
        <f t="shared" si="110"/>
        <v>0</v>
      </c>
      <c r="AH142" s="181">
        <f t="shared" si="110"/>
        <v>962837</v>
      </c>
      <c r="AI142" s="181">
        <f t="shared" si="110"/>
        <v>0</v>
      </c>
      <c r="AJ142" s="186">
        <f t="shared" si="110"/>
        <v>962837</v>
      </c>
    </row>
    <row r="143" spans="1:36" s="119" customFormat="1" ht="95.25" customHeight="1" x14ac:dyDescent="0.25">
      <c r="A143" s="153">
        <v>1</v>
      </c>
      <c r="B143" s="168" t="s">
        <v>644</v>
      </c>
      <c r="C143" s="169">
        <v>29390</v>
      </c>
      <c r="D143" s="112" t="s">
        <v>49</v>
      </c>
      <c r="E143" s="423" t="s">
        <v>403</v>
      </c>
      <c r="F143" s="113">
        <v>3.99</v>
      </c>
      <c r="G143" s="157"/>
      <c r="H143" s="157"/>
      <c r="I143" s="156"/>
      <c r="J143" s="156"/>
      <c r="K143" s="157"/>
      <c r="L143" s="171"/>
      <c r="M143" s="157">
        <f>(F143+G143+H143)*25%</f>
        <v>0.99750000000000005</v>
      </c>
      <c r="N143" s="172"/>
      <c r="O143" s="190">
        <f t="shared" si="76"/>
        <v>11670.750000000002</v>
      </c>
      <c r="P143" s="112">
        <v>52048</v>
      </c>
      <c r="Q143" s="174" t="s">
        <v>56</v>
      </c>
      <c r="R143" s="171">
        <f>(S143)+(IF(T143=0,0,IF(T143&lt;7,1/2,1)))</f>
        <v>21</v>
      </c>
      <c r="S143" s="113">
        <v>20</v>
      </c>
      <c r="T143" s="113">
        <v>9</v>
      </c>
      <c r="U143" s="113">
        <f>(W143*12)+X143</f>
        <v>202</v>
      </c>
      <c r="V143" s="209">
        <f>(W143)+(IF(X143=0,0,IF(X143&lt;7,1/2,1)))</f>
        <v>17</v>
      </c>
      <c r="W143" s="113">
        <v>16</v>
      </c>
      <c r="X143" s="113">
        <v>10</v>
      </c>
      <c r="Y143" s="160"/>
      <c r="Z143" s="161"/>
      <c r="AA143" s="176"/>
      <c r="AB143" s="176"/>
      <c r="AC143" s="177">
        <f>AD143+AE143+AF143</f>
        <v>962836.87500000023</v>
      </c>
      <c r="AD143" s="178">
        <f>0.8*60*O143</f>
        <v>560196.00000000012</v>
      </c>
      <c r="AE143" s="179">
        <f>1.5*O143*R143</f>
        <v>367628.62500000006</v>
      </c>
      <c r="AF143" s="180">
        <f>3*O143</f>
        <v>35012.250000000007</v>
      </c>
      <c r="AG143" s="165">
        <f>ROUND(Y143+Z143,0)</f>
        <v>0</v>
      </c>
      <c r="AH143" s="165">
        <f>ROUND(AC143,0)</f>
        <v>962837</v>
      </c>
      <c r="AI143" s="165"/>
      <c r="AJ143" s="167">
        <f>AG143+AH143+AI143</f>
        <v>962837</v>
      </c>
    </row>
    <row r="144" spans="1:36" s="146" customFormat="1" ht="32.25" customHeight="1" x14ac:dyDescent="0.25">
      <c r="A144" s="181">
        <v>24</v>
      </c>
      <c r="B144" s="182" t="s">
        <v>645</v>
      </c>
      <c r="C144" s="183"/>
      <c r="D144" s="183"/>
      <c r="E144" s="183"/>
      <c r="F144" s="185"/>
      <c r="G144" s="183"/>
      <c r="H144" s="183"/>
      <c r="I144" s="183"/>
      <c r="J144" s="185"/>
      <c r="K144" s="183"/>
      <c r="L144" s="183"/>
      <c r="M144" s="185"/>
      <c r="N144" s="185"/>
      <c r="O144" s="190">
        <f t="shared" si="76"/>
        <v>0</v>
      </c>
      <c r="P144" s="183"/>
      <c r="Q144" s="185"/>
      <c r="R144" s="183"/>
      <c r="S144" s="183"/>
      <c r="T144" s="185"/>
      <c r="U144" s="183"/>
      <c r="V144" s="183"/>
      <c r="W144" s="183"/>
      <c r="X144" s="183"/>
      <c r="Y144" s="181">
        <f t="shared" ref="Y144:AJ144" si="111">SUM(Y145:Y147)</f>
        <v>1307826</v>
      </c>
      <c r="Z144" s="181">
        <f t="shared" si="111"/>
        <v>1020181.5</v>
      </c>
      <c r="AA144" s="181">
        <f t="shared" si="111"/>
        <v>736749</v>
      </c>
      <c r="AB144" s="181">
        <f t="shared" si="111"/>
        <v>283432.5</v>
      </c>
      <c r="AC144" s="181">
        <f t="shared" si="111"/>
        <v>1099332</v>
      </c>
      <c r="AD144" s="181">
        <f t="shared" si="111"/>
        <v>606528</v>
      </c>
      <c r="AE144" s="181">
        <f t="shared" si="111"/>
        <v>454896</v>
      </c>
      <c r="AF144" s="181">
        <f t="shared" si="111"/>
        <v>37908</v>
      </c>
      <c r="AG144" s="181">
        <f t="shared" si="111"/>
        <v>2328008</v>
      </c>
      <c r="AH144" s="181">
        <f t="shared" si="111"/>
        <v>1099332</v>
      </c>
      <c r="AI144" s="181">
        <f t="shared" si="111"/>
        <v>0</v>
      </c>
      <c r="AJ144" s="186">
        <f t="shared" si="111"/>
        <v>3427340</v>
      </c>
    </row>
    <row r="145" spans="1:36" s="132" customFormat="1" ht="39" customHeight="1" x14ac:dyDescent="0.25">
      <c r="A145" s="153">
        <v>1</v>
      </c>
      <c r="B145" s="201" t="s">
        <v>646</v>
      </c>
      <c r="C145" s="199">
        <v>25555</v>
      </c>
      <c r="D145" s="199" t="s">
        <v>448</v>
      </c>
      <c r="E145" s="202" t="s">
        <v>647</v>
      </c>
      <c r="F145" s="155">
        <v>4.32</v>
      </c>
      <c r="G145" s="113"/>
      <c r="H145" s="113">
        <v>0.3</v>
      </c>
      <c r="I145" s="156"/>
      <c r="J145" s="156"/>
      <c r="K145" s="157"/>
      <c r="L145" s="157"/>
      <c r="M145" s="157">
        <f>(F145+G145+H145+I145)*25%</f>
        <v>1.155</v>
      </c>
      <c r="N145" s="157"/>
      <c r="O145" s="190">
        <f t="shared" si="76"/>
        <v>13513.5</v>
      </c>
      <c r="P145" s="199">
        <v>48214</v>
      </c>
      <c r="Q145" s="174" t="s">
        <v>56</v>
      </c>
      <c r="R145" s="171">
        <f>(S145)+(IF(T145=0,0,IF(T145&lt;7,1/2,1)))</f>
        <v>33.5</v>
      </c>
      <c r="S145" s="113">
        <v>33</v>
      </c>
      <c r="T145" s="113">
        <v>6</v>
      </c>
      <c r="U145" s="113">
        <f>(W145*12)+X145</f>
        <v>76</v>
      </c>
      <c r="V145" s="209">
        <f>(W145)+(IF(X145=0,0,IF(X145&lt;7,1/2,1)))</f>
        <v>6.5</v>
      </c>
      <c r="W145" s="113">
        <v>6</v>
      </c>
      <c r="X145" s="113">
        <v>4</v>
      </c>
      <c r="Y145" s="160">
        <f>0.9*60*O145</f>
        <v>729729</v>
      </c>
      <c r="Z145" s="161">
        <f>SUM(AA145:AB145)</f>
        <v>530404.875</v>
      </c>
      <c r="AA145" s="162">
        <f>4*V145*O145</f>
        <v>351351</v>
      </c>
      <c r="AB145" s="163">
        <f>SUM(4*O145)+(0.5*(R145-15)*O145)</f>
        <v>179053.875</v>
      </c>
      <c r="AC145" s="164"/>
      <c r="AD145" s="164"/>
      <c r="AE145" s="164"/>
      <c r="AF145" s="164"/>
      <c r="AG145" s="165">
        <f>ROUND(Y145+Z145,0)</f>
        <v>1260134</v>
      </c>
      <c r="AH145" s="165">
        <v>0</v>
      </c>
      <c r="AI145" s="166"/>
      <c r="AJ145" s="167">
        <f>AG145+AH145+AI145</f>
        <v>1260134</v>
      </c>
    </row>
    <row r="146" spans="1:36" s="132" customFormat="1" ht="39" customHeight="1" x14ac:dyDescent="0.25">
      <c r="A146" s="153">
        <v>2</v>
      </c>
      <c r="B146" s="201" t="s">
        <v>648</v>
      </c>
      <c r="C146" s="199">
        <v>26417</v>
      </c>
      <c r="D146" s="199" t="s">
        <v>512</v>
      </c>
      <c r="E146" s="202" t="s">
        <v>649</v>
      </c>
      <c r="F146" s="155">
        <v>3.66</v>
      </c>
      <c r="G146" s="113"/>
      <c r="H146" s="113"/>
      <c r="I146" s="156"/>
      <c r="J146" s="156"/>
      <c r="K146" s="157"/>
      <c r="L146" s="157"/>
      <c r="M146" s="157">
        <f>(F146+G146+H146+I146)*25%</f>
        <v>0.91500000000000004</v>
      </c>
      <c r="N146" s="157"/>
      <c r="O146" s="190">
        <f t="shared" si="76"/>
        <v>10705.5</v>
      </c>
      <c r="P146" s="199">
        <v>49065</v>
      </c>
      <c r="Q146" s="174" t="s">
        <v>56</v>
      </c>
      <c r="R146" s="171">
        <f>(S146)+(IF(T146=0,0,IF(T146&lt;7,1/2,1)))</f>
        <v>26.5</v>
      </c>
      <c r="S146" s="113">
        <v>26</v>
      </c>
      <c r="T146" s="113">
        <v>2</v>
      </c>
      <c r="U146" s="113">
        <f>(W146*12)+X146</f>
        <v>104</v>
      </c>
      <c r="V146" s="209">
        <f>(W146)+(IF(X146=0,0,IF(X146&lt;7,1/2,1)))</f>
        <v>9</v>
      </c>
      <c r="W146" s="113">
        <v>8</v>
      </c>
      <c r="X146" s="113">
        <v>8</v>
      </c>
      <c r="Y146" s="160">
        <f>0.9*60*O146</f>
        <v>578097</v>
      </c>
      <c r="Z146" s="161">
        <f>SUM(AA146:AB146)</f>
        <v>489776.625</v>
      </c>
      <c r="AA146" s="162">
        <f>4*V146*O146</f>
        <v>385398</v>
      </c>
      <c r="AB146" s="163">
        <f>SUM(4*O146)+(0.5*(R146-15)*O146)</f>
        <v>104378.625</v>
      </c>
      <c r="AC146" s="164"/>
      <c r="AD146" s="164"/>
      <c r="AE146" s="164"/>
      <c r="AF146" s="164"/>
      <c r="AG146" s="165">
        <f>ROUND(Y146+Z146,0)</f>
        <v>1067874</v>
      </c>
      <c r="AH146" s="165">
        <v>0</v>
      </c>
      <c r="AI146" s="166"/>
      <c r="AJ146" s="167">
        <f>AG146+AH146+AI146</f>
        <v>1067874</v>
      </c>
    </row>
    <row r="147" spans="1:36" s="119" customFormat="1" ht="47.4" customHeight="1" x14ac:dyDescent="0.25">
      <c r="A147" s="153">
        <v>3</v>
      </c>
      <c r="B147" s="168" t="s">
        <v>650</v>
      </c>
      <c r="C147" s="169">
        <v>29143</v>
      </c>
      <c r="D147" s="112" t="s">
        <v>512</v>
      </c>
      <c r="E147" s="423" t="s">
        <v>651</v>
      </c>
      <c r="F147" s="113">
        <v>4.32</v>
      </c>
      <c r="G147" s="157"/>
      <c r="H147" s="157"/>
      <c r="I147" s="156"/>
      <c r="J147" s="156"/>
      <c r="K147" s="157"/>
      <c r="L147" s="171"/>
      <c r="M147" s="157">
        <f>(F147+G147+H147)*25%</f>
        <v>1.08</v>
      </c>
      <c r="N147" s="172"/>
      <c r="O147" s="190">
        <f t="shared" si="76"/>
        <v>12636</v>
      </c>
      <c r="P147" s="112">
        <v>51075</v>
      </c>
      <c r="Q147" s="174" t="s">
        <v>56</v>
      </c>
      <c r="R147" s="171">
        <f>(S147)+(IF(T147=0,0,IF(T147&lt;7,1/2,1)))</f>
        <v>24</v>
      </c>
      <c r="S147" s="113">
        <v>23</v>
      </c>
      <c r="T147" s="113">
        <v>8</v>
      </c>
      <c r="U147" s="113">
        <f>(W147*12)+X147</f>
        <v>170</v>
      </c>
      <c r="V147" s="209">
        <f>(W147)+(IF(X147=0,0,IF(X147&lt;7,1/2,1)))</f>
        <v>14.5</v>
      </c>
      <c r="W147" s="113">
        <v>14</v>
      </c>
      <c r="X147" s="113">
        <v>2</v>
      </c>
      <c r="Y147" s="160"/>
      <c r="Z147" s="161"/>
      <c r="AA147" s="176"/>
      <c r="AB147" s="176"/>
      <c r="AC147" s="177">
        <f>AD147+AE147+AF147</f>
        <v>1099332</v>
      </c>
      <c r="AD147" s="178">
        <f>0.8*60*O147</f>
        <v>606528</v>
      </c>
      <c r="AE147" s="179">
        <f>1.5*O147*R147</f>
        <v>454896</v>
      </c>
      <c r="AF147" s="180">
        <f>3*O147</f>
        <v>37908</v>
      </c>
      <c r="AG147" s="165">
        <f>ROUND(Y147+Z147,0)</f>
        <v>0</v>
      </c>
      <c r="AH147" s="165">
        <f>ROUND(AC147,0)</f>
        <v>1099332</v>
      </c>
      <c r="AI147" s="165"/>
      <c r="AJ147" s="167">
        <f>AG147+AH147+AI147</f>
        <v>1099332</v>
      </c>
    </row>
    <row r="148" spans="1:36" s="146" customFormat="1" ht="32.25" customHeight="1" x14ac:dyDescent="0.25">
      <c r="A148" s="181">
        <v>25</v>
      </c>
      <c r="B148" s="182" t="s">
        <v>652</v>
      </c>
      <c r="C148" s="183"/>
      <c r="D148" s="183"/>
      <c r="E148" s="183"/>
      <c r="F148" s="185"/>
      <c r="G148" s="183"/>
      <c r="H148" s="183"/>
      <c r="I148" s="183"/>
      <c r="J148" s="185"/>
      <c r="K148" s="183"/>
      <c r="L148" s="183"/>
      <c r="M148" s="185"/>
      <c r="N148" s="185"/>
      <c r="O148" s="190">
        <f t="shared" si="76"/>
        <v>0</v>
      </c>
      <c r="P148" s="183"/>
      <c r="Q148" s="185"/>
      <c r="R148" s="183"/>
      <c r="S148" s="183"/>
      <c r="T148" s="185"/>
      <c r="U148" s="183"/>
      <c r="V148" s="183"/>
      <c r="W148" s="183"/>
      <c r="X148" s="183"/>
      <c r="Y148" s="181">
        <f>SUM(Y149:Y151)</f>
        <v>1786414.5</v>
      </c>
      <c r="Z148" s="181">
        <f>SUM(Z149:Z151)</f>
        <v>1229026.5</v>
      </c>
      <c r="AA148" s="181">
        <f t="shared" ref="AA148:AJ148" si="112">SUM(AA149:AA151)</f>
        <v>953667</v>
      </c>
      <c r="AB148" s="181">
        <f t="shared" si="112"/>
        <v>275359.5</v>
      </c>
      <c r="AC148" s="181">
        <f t="shared" si="112"/>
        <v>0</v>
      </c>
      <c r="AD148" s="181">
        <f t="shared" si="112"/>
        <v>0</v>
      </c>
      <c r="AE148" s="181">
        <f t="shared" si="112"/>
        <v>0</v>
      </c>
      <c r="AF148" s="181">
        <f t="shared" si="112"/>
        <v>0</v>
      </c>
      <c r="AG148" s="181">
        <f t="shared" si="112"/>
        <v>3015441</v>
      </c>
      <c r="AH148" s="181">
        <f t="shared" si="112"/>
        <v>0</v>
      </c>
      <c r="AI148" s="181">
        <f t="shared" si="112"/>
        <v>0</v>
      </c>
      <c r="AJ148" s="186">
        <f t="shared" si="112"/>
        <v>3015441</v>
      </c>
    </row>
    <row r="149" spans="1:36" s="132" customFormat="1" ht="39" customHeight="1" x14ac:dyDescent="0.25">
      <c r="A149" s="153">
        <v>1</v>
      </c>
      <c r="B149" s="201" t="s">
        <v>637</v>
      </c>
      <c r="C149" s="199">
        <v>26556</v>
      </c>
      <c r="D149" s="199" t="s">
        <v>49</v>
      </c>
      <c r="E149" s="202" t="s">
        <v>653</v>
      </c>
      <c r="F149" s="155">
        <v>3.33</v>
      </c>
      <c r="G149" s="113"/>
      <c r="H149" s="113"/>
      <c r="I149" s="156"/>
      <c r="J149" s="156"/>
      <c r="K149" s="157"/>
      <c r="L149" s="157"/>
      <c r="M149" s="157">
        <f>(F149+G149+H149+I149)*25%</f>
        <v>0.83250000000000002</v>
      </c>
      <c r="N149" s="157"/>
      <c r="O149" s="190">
        <f t="shared" si="76"/>
        <v>9740.25</v>
      </c>
      <c r="P149" s="199">
        <v>49218</v>
      </c>
      <c r="Q149" s="174" t="s">
        <v>56</v>
      </c>
      <c r="R149" s="171">
        <f>(S149)+(IF(T149=0,0,IF(T149&lt;7,1/2,1)))</f>
        <v>24</v>
      </c>
      <c r="S149" s="113">
        <v>23</v>
      </c>
      <c r="T149" s="113">
        <v>10</v>
      </c>
      <c r="U149" s="113">
        <f>(W149*12)+X149</f>
        <v>109</v>
      </c>
      <c r="V149" s="209">
        <f>(W149)+(IF(X149=0,0,IF(X149&lt;7,1/2,1)))</f>
        <v>9.5</v>
      </c>
      <c r="W149" s="113">
        <v>9</v>
      </c>
      <c r="X149" s="113">
        <v>1</v>
      </c>
      <c r="Y149" s="160">
        <f>0.9*60*O149</f>
        <v>525973.5</v>
      </c>
      <c r="Z149" s="161">
        <f>SUM(AA149:AB149)</f>
        <v>452921.625</v>
      </c>
      <c r="AA149" s="162">
        <f>4*V149*O149</f>
        <v>370129.5</v>
      </c>
      <c r="AB149" s="163">
        <f>SUM(4*O149)+(0.5*(R149-15)*O149)</f>
        <v>82792.125</v>
      </c>
      <c r="AC149" s="164"/>
      <c r="AD149" s="164"/>
      <c r="AE149" s="164"/>
      <c r="AF149" s="164"/>
      <c r="AG149" s="165">
        <f>ROUND(Y149+Z149,0)</f>
        <v>978895</v>
      </c>
      <c r="AH149" s="165">
        <v>0</v>
      </c>
      <c r="AI149" s="166"/>
      <c r="AJ149" s="167">
        <f>AG149+AH149+AI149</f>
        <v>978895</v>
      </c>
    </row>
    <row r="150" spans="1:36" s="132" customFormat="1" ht="39" customHeight="1" x14ac:dyDescent="0.25">
      <c r="A150" s="153">
        <v>2</v>
      </c>
      <c r="B150" s="201" t="s">
        <v>654</v>
      </c>
      <c r="C150" s="199">
        <v>25682</v>
      </c>
      <c r="D150" s="199" t="s">
        <v>49</v>
      </c>
      <c r="E150" s="202" t="s">
        <v>655</v>
      </c>
      <c r="F150" s="155">
        <v>3.99</v>
      </c>
      <c r="G150" s="113"/>
      <c r="H150" s="113"/>
      <c r="I150" s="156"/>
      <c r="J150" s="156"/>
      <c r="K150" s="157"/>
      <c r="L150" s="157"/>
      <c r="M150" s="157">
        <f>(F150+G150+H150+I150)*25%</f>
        <v>0.99750000000000005</v>
      </c>
      <c r="N150" s="157"/>
      <c r="O150" s="190">
        <f t="shared" si="76"/>
        <v>11670.750000000002</v>
      </c>
      <c r="P150" s="199">
        <v>48335</v>
      </c>
      <c r="Q150" s="174" t="s">
        <v>56</v>
      </c>
      <c r="R150" s="171">
        <f>(S150)+(IF(T150=0,0,IF(T150&lt;7,1/2,1)))</f>
        <v>24</v>
      </c>
      <c r="S150" s="113">
        <v>23</v>
      </c>
      <c r="T150" s="113">
        <v>8</v>
      </c>
      <c r="U150" s="113">
        <f>(W150*12)+X150</f>
        <v>80</v>
      </c>
      <c r="V150" s="209">
        <f>(W150)+(IF(X150=0,0,IF(X150&lt;7,1/2,1)))</f>
        <v>7</v>
      </c>
      <c r="W150" s="113">
        <v>6</v>
      </c>
      <c r="X150" s="113">
        <v>8</v>
      </c>
      <c r="Y150" s="160">
        <f>0.9*60*O150</f>
        <v>630220.50000000012</v>
      </c>
      <c r="Z150" s="161">
        <f>SUM(AA150:AB150)</f>
        <v>425982.37500000006</v>
      </c>
      <c r="AA150" s="162">
        <f>4*V150*O150</f>
        <v>326781.00000000006</v>
      </c>
      <c r="AB150" s="163">
        <f>SUM(4*O150)+(0.5*(R150-15)*O150)</f>
        <v>99201.375000000015</v>
      </c>
      <c r="AC150" s="164"/>
      <c r="AD150" s="164"/>
      <c r="AE150" s="164"/>
      <c r="AF150" s="164"/>
      <c r="AG150" s="165">
        <f>ROUND(Y150+Z150,0)</f>
        <v>1056203</v>
      </c>
      <c r="AH150" s="165">
        <v>0</v>
      </c>
      <c r="AI150" s="166"/>
      <c r="AJ150" s="167">
        <f>AG150+AH150+AI150</f>
        <v>1056203</v>
      </c>
    </row>
    <row r="151" spans="1:36" s="132" customFormat="1" ht="39" customHeight="1" x14ac:dyDescent="0.25">
      <c r="A151" s="153">
        <v>3</v>
      </c>
      <c r="B151" s="201" t="s">
        <v>656</v>
      </c>
      <c r="C151" s="199">
        <v>25132</v>
      </c>
      <c r="D151" s="199" t="s">
        <v>49</v>
      </c>
      <c r="E151" s="202" t="s">
        <v>657</v>
      </c>
      <c r="F151" s="155">
        <v>3.99</v>
      </c>
      <c r="G151" s="113"/>
      <c r="H151" s="113"/>
      <c r="I151" s="156"/>
      <c r="J151" s="156"/>
      <c r="K151" s="157"/>
      <c r="L151" s="157"/>
      <c r="M151" s="157">
        <f>(F151+G151+H151+I151)*25%</f>
        <v>0.99750000000000005</v>
      </c>
      <c r="N151" s="157"/>
      <c r="O151" s="190">
        <f t="shared" si="76"/>
        <v>11670.750000000002</v>
      </c>
      <c r="P151" s="199">
        <v>47788</v>
      </c>
      <c r="Q151" s="174" t="s">
        <v>56</v>
      </c>
      <c r="R151" s="171">
        <f>(S151)+(IF(T151=0,0,IF(T151&lt;7,1/2,1)))</f>
        <v>23</v>
      </c>
      <c r="S151" s="113">
        <v>23</v>
      </c>
      <c r="T151" s="113">
        <v>0</v>
      </c>
      <c r="U151" s="113">
        <f>(W151*12)+X151</f>
        <v>62</v>
      </c>
      <c r="V151" s="209">
        <f>(W151)+(IF(X151=0,0,IF(X151&lt;7,1/2,1)))</f>
        <v>5.5</v>
      </c>
      <c r="W151" s="113">
        <v>5</v>
      </c>
      <c r="X151" s="113">
        <v>2</v>
      </c>
      <c r="Y151" s="160">
        <f>0.9*60*O151</f>
        <v>630220.50000000012</v>
      </c>
      <c r="Z151" s="161">
        <f>SUM(AA151:AB151)</f>
        <v>350122.50000000006</v>
      </c>
      <c r="AA151" s="162">
        <f>4*V151*O151</f>
        <v>256756.50000000003</v>
      </c>
      <c r="AB151" s="163">
        <f>SUM(4*O151)+(0.5*(R151-15)*O151)</f>
        <v>93366.000000000015</v>
      </c>
      <c r="AC151" s="164"/>
      <c r="AD151" s="164"/>
      <c r="AE151" s="164"/>
      <c r="AF151" s="164"/>
      <c r="AG151" s="165">
        <f>ROUND(Y151+Z151,0)</f>
        <v>980343</v>
      </c>
      <c r="AH151" s="165">
        <v>0</v>
      </c>
      <c r="AI151" s="166"/>
      <c r="AJ151" s="167">
        <f>AG151+AH151+AI151</f>
        <v>980343</v>
      </c>
    </row>
    <row r="152" spans="1:36" s="146" customFormat="1" ht="32.25" customHeight="1" x14ac:dyDescent="0.25">
      <c r="A152" s="181">
        <v>26</v>
      </c>
      <c r="B152" s="182" t="s">
        <v>658</v>
      </c>
      <c r="C152" s="183"/>
      <c r="D152" s="183"/>
      <c r="E152" s="183"/>
      <c r="F152" s="185"/>
      <c r="G152" s="183"/>
      <c r="H152" s="183"/>
      <c r="I152" s="183"/>
      <c r="J152" s="185"/>
      <c r="K152" s="183"/>
      <c r="L152" s="183"/>
      <c r="M152" s="185"/>
      <c r="N152" s="185"/>
      <c r="O152" s="190">
        <f t="shared" si="76"/>
        <v>0</v>
      </c>
      <c r="P152" s="183"/>
      <c r="Q152" s="185"/>
      <c r="R152" s="183"/>
      <c r="S152" s="183"/>
      <c r="T152" s="185"/>
      <c r="U152" s="183"/>
      <c r="V152" s="183"/>
      <c r="W152" s="183"/>
      <c r="X152" s="183"/>
      <c r="Y152" s="181">
        <f>SUM(Y153:Y157)</f>
        <v>1889413.6949999998</v>
      </c>
      <c r="Z152" s="181">
        <f>SUM(Z153:Z157)</f>
        <v>1628427.9375</v>
      </c>
      <c r="AA152" s="181">
        <f t="shared" ref="AA152:AJ152" si="113">SUM(AA153:AA157)</f>
        <v>1247979.915</v>
      </c>
      <c r="AB152" s="181">
        <f t="shared" si="113"/>
        <v>380448.02249999996</v>
      </c>
      <c r="AC152" s="181">
        <f t="shared" si="113"/>
        <v>2141802</v>
      </c>
      <c r="AD152" s="181">
        <f t="shared" si="113"/>
        <v>1213056</v>
      </c>
      <c r="AE152" s="181">
        <f t="shared" si="113"/>
        <v>852930</v>
      </c>
      <c r="AF152" s="181">
        <f t="shared" si="113"/>
        <v>75816</v>
      </c>
      <c r="AG152" s="181">
        <f t="shared" si="113"/>
        <v>3517842</v>
      </c>
      <c r="AH152" s="181">
        <f t="shared" si="113"/>
        <v>2141802</v>
      </c>
      <c r="AI152" s="181">
        <f t="shared" si="113"/>
        <v>0</v>
      </c>
      <c r="AJ152" s="186">
        <f t="shared" si="113"/>
        <v>5659644</v>
      </c>
    </row>
    <row r="153" spans="1:36" s="132" customFormat="1" ht="39" customHeight="1" x14ac:dyDescent="0.25">
      <c r="A153" s="153">
        <v>1</v>
      </c>
      <c r="B153" s="201" t="s">
        <v>659</v>
      </c>
      <c r="C153" s="199">
        <v>26619</v>
      </c>
      <c r="D153" s="199" t="s">
        <v>660</v>
      </c>
      <c r="E153" s="202" t="s">
        <v>661</v>
      </c>
      <c r="F153" s="155">
        <v>4.03</v>
      </c>
      <c r="G153" s="113"/>
      <c r="H153" s="113"/>
      <c r="I153" s="155">
        <f>F153*7%</f>
        <v>0.28210000000000002</v>
      </c>
      <c r="J153" s="156"/>
      <c r="K153" s="157"/>
      <c r="L153" s="157"/>
      <c r="M153" s="157">
        <f>(F153+G153+H153+I153)*25%</f>
        <v>1.078025</v>
      </c>
      <c r="N153" s="157"/>
      <c r="O153" s="190">
        <f t="shared" si="76"/>
        <v>12612.8925</v>
      </c>
      <c r="P153" s="199">
        <v>49279</v>
      </c>
      <c r="Q153" s="174" t="s">
        <v>56</v>
      </c>
      <c r="R153" s="171">
        <f>(S153)+(IF(T153=0,0,IF(T153&lt;7,1/2,1)))</f>
        <v>31</v>
      </c>
      <c r="S153" s="113">
        <v>30</v>
      </c>
      <c r="T153" s="113">
        <v>9</v>
      </c>
      <c r="U153" s="113">
        <f>(W153*12)+X153</f>
        <v>111</v>
      </c>
      <c r="V153" s="209">
        <f>(W153)+(IF(X153=0,0,IF(X153&lt;7,1/2,1)))</f>
        <v>9.5</v>
      </c>
      <c r="W153" s="113">
        <v>9</v>
      </c>
      <c r="X153" s="113">
        <v>3</v>
      </c>
      <c r="Y153" s="160">
        <f>0.9*60*O153</f>
        <v>681096.19499999995</v>
      </c>
      <c r="Z153" s="161">
        <f>SUM(AA153:AB153)</f>
        <v>630644.625</v>
      </c>
      <c r="AA153" s="162">
        <f>4*V153*O153</f>
        <v>479289.91499999998</v>
      </c>
      <c r="AB153" s="163">
        <f>SUM(4*O153)+(0.5*(R153-15)*O153)</f>
        <v>151354.71</v>
      </c>
      <c r="AC153" s="164"/>
      <c r="AD153" s="164"/>
      <c r="AE153" s="164"/>
      <c r="AF153" s="164"/>
      <c r="AG153" s="165">
        <f>ROUND(Y153+Z153,0)</f>
        <v>1311741</v>
      </c>
      <c r="AH153" s="165">
        <v>0</v>
      </c>
      <c r="AI153" s="166"/>
      <c r="AJ153" s="167">
        <f>AG153+AH153+AI153</f>
        <v>1311741</v>
      </c>
    </row>
    <row r="154" spans="1:36" s="132" customFormat="1" ht="39" customHeight="1" x14ac:dyDescent="0.25">
      <c r="A154" s="153">
        <v>2</v>
      </c>
      <c r="B154" s="201" t="s">
        <v>662</v>
      </c>
      <c r="C154" s="199">
        <v>26757</v>
      </c>
      <c r="D154" s="199" t="s">
        <v>49</v>
      </c>
      <c r="E154" s="202" t="s">
        <v>663</v>
      </c>
      <c r="F154" s="155">
        <v>3.33</v>
      </c>
      <c r="G154" s="113"/>
      <c r="H154" s="113"/>
      <c r="I154" s="156"/>
      <c r="J154" s="156"/>
      <c r="K154" s="157"/>
      <c r="L154" s="157"/>
      <c r="M154" s="157">
        <f>(F154+G154+H154+I154)*25%</f>
        <v>0.83250000000000002</v>
      </c>
      <c r="N154" s="157"/>
      <c r="O154" s="190">
        <f t="shared" si="76"/>
        <v>9740.25</v>
      </c>
      <c r="P154" s="199">
        <v>49430</v>
      </c>
      <c r="Q154" s="174" t="s">
        <v>56</v>
      </c>
      <c r="R154" s="171">
        <f>(S154)+(IF(T154=0,0,IF(T154&lt;7,1/2,1)))</f>
        <v>25.5</v>
      </c>
      <c r="S154" s="113">
        <v>25</v>
      </c>
      <c r="T154" s="113">
        <v>3</v>
      </c>
      <c r="U154" s="113">
        <f>(W154*12)+X154</f>
        <v>116</v>
      </c>
      <c r="V154" s="209">
        <f>(W154)+(IF(X154=0,0,IF(X154&lt;7,1/2,1)))</f>
        <v>10</v>
      </c>
      <c r="W154" s="113">
        <v>9</v>
      </c>
      <c r="X154" s="113">
        <v>8</v>
      </c>
      <c r="Y154" s="160">
        <f>0.9*60*O154</f>
        <v>525973.5</v>
      </c>
      <c r="Z154" s="161">
        <f>SUM(AA154:AB154)</f>
        <v>479707.3125</v>
      </c>
      <c r="AA154" s="162">
        <f>4*V154*O154</f>
        <v>389610</v>
      </c>
      <c r="AB154" s="163">
        <f>SUM(4*O154)+(0.5*(R154-15)*O154)</f>
        <v>90097.3125</v>
      </c>
      <c r="AC154" s="164"/>
      <c r="AD154" s="164"/>
      <c r="AE154" s="164"/>
      <c r="AF154" s="164"/>
      <c r="AG154" s="165">
        <f>ROUND(Y154+Z154,0)</f>
        <v>1005681</v>
      </c>
      <c r="AH154" s="165">
        <v>0</v>
      </c>
      <c r="AI154" s="166"/>
      <c r="AJ154" s="167">
        <f>AG154+AH154+AI154</f>
        <v>1005681</v>
      </c>
    </row>
    <row r="155" spans="1:36" s="132" customFormat="1" ht="39" customHeight="1" x14ac:dyDescent="0.25">
      <c r="A155" s="153">
        <v>3</v>
      </c>
      <c r="B155" s="201" t="s">
        <v>664</v>
      </c>
      <c r="C155" s="199">
        <v>25971</v>
      </c>
      <c r="D155" s="199" t="s">
        <v>49</v>
      </c>
      <c r="E155" s="202" t="s">
        <v>665</v>
      </c>
      <c r="F155" s="155">
        <v>4.32</v>
      </c>
      <c r="G155" s="113"/>
      <c r="H155" s="113"/>
      <c r="I155" s="156"/>
      <c r="J155" s="156"/>
      <c r="K155" s="157"/>
      <c r="L155" s="157"/>
      <c r="M155" s="157">
        <f>(F155+G155+H155+I155)*25%</f>
        <v>1.08</v>
      </c>
      <c r="N155" s="157"/>
      <c r="O155" s="190">
        <f t="shared" ref="O155:O219" si="114">SUM(F155:N155)*2340</f>
        <v>12636</v>
      </c>
      <c r="P155" s="199">
        <v>48639</v>
      </c>
      <c r="Q155" s="174" t="s">
        <v>56</v>
      </c>
      <c r="R155" s="171">
        <f>(S155)+(IF(T155=0,0,IF(T155&lt;7,1/2,1)))</f>
        <v>29</v>
      </c>
      <c r="S155" s="113">
        <v>29</v>
      </c>
      <c r="T155" s="113">
        <v>0</v>
      </c>
      <c r="U155" s="113">
        <f>(W155*12)+X155</f>
        <v>90</v>
      </c>
      <c r="V155" s="209">
        <f>(W155)+(IF(X155=0,0,IF(X155&lt;7,1/2,1)))</f>
        <v>7.5</v>
      </c>
      <c r="W155" s="113">
        <v>7</v>
      </c>
      <c r="X155" s="113">
        <v>6</v>
      </c>
      <c r="Y155" s="160">
        <f>0.9*60*O155</f>
        <v>682344</v>
      </c>
      <c r="Z155" s="161">
        <f>SUM(AA155:AB155)</f>
        <v>518076</v>
      </c>
      <c r="AA155" s="162">
        <f>4*V155*O155</f>
        <v>379080</v>
      </c>
      <c r="AB155" s="163">
        <f>SUM(4*O155)+(0.5*(R155-15)*O155)</f>
        <v>138996</v>
      </c>
      <c r="AC155" s="164"/>
      <c r="AD155" s="164"/>
      <c r="AE155" s="164"/>
      <c r="AF155" s="164"/>
      <c r="AG155" s="165">
        <f>ROUND(Y155+Z155,0)</f>
        <v>1200420</v>
      </c>
      <c r="AH155" s="165">
        <v>0</v>
      </c>
      <c r="AI155" s="166"/>
      <c r="AJ155" s="167">
        <f>AG155+AH155+AI155</f>
        <v>1200420</v>
      </c>
    </row>
    <row r="156" spans="1:36" s="119" customFormat="1" ht="54.6" customHeight="1" x14ac:dyDescent="0.25">
      <c r="A156" s="153">
        <v>4</v>
      </c>
      <c r="B156" s="168" t="s">
        <v>666</v>
      </c>
      <c r="C156" s="169">
        <v>27265</v>
      </c>
      <c r="D156" s="199" t="s">
        <v>49</v>
      </c>
      <c r="E156" s="423" t="s">
        <v>667</v>
      </c>
      <c r="F156" s="113">
        <v>4.32</v>
      </c>
      <c r="G156" s="157"/>
      <c r="H156" s="157"/>
      <c r="I156" s="156"/>
      <c r="J156" s="156"/>
      <c r="K156" s="157"/>
      <c r="L156" s="171"/>
      <c r="M156" s="157">
        <f>(F156+G156+H156)*25%</f>
        <v>1.08</v>
      </c>
      <c r="N156" s="172"/>
      <c r="O156" s="190">
        <f t="shared" si="114"/>
        <v>12636</v>
      </c>
      <c r="P156" s="112" t="s">
        <v>668</v>
      </c>
      <c r="Q156" s="174" t="s">
        <v>56</v>
      </c>
      <c r="R156" s="171">
        <f>(S156)+(IF(T156=0,0,IF(T156&lt;7,1/2,1)))</f>
        <v>21</v>
      </c>
      <c r="S156" s="113">
        <v>20</v>
      </c>
      <c r="T156" s="113">
        <v>8</v>
      </c>
      <c r="U156" s="113">
        <f>(W156*12)+X156</f>
        <v>132</v>
      </c>
      <c r="V156" s="209">
        <f>(W156)+(IF(X156=0,0,IF(X156&lt;7,1/2,1)))</f>
        <v>11</v>
      </c>
      <c r="W156" s="113">
        <v>11</v>
      </c>
      <c r="X156" s="113">
        <v>0</v>
      </c>
      <c r="Y156" s="160"/>
      <c r="Z156" s="161"/>
      <c r="AA156" s="176"/>
      <c r="AB156" s="176"/>
      <c r="AC156" s="177">
        <f>AD156+AE156+AF156</f>
        <v>1042470</v>
      </c>
      <c r="AD156" s="178">
        <f>0.8*60*O156</f>
        <v>606528</v>
      </c>
      <c r="AE156" s="179">
        <f>1.5*O156*R156</f>
        <v>398034</v>
      </c>
      <c r="AF156" s="180">
        <f>3*O156</f>
        <v>37908</v>
      </c>
      <c r="AG156" s="165">
        <f>ROUND(Y156+Z156,0)</f>
        <v>0</v>
      </c>
      <c r="AH156" s="165">
        <f>ROUND(AC156,0)</f>
        <v>1042470</v>
      </c>
      <c r="AI156" s="165"/>
      <c r="AJ156" s="167">
        <f>AG156+AH156+AI156</f>
        <v>1042470</v>
      </c>
    </row>
    <row r="157" spans="1:36" s="119" customFormat="1" ht="52.95" customHeight="1" x14ac:dyDescent="0.25">
      <c r="A157" s="153">
        <v>5</v>
      </c>
      <c r="B157" s="168" t="s">
        <v>669</v>
      </c>
      <c r="C157" s="169">
        <v>28724</v>
      </c>
      <c r="D157" s="199" t="s">
        <v>49</v>
      </c>
      <c r="E157" s="423" t="s">
        <v>665</v>
      </c>
      <c r="F157" s="113">
        <v>4.32</v>
      </c>
      <c r="G157" s="157"/>
      <c r="H157" s="157"/>
      <c r="I157" s="156"/>
      <c r="J157" s="156"/>
      <c r="K157" s="157"/>
      <c r="L157" s="171"/>
      <c r="M157" s="157">
        <f>(F157+G157+H157)*25%</f>
        <v>1.08</v>
      </c>
      <c r="N157" s="172"/>
      <c r="O157" s="190">
        <f t="shared" si="114"/>
        <v>12636</v>
      </c>
      <c r="P157" s="112">
        <v>50649</v>
      </c>
      <c r="Q157" s="174" t="s">
        <v>56</v>
      </c>
      <c r="R157" s="171">
        <f>(S157)+(IF(T157=0,0,IF(T157&lt;7,1/2,1)))</f>
        <v>24</v>
      </c>
      <c r="S157" s="113">
        <v>23</v>
      </c>
      <c r="T157" s="113">
        <v>10</v>
      </c>
      <c r="U157" s="113">
        <f>(W157*12)+X157</f>
        <v>156</v>
      </c>
      <c r="V157" s="209">
        <f>(W157)+(IF(X157=0,0,IF(X157&lt;7,1/2,1)))</f>
        <v>13</v>
      </c>
      <c r="W157" s="113">
        <v>13</v>
      </c>
      <c r="X157" s="113">
        <v>0</v>
      </c>
      <c r="Y157" s="160"/>
      <c r="Z157" s="161"/>
      <c r="AA157" s="176"/>
      <c r="AB157" s="176"/>
      <c r="AC157" s="177">
        <f>AD157+AE157+AF157</f>
        <v>1099332</v>
      </c>
      <c r="AD157" s="178">
        <f>0.8*60*O157</f>
        <v>606528</v>
      </c>
      <c r="AE157" s="179">
        <f>1.5*O157*R157</f>
        <v>454896</v>
      </c>
      <c r="AF157" s="180">
        <f>3*O157</f>
        <v>37908</v>
      </c>
      <c r="AG157" s="165">
        <f>ROUND(Y157+Z157,0)</f>
        <v>0</v>
      </c>
      <c r="AH157" s="165">
        <f>ROUND(AC157,0)</f>
        <v>1099332</v>
      </c>
      <c r="AI157" s="165"/>
      <c r="AJ157" s="167">
        <f>AG157+AH157+AI157</f>
        <v>1099332</v>
      </c>
    </row>
    <row r="158" spans="1:36" s="146" customFormat="1" ht="32.25" customHeight="1" x14ac:dyDescent="0.25">
      <c r="A158" s="181">
        <v>27</v>
      </c>
      <c r="B158" s="182" t="s">
        <v>670</v>
      </c>
      <c r="C158" s="183"/>
      <c r="D158" s="183"/>
      <c r="E158" s="183"/>
      <c r="F158" s="185"/>
      <c r="G158" s="183"/>
      <c r="H158" s="183"/>
      <c r="I158" s="183"/>
      <c r="J158" s="185"/>
      <c r="K158" s="183"/>
      <c r="L158" s="183"/>
      <c r="M158" s="185"/>
      <c r="N158" s="185"/>
      <c r="O158" s="190">
        <f t="shared" si="114"/>
        <v>0</v>
      </c>
      <c r="P158" s="183"/>
      <c r="Q158" s="185"/>
      <c r="R158" s="183"/>
      <c r="S158" s="183"/>
      <c r="T158" s="185"/>
      <c r="U158" s="183"/>
      <c r="V158" s="183"/>
      <c r="W158" s="183"/>
      <c r="X158" s="183"/>
      <c r="Y158" s="181">
        <f t="shared" ref="Y158:Z158" si="115">SUM(Y159:Y162)</f>
        <v>1312564.5</v>
      </c>
      <c r="Z158" s="181">
        <f t="shared" si="115"/>
        <v>979070.625</v>
      </c>
      <c r="AA158" s="181">
        <f>SUM(AA159:AA162)</f>
        <v>777816</v>
      </c>
      <c r="AB158" s="181">
        <f t="shared" ref="AB158:AJ158" si="116">SUM(AB159:AB162)</f>
        <v>201254.625</v>
      </c>
      <c r="AC158" s="181">
        <f t="shared" si="116"/>
        <v>1658826</v>
      </c>
      <c r="AD158" s="181">
        <f t="shared" si="116"/>
        <v>1009476</v>
      </c>
      <c r="AE158" s="181">
        <f t="shared" si="116"/>
        <v>586257.75</v>
      </c>
      <c r="AF158" s="181">
        <f t="shared" si="116"/>
        <v>63092.25</v>
      </c>
      <c r="AG158" s="181">
        <f t="shared" si="116"/>
        <v>2291635</v>
      </c>
      <c r="AH158" s="181">
        <f t="shared" si="116"/>
        <v>1658826</v>
      </c>
      <c r="AI158" s="181">
        <f t="shared" si="116"/>
        <v>0</v>
      </c>
      <c r="AJ158" s="186">
        <f t="shared" si="116"/>
        <v>3950461</v>
      </c>
    </row>
    <row r="159" spans="1:36" s="132" customFormat="1" ht="39" customHeight="1" x14ac:dyDescent="0.25">
      <c r="A159" s="153">
        <v>1</v>
      </c>
      <c r="B159" s="201" t="s">
        <v>671</v>
      </c>
      <c r="C159" s="199">
        <v>26079</v>
      </c>
      <c r="D159" s="199" t="s">
        <v>49</v>
      </c>
      <c r="E159" s="202" t="s">
        <v>387</v>
      </c>
      <c r="F159" s="155">
        <v>3.99</v>
      </c>
      <c r="G159" s="113"/>
      <c r="H159" s="113"/>
      <c r="I159" s="156"/>
      <c r="J159" s="156"/>
      <c r="K159" s="157"/>
      <c r="L159" s="157"/>
      <c r="M159" s="157">
        <f>(F159+G159+H159+I159)*25%</f>
        <v>0.99750000000000005</v>
      </c>
      <c r="N159" s="157"/>
      <c r="O159" s="190">
        <f t="shared" si="114"/>
        <v>11670.750000000002</v>
      </c>
      <c r="P159" s="199">
        <v>48731</v>
      </c>
      <c r="Q159" s="174" t="s">
        <v>56</v>
      </c>
      <c r="R159" s="171">
        <f>(S159)+(IF(T159=0,0,IF(T159&lt;7,1/2,1)))</f>
        <v>22</v>
      </c>
      <c r="S159" s="113">
        <v>21</v>
      </c>
      <c r="T159" s="113">
        <v>9</v>
      </c>
      <c r="U159" s="113">
        <f>(W159*12)+X159</f>
        <v>93</v>
      </c>
      <c r="V159" s="209">
        <f>(W159)+(IF(X159=0,0,IF(X159&lt;7,1/2,1)))</f>
        <v>8</v>
      </c>
      <c r="W159" s="113">
        <v>7</v>
      </c>
      <c r="X159" s="113">
        <v>9</v>
      </c>
      <c r="Y159" s="160">
        <f>0.9*60*O159</f>
        <v>630220.50000000012</v>
      </c>
      <c r="Z159" s="161">
        <f>SUM(AA159:AB159)</f>
        <v>460994.62500000006</v>
      </c>
      <c r="AA159" s="162">
        <f>4*V159*O159</f>
        <v>373464.00000000006</v>
      </c>
      <c r="AB159" s="163">
        <f>SUM(4*O159)+(0.5*(R159-15)*O159)</f>
        <v>87530.625000000015</v>
      </c>
      <c r="AC159" s="164"/>
      <c r="AD159" s="164"/>
      <c r="AE159" s="164"/>
      <c r="AF159" s="164"/>
      <c r="AG159" s="165">
        <f>ROUND(Y159+Z159,0)</f>
        <v>1091215</v>
      </c>
      <c r="AH159" s="165">
        <v>0</v>
      </c>
      <c r="AI159" s="166"/>
      <c r="AJ159" s="167">
        <f>AG159+AH159+AI159</f>
        <v>1091215</v>
      </c>
    </row>
    <row r="160" spans="1:36" s="132" customFormat="1" ht="39" customHeight="1" x14ac:dyDescent="0.25">
      <c r="A160" s="153">
        <v>2</v>
      </c>
      <c r="B160" s="201" t="s">
        <v>672</v>
      </c>
      <c r="C160" s="199">
        <v>26074</v>
      </c>
      <c r="D160" s="199" t="s">
        <v>49</v>
      </c>
      <c r="E160" s="202" t="s">
        <v>387</v>
      </c>
      <c r="F160" s="155">
        <v>4.32</v>
      </c>
      <c r="G160" s="113"/>
      <c r="H160" s="113"/>
      <c r="I160" s="156"/>
      <c r="J160" s="156"/>
      <c r="K160" s="157"/>
      <c r="L160" s="157"/>
      <c r="M160" s="157">
        <f>(F160+G160+H160+I160)*25%</f>
        <v>1.08</v>
      </c>
      <c r="N160" s="157"/>
      <c r="O160" s="190">
        <f t="shared" si="114"/>
        <v>12636</v>
      </c>
      <c r="P160" s="199">
        <v>48731</v>
      </c>
      <c r="Q160" s="174" t="s">
        <v>56</v>
      </c>
      <c r="R160" s="171">
        <f>(S160)+(IF(T160=0,0,IF(T160&lt;7,1/2,1)))</f>
        <v>25</v>
      </c>
      <c r="S160" s="113">
        <v>25</v>
      </c>
      <c r="T160" s="113">
        <v>0</v>
      </c>
      <c r="U160" s="113">
        <f>(W160*12)+X160</f>
        <v>93</v>
      </c>
      <c r="V160" s="209">
        <f>(W160)+(IF(X160=0,0,IF(X160&lt;7,1/2,1)))</f>
        <v>8</v>
      </c>
      <c r="W160" s="113">
        <v>7</v>
      </c>
      <c r="X160" s="113">
        <v>9</v>
      </c>
      <c r="Y160" s="160">
        <f>0.9*60*O160</f>
        <v>682344</v>
      </c>
      <c r="Z160" s="161">
        <f>SUM(AA160:AB160)</f>
        <v>518076</v>
      </c>
      <c r="AA160" s="162">
        <f>4*V160*O160</f>
        <v>404352</v>
      </c>
      <c r="AB160" s="163">
        <f>SUM(4*O160)+(0.5*(R160-15)*O160)</f>
        <v>113724</v>
      </c>
      <c r="AC160" s="164"/>
      <c r="AD160" s="164"/>
      <c r="AE160" s="164"/>
      <c r="AF160" s="164"/>
      <c r="AG160" s="165">
        <f>ROUND(Y160+Z160,0)</f>
        <v>1200420</v>
      </c>
      <c r="AH160" s="165">
        <v>0</v>
      </c>
      <c r="AI160" s="166"/>
      <c r="AJ160" s="167">
        <f>AG160+AH160+AI160</f>
        <v>1200420</v>
      </c>
    </row>
    <row r="161" spans="1:36" s="119" customFormat="1" ht="56.4" customHeight="1" x14ac:dyDescent="0.25">
      <c r="A161" s="153">
        <v>3</v>
      </c>
      <c r="B161" s="168" t="s">
        <v>673</v>
      </c>
      <c r="C161" s="169">
        <v>30953</v>
      </c>
      <c r="D161" s="199" t="s">
        <v>49</v>
      </c>
      <c r="E161" s="423" t="s">
        <v>674</v>
      </c>
      <c r="F161" s="113">
        <v>3.66</v>
      </c>
      <c r="G161" s="157"/>
      <c r="H161" s="157">
        <v>0.2</v>
      </c>
      <c r="I161" s="156"/>
      <c r="J161" s="156"/>
      <c r="K161" s="157"/>
      <c r="L161" s="171"/>
      <c r="M161" s="157">
        <f>(F161+G161+H161)*25%</f>
        <v>0.96500000000000008</v>
      </c>
      <c r="N161" s="172"/>
      <c r="O161" s="190">
        <f t="shared" si="114"/>
        <v>11290.5</v>
      </c>
      <c r="P161" s="112">
        <v>53601</v>
      </c>
      <c r="Q161" s="174" t="s">
        <v>56</v>
      </c>
      <c r="R161" s="171">
        <f>(S161)+(IF(T161=0,0,IF(T161&lt;7,1/2,1)))</f>
        <v>16.5</v>
      </c>
      <c r="S161" s="113">
        <v>16</v>
      </c>
      <c r="T161" s="113">
        <v>6</v>
      </c>
      <c r="U161" s="113">
        <f>(W161*12)+X161</f>
        <v>253</v>
      </c>
      <c r="V161" s="209">
        <f>(W161)+(IF(X161=0,0,IF(X161&lt;7,1/2,1)))</f>
        <v>21.5</v>
      </c>
      <c r="W161" s="113">
        <v>21</v>
      </c>
      <c r="X161" s="113">
        <v>1</v>
      </c>
      <c r="Y161" s="160"/>
      <c r="Z161" s="161"/>
      <c r="AA161" s="176"/>
      <c r="AB161" s="176"/>
      <c r="AC161" s="177">
        <f>AD161+AE161+AF161</f>
        <v>855255.375</v>
      </c>
      <c r="AD161" s="178">
        <f>0.8*60*O161</f>
        <v>541944</v>
      </c>
      <c r="AE161" s="179">
        <f>1.5*O161*R161</f>
        <v>279439.875</v>
      </c>
      <c r="AF161" s="180">
        <f>3*O161</f>
        <v>33871.5</v>
      </c>
      <c r="AG161" s="165">
        <f>ROUND(Y161+Z161,0)</f>
        <v>0</v>
      </c>
      <c r="AH161" s="165">
        <f>ROUND(AC161,0)</f>
        <v>855255</v>
      </c>
      <c r="AI161" s="165"/>
      <c r="AJ161" s="167">
        <f>AG161+AH161+AI161</f>
        <v>855255</v>
      </c>
    </row>
    <row r="162" spans="1:36" s="119" customFormat="1" ht="49.2" customHeight="1" x14ac:dyDescent="0.25">
      <c r="A162" s="153">
        <v>4</v>
      </c>
      <c r="B162" s="168" t="s">
        <v>675</v>
      </c>
      <c r="C162" s="169">
        <v>29742</v>
      </c>
      <c r="D162" s="199" t="s">
        <v>49</v>
      </c>
      <c r="E162" s="423" t="s">
        <v>387</v>
      </c>
      <c r="F162" s="113">
        <v>3.33</v>
      </c>
      <c r="G162" s="157"/>
      <c r="H162" s="157"/>
      <c r="I162" s="156"/>
      <c r="J162" s="156"/>
      <c r="K162" s="157"/>
      <c r="L162" s="171"/>
      <c r="M162" s="157">
        <f>(F162+G162+H162)*25%</f>
        <v>0.83250000000000002</v>
      </c>
      <c r="N162" s="172"/>
      <c r="O162" s="190">
        <f t="shared" si="114"/>
        <v>9740.25</v>
      </c>
      <c r="P162" s="112">
        <v>52413</v>
      </c>
      <c r="Q162" s="174" t="s">
        <v>56</v>
      </c>
      <c r="R162" s="171">
        <f>(S162)+(IF(T162=0,0,IF(T162&lt;7,1/2,1)))</f>
        <v>21</v>
      </c>
      <c r="S162" s="113">
        <v>20</v>
      </c>
      <c r="T162" s="113">
        <v>8</v>
      </c>
      <c r="U162" s="113">
        <f>(W162*12)+X162</f>
        <v>214</v>
      </c>
      <c r="V162" s="209">
        <f>(W162)+(IF(X162=0,0,IF(X162&lt;7,1/2,1)))</f>
        <v>18</v>
      </c>
      <c r="W162" s="113">
        <v>17</v>
      </c>
      <c r="X162" s="113">
        <v>10</v>
      </c>
      <c r="Y162" s="160"/>
      <c r="Z162" s="161"/>
      <c r="AA162" s="176"/>
      <c r="AB162" s="176"/>
      <c r="AC162" s="177">
        <f>AD162+AE162+AF162</f>
        <v>803570.625</v>
      </c>
      <c r="AD162" s="178">
        <f>0.8*60*O162</f>
        <v>467532</v>
      </c>
      <c r="AE162" s="179">
        <f>1.5*O162*R162</f>
        <v>306817.875</v>
      </c>
      <c r="AF162" s="180">
        <f>3*O162</f>
        <v>29220.75</v>
      </c>
      <c r="AG162" s="165">
        <f>ROUND(Y162+Z162,0)</f>
        <v>0</v>
      </c>
      <c r="AH162" s="165">
        <f>ROUND(AC162,0)</f>
        <v>803571</v>
      </c>
      <c r="AI162" s="165"/>
      <c r="AJ162" s="167">
        <f>AG162+AH162+AI162</f>
        <v>803571</v>
      </c>
    </row>
    <row r="163" spans="1:36" s="146" customFormat="1" ht="32.25" customHeight="1" x14ac:dyDescent="0.25">
      <c r="A163" s="181">
        <v>28</v>
      </c>
      <c r="B163" s="182" t="s">
        <v>676</v>
      </c>
      <c r="C163" s="183"/>
      <c r="D163" s="183"/>
      <c r="E163" s="183"/>
      <c r="F163" s="185"/>
      <c r="G163" s="183"/>
      <c r="H163" s="183"/>
      <c r="I163" s="183"/>
      <c r="J163" s="185"/>
      <c r="K163" s="183"/>
      <c r="L163" s="183"/>
      <c r="M163" s="185"/>
      <c r="N163" s="185"/>
      <c r="O163" s="190">
        <f t="shared" si="114"/>
        <v>0</v>
      </c>
      <c r="P163" s="183"/>
      <c r="Q163" s="185"/>
      <c r="R163" s="183"/>
      <c r="S163" s="183"/>
      <c r="T163" s="185"/>
      <c r="U163" s="183"/>
      <c r="V163" s="183"/>
      <c r="W163" s="183"/>
      <c r="X163" s="183"/>
      <c r="Y163" s="181">
        <f>SUM(Y164:Y170)</f>
        <v>0</v>
      </c>
      <c r="Z163" s="181">
        <f>SUM(Z164:Z170)</f>
        <v>0</v>
      </c>
      <c r="AA163" s="181">
        <f t="shared" ref="AA163:AJ163" si="117">SUM(AA164:AA170)</f>
        <v>0</v>
      </c>
      <c r="AB163" s="181">
        <f t="shared" si="117"/>
        <v>0</v>
      </c>
      <c r="AC163" s="181">
        <f t="shared" si="117"/>
        <v>6653977.2000000002</v>
      </c>
      <c r="AD163" s="181">
        <f t="shared" si="117"/>
        <v>3906208.8</v>
      </c>
      <c r="AE163" s="181">
        <f t="shared" si="117"/>
        <v>2503630.35</v>
      </c>
      <c r="AF163" s="181">
        <f t="shared" si="117"/>
        <v>244138.05</v>
      </c>
      <c r="AG163" s="181">
        <f t="shared" si="117"/>
        <v>0</v>
      </c>
      <c r="AH163" s="181">
        <f t="shared" si="117"/>
        <v>6653978</v>
      </c>
      <c r="AI163" s="181">
        <f t="shared" si="117"/>
        <v>0</v>
      </c>
      <c r="AJ163" s="186">
        <f t="shared" si="117"/>
        <v>6653978</v>
      </c>
    </row>
    <row r="164" spans="1:36" s="119" customFormat="1" ht="58.2" customHeight="1" x14ac:dyDescent="0.25">
      <c r="A164" s="153">
        <v>1</v>
      </c>
      <c r="B164" s="168" t="s">
        <v>677</v>
      </c>
      <c r="C164" s="169">
        <v>27193</v>
      </c>
      <c r="D164" s="199" t="s">
        <v>639</v>
      </c>
      <c r="E164" s="423" t="s">
        <v>678</v>
      </c>
      <c r="F164" s="113">
        <v>3.86</v>
      </c>
      <c r="G164" s="157"/>
      <c r="H164" s="157"/>
      <c r="I164" s="156"/>
      <c r="J164" s="156"/>
      <c r="K164" s="157"/>
      <c r="L164" s="171"/>
      <c r="M164" s="157">
        <f t="shared" ref="M164:M170" si="118">(F164+G164+H164)*25%</f>
        <v>0.96499999999999997</v>
      </c>
      <c r="N164" s="172"/>
      <c r="O164" s="190">
        <f t="shared" si="114"/>
        <v>11290.5</v>
      </c>
      <c r="P164" s="112">
        <v>49857</v>
      </c>
      <c r="Q164" s="174" t="s">
        <v>56</v>
      </c>
      <c r="R164" s="171">
        <f t="shared" ref="R164:R170" si="119">(S164)+(IF(T164=0,0,IF(T164&lt;7,1/2,1)))</f>
        <v>21.5</v>
      </c>
      <c r="S164" s="113">
        <v>21</v>
      </c>
      <c r="T164" s="113">
        <v>2</v>
      </c>
      <c r="U164" s="113">
        <f t="shared" ref="U164:U170" si="120">(W164*12)+X164</f>
        <v>130</v>
      </c>
      <c r="V164" s="209">
        <f t="shared" ref="V164:V170" si="121">(W164)+(IF(X164=0,0,IF(X164&lt;7,1/2,1)))</f>
        <v>11</v>
      </c>
      <c r="W164" s="113">
        <v>10</v>
      </c>
      <c r="X164" s="113">
        <v>10</v>
      </c>
      <c r="Y164" s="160"/>
      <c r="Z164" s="161"/>
      <c r="AA164" s="176"/>
      <c r="AB164" s="176"/>
      <c r="AC164" s="177">
        <f t="shared" ref="AC164:AC170" si="122">AD164+AE164+AF164</f>
        <v>939934.125</v>
      </c>
      <c r="AD164" s="178">
        <f t="shared" ref="AD164:AD170" si="123">0.8*60*O164</f>
        <v>541944</v>
      </c>
      <c r="AE164" s="179">
        <f t="shared" ref="AE164:AE170" si="124">1.5*O164*R164</f>
        <v>364118.625</v>
      </c>
      <c r="AF164" s="180">
        <f t="shared" ref="AF164:AF170" si="125">3*O164</f>
        <v>33871.5</v>
      </c>
      <c r="AG164" s="165">
        <f t="shared" ref="AG164:AG170" si="126">ROUND(Y164+Z164,0)</f>
        <v>0</v>
      </c>
      <c r="AH164" s="165">
        <f t="shared" ref="AH164:AH170" si="127">ROUND(AC164,0)</f>
        <v>939934</v>
      </c>
      <c r="AI164" s="165"/>
      <c r="AJ164" s="167">
        <f t="shared" ref="AJ164:AJ170" si="128">AG164+AH164+AI164</f>
        <v>939934</v>
      </c>
    </row>
    <row r="165" spans="1:36" s="119" customFormat="1" ht="64.2" customHeight="1" x14ac:dyDescent="0.25">
      <c r="A165" s="153">
        <v>2</v>
      </c>
      <c r="B165" s="168" t="s">
        <v>679</v>
      </c>
      <c r="C165" s="169">
        <v>31483</v>
      </c>
      <c r="D165" s="199" t="s">
        <v>680</v>
      </c>
      <c r="E165" s="423" t="s">
        <v>681</v>
      </c>
      <c r="F165" s="113">
        <v>3</v>
      </c>
      <c r="G165" s="157"/>
      <c r="H165" s="157"/>
      <c r="I165" s="156"/>
      <c r="J165" s="155">
        <f>F165*13%</f>
        <v>0.39</v>
      </c>
      <c r="K165" s="157"/>
      <c r="L165" s="171"/>
      <c r="M165" s="157">
        <f t="shared" si="118"/>
        <v>0.75</v>
      </c>
      <c r="N165" s="172"/>
      <c r="O165" s="190">
        <f t="shared" si="114"/>
        <v>9687.6000000000022</v>
      </c>
      <c r="P165" s="112">
        <v>54149</v>
      </c>
      <c r="Q165" s="174" t="s">
        <v>56</v>
      </c>
      <c r="R165" s="171">
        <f t="shared" si="119"/>
        <v>14</v>
      </c>
      <c r="S165" s="113">
        <v>13</v>
      </c>
      <c r="T165" s="113">
        <v>7</v>
      </c>
      <c r="U165" s="113">
        <f t="shared" si="120"/>
        <v>271</v>
      </c>
      <c r="V165" s="209">
        <f t="shared" si="121"/>
        <v>23</v>
      </c>
      <c r="W165" s="113">
        <v>22</v>
      </c>
      <c r="X165" s="113">
        <v>7</v>
      </c>
      <c r="Y165" s="160"/>
      <c r="Z165" s="161"/>
      <c r="AA165" s="176"/>
      <c r="AB165" s="176"/>
      <c r="AC165" s="177">
        <f t="shared" si="122"/>
        <v>697507.20000000019</v>
      </c>
      <c r="AD165" s="178">
        <f t="shared" si="123"/>
        <v>465004.8000000001</v>
      </c>
      <c r="AE165" s="179">
        <f t="shared" si="124"/>
        <v>203439.60000000003</v>
      </c>
      <c r="AF165" s="180">
        <f t="shared" si="125"/>
        <v>29062.800000000007</v>
      </c>
      <c r="AG165" s="165">
        <f t="shared" si="126"/>
        <v>0</v>
      </c>
      <c r="AH165" s="165">
        <f t="shared" si="127"/>
        <v>697507</v>
      </c>
      <c r="AI165" s="165"/>
      <c r="AJ165" s="167">
        <f t="shared" si="128"/>
        <v>697507</v>
      </c>
    </row>
    <row r="166" spans="1:36" s="119" customFormat="1" ht="59.4" customHeight="1" x14ac:dyDescent="0.25">
      <c r="A166" s="153">
        <v>3</v>
      </c>
      <c r="B166" s="168" t="s">
        <v>682</v>
      </c>
      <c r="C166" s="169">
        <v>27273</v>
      </c>
      <c r="D166" s="199" t="s">
        <v>683</v>
      </c>
      <c r="E166" s="423" t="s">
        <v>657</v>
      </c>
      <c r="F166" s="113">
        <v>4.32</v>
      </c>
      <c r="G166" s="157"/>
      <c r="H166" s="157">
        <v>0.25</v>
      </c>
      <c r="I166" s="156"/>
      <c r="J166" s="156"/>
      <c r="K166" s="157"/>
      <c r="L166" s="171"/>
      <c r="M166" s="157">
        <f t="shared" si="118"/>
        <v>1.1425000000000001</v>
      </c>
      <c r="N166" s="172"/>
      <c r="O166" s="190">
        <f t="shared" si="114"/>
        <v>13367.25</v>
      </c>
      <c r="P166" s="112">
        <v>49949</v>
      </c>
      <c r="Q166" s="174" t="s">
        <v>56</v>
      </c>
      <c r="R166" s="171">
        <f t="shared" si="119"/>
        <v>24</v>
      </c>
      <c r="S166" s="113">
        <v>23</v>
      </c>
      <c r="T166" s="113">
        <v>8</v>
      </c>
      <c r="U166" s="113">
        <f t="shared" si="120"/>
        <v>133</v>
      </c>
      <c r="V166" s="209">
        <f t="shared" si="121"/>
        <v>11.5</v>
      </c>
      <c r="W166" s="113">
        <v>11</v>
      </c>
      <c r="X166" s="113">
        <v>1</v>
      </c>
      <c r="Y166" s="160"/>
      <c r="Z166" s="161"/>
      <c r="AA166" s="176"/>
      <c r="AB166" s="176"/>
      <c r="AC166" s="177">
        <f t="shared" si="122"/>
        <v>1162950.75</v>
      </c>
      <c r="AD166" s="178">
        <f t="shared" si="123"/>
        <v>641628</v>
      </c>
      <c r="AE166" s="179">
        <f t="shared" si="124"/>
        <v>481221</v>
      </c>
      <c r="AF166" s="180">
        <f t="shared" si="125"/>
        <v>40101.75</v>
      </c>
      <c r="AG166" s="165">
        <f t="shared" si="126"/>
        <v>0</v>
      </c>
      <c r="AH166" s="165">
        <f t="shared" si="127"/>
        <v>1162951</v>
      </c>
      <c r="AI166" s="165"/>
      <c r="AJ166" s="167">
        <f t="shared" si="128"/>
        <v>1162951</v>
      </c>
    </row>
    <row r="167" spans="1:36" s="119" customFormat="1" ht="66.599999999999994" customHeight="1" x14ac:dyDescent="0.25">
      <c r="A167" s="153">
        <v>4</v>
      </c>
      <c r="B167" s="168" t="s">
        <v>684</v>
      </c>
      <c r="C167" s="169">
        <v>28584</v>
      </c>
      <c r="D167" s="199" t="s">
        <v>391</v>
      </c>
      <c r="E167" s="423" t="s">
        <v>685</v>
      </c>
      <c r="F167" s="113">
        <v>4.32</v>
      </c>
      <c r="G167" s="157"/>
      <c r="H167" s="157">
        <v>0.25</v>
      </c>
      <c r="I167" s="156"/>
      <c r="J167" s="156"/>
      <c r="K167" s="157"/>
      <c r="L167" s="171"/>
      <c r="M167" s="157">
        <f t="shared" si="118"/>
        <v>1.1425000000000001</v>
      </c>
      <c r="N167" s="172"/>
      <c r="O167" s="190">
        <f t="shared" si="114"/>
        <v>13367.25</v>
      </c>
      <c r="P167" s="112">
        <v>51257</v>
      </c>
      <c r="Q167" s="174" t="s">
        <v>56</v>
      </c>
      <c r="R167" s="171">
        <f t="shared" si="119"/>
        <v>26</v>
      </c>
      <c r="S167" s="113">
        <v>25</v>
      </c>
      <c r="T167" s="113">
        <v>8</v>
      </c>
      <c r="U167" s="113">
        <f t="shared" si="120"/>
        <v>176</v>
      </c>
      <c r="V167" s="209">
        <f t="shared" si="121"/>
        <v>15</v>
      </c>
      <c r="W167" s="113">
        <v>14</v>
      </c>
      <c r="X167" s="113">
        <v>8</v>
      </c>
      <c r="Y167" s="160"/>
      <c r="Z167" s="161"/>
      <c r="AA167" s="176"/>
      <c r="AB167" s="176"/>
      <c r="AC167" s="177">
        <f t="shared" si="122"/>
        <v>1203052.5</v>
      </c>
      <c r="AD167" s="178">
        <f t="shared" si="123"/>
        <v>641628</v>
      </c>
      <c r="AE167" s="179">
        <f t="shared" si="124"/>
        <v>521322.75</v>
      </c>
      <c r="AF167" s="180">
        <f t="shared" si="125"/>
        <v>40101.75</v>
      </c>
      <c r="AG167" s="165">
        <f t="shared" si="126"/>
        <v>0</v>
      </c>
      <c r="AH167" s="165">
        <f t="shared" si="127"/>
        <v>1203053</v>
      </c>
      <c r="AI167" s="165"/>
      <c r="AJ167" s="167">
        <f t="shared" si="128"/>
        <v>1203053</v>
      </c>
    </row>
    <row r="168" spans="1:36" s="119" customFormat="1" ht="76.2" customHeight="1" x14ac:dyDescent="0.25">
      <c r="A168" s="153">
        <v>5</v>
      </c>
      <c r="B168" s="168" t="s">
        <v>686</v>
      </c>
      <c r="C168" s="169">
        <v>28868</v>
      </c>
      <c r="D168" s="199" t="s">
        <v>512</v>
      </c>
      <c r="E168" s="423" t="s">
        <v>387</v>
      </c>
      <c r="F168" s="113">
        <v>4.32</v>
      </c>
      <c r="G168" s="157"/>
      <c r="H168" s="157"/>
      <c r="I168" s="156"/>
      <c r="J168" s="156"/>
      <c r="K168" s="157"/>
      <c r="L168" s="171"/>
      <c r="M168" s="157">
        <f t="shared" si="118"/>
        <v>1.08</v>
      </c>
      <c r="N168" s="172"/>
      <c r="O168" s="190">
        <f t="shared" si="114"/>
        <v>12636</v>
      </c>
      <c r="P168" s="112">
        <v>51533</v>
      </c>
      <c r="Q168" s="174" t="s">
        <v>56</v>
      </c>
      <c r="R168" s="171">
        <f t="shared" si="119"/>
        <v>23.5</v>
      </c>
      <c r="S168" s="113">
        <v>23</v>
      </c>
      <c r="T168" s="113">
        <v>4</v>
      </c>
      <c r="U168" s="113">
        <f t="shared" si="120"/>
        <v>185</v>
      </c>
      <c r="V168" s="209">
        <f t="shared" si="121"/>
        <v>15.5</v>
      </c>
      <c r="W168" s="113">
        <v>15</v>
      </c>
      <c r="X168" s="113">
        <v>5</v>
      </c>
      <c r="Y168" s="160"/>
      <c r="Z168" s="161"/>
      <c r="AA168" s="176"/>
      <c r="AB168" s="176"/>
      <c r="AC168" s="177">
        <f t="shared" si="122"/>
        <v>1089855</v>
      </c>
      <c r="AD168" s="178">
        <f t="shared" si="123"/>
        <v>606528</v>
      </c>
      <c r="AE168" s="179">
        <f t="shared" si="124"/>
        <v>445419</v>
      </c>
      <c r="AF168" s="180">
        <f t="shared" si="125"/>
        <v>37908</v>
      </c>
      <c r="AG168" s="165">
        <f t="shared" si="126"/>
        <v>0</v>
      </c>
      <c r="AH168" s="165">
        <f t="shared" si="127"/>
        <v>1089855</v>
      </c>
      <c r="AI168" s="165"/>
      <c r="AJ168" s="167">
        <f t="shared" si="128"/>
        <v>1089855</v>
      </c>
    </row>
    <row r="169" spans="1:36" s="119" customFormat="1" ht="53.4" customHeight="1" x14ac:dyDescent="0.25">
      <c r="A169" s="153">
        <v>6</v>
      </c>
      <c r="B169" s="168" t="s">
        <v>687</v>
      </c>
      <c r="C169" s="169">
        <v>29442</v>
      </c>
      <c r="D169" s="199" t="s">
        <v>688</v>
      </c>
      <c r="E169" s="423" t="s">
        <v>387</v>
      </c>
      <c r="F169" s="113">
        <v>3.66</v>
      </c>
      <c r="G169" s="157"/>
      <c r="H169" s="157"/>
      <c r="I169" s="156"/>
      <c r="J169" s="156"/>
      <c r="K169" s="157"/>
      <c r="L169" s="171"/>
      <c r="M169" s="157">
        <f t="shared" si="118"/>
        <v>0.91500000000000004</v>
      </c>
      <c r="N169" s="172"/>
      <c r="O169" s="190">
        <f t="shared" si="114"/>
        <v>10705.5</v>
      </c>
      <c r="P169" s="112">
        <v>52110</v>
      </c>
      <c r="Q169" s="174" t="s">
        <v>56</v>
      </c>
      <c r="R169" s="171">
        <f t="shared" si="119"/>
        <v>14</v>
      </c>
      <c r="S169" s="113">
        <v>13</v>
      </c>
      <c r="T169" s="113">
        <v>11</v>
      </c>
      <c r="U169" s="113">
        <f t="shared" si="120"/>
        <v>204</v>
      </c>
      <c r="V169" s="209">
        <f t="shared" si="121"/>
        <v>17</v>
      </c>
      <c r="W169" s="113">
        <v>17</v>
      </c>
      <c r="X169" s="113">
        <v>0</v>
      </c>
      <c r="Y169" s="160"/>
      <c r="Z169" s="161"/>
      <c r="AA169" s="176"/>
      <c r="AB169" s="176"/>
      <c r="AC169" s="177">
        <f t="shared" si="122"/>
        <v>770796</v>
      </c>
      <c r="AD169" s="178">
        <f t="shared" si="123"/>
        <v>513864</v>
      </c>
      <c r="AE169" s="179">
        <f t="shared" si="124"/>
        <v>224815.5</v>
      </c>
      <c r="AF169" s="180">
        <f t="shared" si="125"/>
        <v>32116.5</v>
      </c>
      <c r="AG169" s="165">
        <f t="shared" si="126"/>
        <v>0</v>
      </c>
      <c r="AH169" s="165">
        <f t="shared" si="127"/>
        <v>770796</v>
      </c>
      <c r="AI169" s="165"/>
      <c r="AJ169" s="167">
        <f t="shared" si="128"/>
        <v>770796</v>
      </c>
    </row>
    <row r="170" spans="1:36" s="119" customFormat="1" ht="62.4" customHeight="1" x14ac:dyDescent="0.25">
      <c r="A170" s="153">
        <v>7</v>
      </c>
      <c r="B170" s="168" t="s">
        <v>689</v>
      </c>
      <c r="C170" s="169">
        <v>31277</v>
      </c>
      <c r="D170" s="199" t="s">
        <v>49</v>
      </c>
      <c r="E170" s="423" t="s">
        <v>690</v>
      </c>
      <c r="F170" s="113">
        <v>3.33</v>
      </c>
      <c r="G170" s="157"/>
      <c r="H170" s="157">
        <v>0.2</v>
      </c>
      <c r="I170" s="156"/>
      <c r="J170" s="156"/>
      <c r="K170" s="157"/>
      <c r="L170" s="171"/>
      <c r="M170" s="157">
        <f t="shared" si="118"/>
        <v>0.88250000000000006</v>
      </c>
      <c r="N170" s="172"/>
      <c r="O170" s="190">
        <f t="shared" si="114"/>
        <v>10325.250000000002</v>
      </c>
      <c r="P170" s="112">
        <v>53206</v>
      </c>
      <c r="Q170" s="174" t="s">
        <v>56</v>
      </c>
      <c r="R170" s="171">
        <f t="shared" si="119"/>
        <v>17</v>
      </c>
      <c r="S170" s="113">
        <v>16</v>
      </c>
      <c r="T170" s="113">
        <v>8</v>
      </c>
      <c r="U170" s="113">
        <f t="shared" si="120"/>
        <v>240</v>
      </c>
      <c r="V170" s="209">
        <f t="shared" si="121"/>
        <v>20</v>
      </c>
      <c r="W170" s="113">
        <v>20</v>
      </c>
      <c r="X170" s="113">
        <v>0</v>
      </c>
      <c r="Y170" s="160"/>
      <c r="Z170" s="161"/>
      <c r="AA170" s="176"/>
      <c r="AB170" s="176"/>
      <c r="AC170" s="177">
        <f t="shared" si="122"/>
        <v>789881.62500000023</v>
      </c>
      <c r="AD170" s="178">
        <f t="shared" si="123"/>
        <v>495612.00000000012</v>
      </c>
      <c r="AE170" s="179">
        <f t="shared" si="124"/>
        <v>263293.87500000006</v>
      </c>
      <c r="AF170" s="180">
        <f t="shared" si="125"/>
        <v>30975.750000000007</v>
      </c>
      <c r="AG170" s="165">
        <f t="shared" si="126"/>
        <v>0</v>
      </c>
      <c r="AH170" s="165">
        <f t="shared" si="127"/>
        <v>789882</v>
      </c>
      <c r="AI170" s="165"/>
      <c r="AJ170" s="167">
        <f t="shared" si="128"/>
        <v>789882</v>
      </c>
    </row>
    <row r="171" spans="1:36" s="146" customFormat="1" ht="32.25" customHeight="1" x14ac:dyDescent="0.25">
      <c r="A171" s="181">
        <v>29</v>
      </c>
      <c r="B171" s="182" t="s">
        <v>691</v>
      </c>
      <c r="C171" s="183"/>
      <c r="D171" s="183"/>
      <c r="E171" s="183"/>
      <c r="F171" s="185"/>
      <c r="G171" s="183"/>
      <c r="H171" s="183"/>
      <c r="I171" s="183"/>
      <c r="J171" s="185"/>
      <c r="K171" s="183"/>
      <c r="L171" s="183"/>
      <c r="M171" s="185"/>
      <c r="N171" s="185"/>
      <c r="O171" s="190">
        <f t="shared" si="114"/>
        <v>0</v>
      </c>
      <c r="P171" s="183"/>
      <c r="Q171" s="185"/>
      <c r="R171" s="183"/>
      <c r="S171" s="183"/>
      <c r="T171" s="185"/>
      <c r="U171" s="183"/>
      <c r="V171" s="183"/>
      <c r="W171" s="183"/>
      <c r="X171" s="183"/>
      <c r="Y171" s="181">
        <f t="shared" ref="Y171:AJ171" si="129">SUM(Y172:Y174)</f>
        <v>1583985.78</v>
      </c>
      <c r="Z171" s="181">
        <f t="shared" si="129"/>
        <v>1069591.77</v>
      </c>
      <c r="AA171" s="181">
        <f t="shared" si="129"/>
        <v>699732.54</v>
      </c>
      <c r="AB171" s="181">
        <f t="shared" si="129"/>
        <v>369859.23</v>
      </c>
      <c r="AC171" s="181">
        <f t="shared" si="129"/>
        <v>962836.87500000023</v>
      </c>
      <c r="AD171" s="181">
        <f t="shared" si="129"/>
        <v>560196.00000000012</v>
      </c>
      <c r="AE171" s="181">
        <f t="shared" si="129"/>
        <v>367628.62500000006</v>
      </c>
      <c r="AF171" s="181">
        <f t="shared" si="129"/>
        <v>35012.250000000007</v>
      </c>
      <c r="AG171" s="181">
        <f t="shared" si="129"/>
        <v>2653578</v>
      </c>
      <c r="AH171" s="181">
        <f t="shared" si="129"/>
        <v>962837</v>
      </c>
      <c r="AI171" s="181">
        <f t="shared" si="129"/>
        <v>0</v>
      </c>
      <c r="AJ171" s="186">
        <f t="shared" si="129"/>
        <v>3616415</v>
      </c>
    </row>
    <row r="172" spans="1:36" s="132" customFormat="1" ht="39" customHeight="1" x14ac:dyDescent="0.25">
      <c r="A172" s="153">
        <v>1</v>
      </c>
      <c r="B172" s="201" t="s">
        <v>692</v>
      </c>
      <c r="C172" s="199">
        <v>25578</v>
      </c>
      <c r="D172" s="199" t="s">
        <v>603</v>
      </c>
      <c r="E172" s="202" t="s">
        <v>387</v>
      </c>
      <c r="F172" s="155">
        <v>4.6500000000000004</v>
      </c>
      <c r="G172" s="113"/>
      <c r="H172" s="113"/>
      <c r="I172" s="156"/>
      <c r="J172" s="156"/>
      <c r="K172" s="157"/>
      <c r="L172" s="157"/>
      <c r="M172" s="157">
        <f>(F172+G172+H172+I172)*25%</f>
        <v>1.1625000000000001</v>
      </c>
      <c r="N172" s="157"/>
      <c r="O172" s="190">
        <f t="shared" si="114"/>
        <v>13601.25</v>
      </c>
      <c r="P172" s="199">
        <v>48245</v>
      </c>
      <c r="Q172" s="174" t="s">
        <v>56</v>
      </c>
      <c r="R172" s="171">
        <f>(S172)+(IF(T172=0,0,IF(T172&lt;7,1/2,1)))</f>
        <v>29</v>
      </c>
      <c r="S172" s="113">
        <v>28</v>
      </c>
      <c r="T172" s="113">
        <v>9</v>
      </c>
      <c r="U172" s="113">
        <f>(W172*12)+X172</f>
        <v>77</v>
      </c>
      <c r="V172" s="209">
        <f>(W172)+(IF(X172=0,0,IF(X172&lt;7,1/2,1)))</f>
        <v>6.5</v>
      </c>
      <c r="W172" s="113">
        <v>6</v>
      </c>
      <c r="X172" s="113">
        <v>5</v>
      </c>
      <c r="Y172" s="160">
        <f>0.9*60*O172</f>
        <v>734467.5</v>
      </c>
      <c r="Z172" s="161">
        <f>SUM(AA172:AB172)</f>
        <v>503246.25</v>
      </c>
      <c r="AA172" s="162">
        <f>4*V172*O172</f>
        <v>353632.5</v>
      </c>
      <c r="AB172" s="163">
        <f>SUM(4*O172)+(0.5*(R172-15)*O172)</f>
        <v>149613.75</v>
      </c>
      <c r="AC172" s="164"/>
      <c r="AD172" s="164"/>
      <c r="AE172" s="164"/>
      <c r="AF172" s="164"/>
      <c r="AG172" s="165">
        <f>ROUND(Y172+Z172,0)</f>
        <v>1237714</v>
      </c>
      <c r="AH172" s="165">
        <v>0</v>
      </c>
      <c r="AI172" s="166"/>
      <c r="AJ172" s="167">
        <f>AG172+AH172+AI172</f>
        <v>1237714</v>
      </c>
    </row>
    <row r="173" spans="1:36" s="132" customFormat="1" ht="39" customHeight="1" x14ac:dyDescent="0.25">
      <c r="A173" s="153">
        <v>2</v>
      </c>
      <c r="B173" s="201" t="s">
        <v>693</v>
      </c>
      <c r="C173" s="199">
        <v>25104</v>
      </c>
      <c r="D173" s="199" t="s">
        <v>603</v>
      </c>
      <c r="E173" s="202" t="s">
        <v>387</v>
      </c>
      <c r="F173" s="155">
        <v>4.9800000000000004</v>
      </c>
      <c r="G173" s="113"/>
      <c r="H173" s="113"/>
      <c r="I173" s="155">
        <f>F173*8%</f>
        <v>0.39840000000000003</v>
      </c>
      <c r="J173" s="156"/>
      <c r="K173" s="157"/>
      <c r="L173" s="157"/>
      <c r="M173" s="157">
        <f>(F173+G173+H173+I173)*25%</f>
        <v>1.3446</v>
      </c>
      <c r="N173" s="157"/>
      <c r="O173" s="190">
        <f t="shared" si="114"/>
        <v>15731.82</v>
      </c>
      <c r="P173" s="199">
        <v>47757</v>
      </c>
      <c r="Q173" s="174" t="s">
        <v>56</v>
      </c>
      <c r="R173" s="171">
        <f>(S173)+(IF(T173=0,0,IF(T173&lt;7,1/2,1)))</f>
        <v>35</v>
      </c>
      <c r="S173" s="113">
        <v>35</v>
      </c>
      <c r="T173" s="113"/>
      <c r="U173" s="113">
        <f>(W173*12)+X173</f>
        <v>61</v>
      </c>
      <c r="V173" s="209">
        <f>(W173)+(IF(X173=0,0,IF(X173&lt;7,1/2,1)))</f>
        <v>5.5</v>
      </c>
      <c r="W173" s="113">
        <v>5</v>
      </c>
      <c r="X173" s="113">
        <v>1</v>
      </c>
      <c r="Y173" s="160">
        <f>0.9*60*O173</f>
        <v>849518.28</v>
      </c>
      <c r="Z173" s="161">
        <f>SUM(AA173:AB173)</f>
        <v>566345.52</v>
      </c>
      <c r="AA173" s="162">
        <f>4*V173*O173</f>
        <v>346100.04</v>
      </c>
      <c r="AB173" s="163">
        <f>SUM(4*O173)+(0.5*(R173-15)*O173)</f>
        <v>220245.48</v>
      </c>
      <c r="AC173" s="164"/>
      <c r="AD173" s="164"/>
      <c r="AE173" s="164"/>
      <c r="AF173" s="164"/>
      <c r="AG173" s="165">
        <f>ROUND(Y173+Z173,0)</f>
        <v>1415864</v>
      </c>
      <c r="AH173" s="165">
        <v>0</v>
      </c>
      <c r="AI173" s="166"/>
      <c r="AJ173" s="167">
        <f>AG173+AH173+AI173</f>
        <v>1415864</v>
      </c>
    </row>
    <row r="174" spans="1:36" s="119" customFormat="1" ht="43.95" customHeight="1" x14ac:dyDescent="0.25">
      <c r="A174" s="153">
        <v>3</v>
      </c>
      <c r="B174" s="168" t="s">
        <v>694</v>
      </c>
      <c r="C174" s="169">
        <v>29966</v>
      </c>
      <c r="D174" s="199" t="s">
        <v>49</v>
      </c>
      <c r="E174" s="423" t="s">
        <v>387</v>
      </c>
      <c r="F174" s="113">
        <v>3.99</v>
      </c>
      <c r="G174" s="157"/>
      <c r="H174" s="157"/>
      <c r="I174" s="156"/>
      <c r="J174" s="156"/>
      <c r="K174" s="157"/>
      <c r="L174" s="171"/>
      <c r="M174" s="157">
        <f>(F174+G174+H174)*25%</f>
        <v>0.99750000000000005</v>
      </c>
      <c r="N174" s="172"/>
      <c r="O174" s="190">
        <f t="shared" si="114"/>
        <v>11670.750000000002</v>
      </c>
      <c r="P174" s="112">
        <v>52628</v>
      </c>
      <c r="Q174" s="174" t="s">
        <v>56</v>
      </c>
      <c r="R174" s="171">
        <f>(S174)+(IF(T174=0,0,IF(T174&lt;7,1/2,1)))</f>
        <v>21</v>
      </c>
      <c r="S174" s="113">
        <v>20</v>
      </c>
      <c r="T174" s="113">
        <v>10</v>
      </c>
      <c r="U174" s="113">
        <f>(W174*12)+X174</f>
        <v>221</v>
      </c>
      <c r="V174" s="209">
        <f>(W174)+(IF(X174=0,0,IF(X174&lt;7,1/2,1)))</f>
        <v>18.5</v>
      </c>
      <c r="W174" s="113">
        <v>18</v>
      </c>
      <c r="X174" s="113">
        <v>5</v>
      </c>
      <c r="Y174" s="160"/>
      <c r="Z174" s="161"/>
      <c r="AA174" s="176"/>
      <c r="AB174" s="176"/>
      <c r="AC174" s="177">
        <f>AD174+AE174+AF174</f>
        <v>962836.87500000023</v>
      </c>
      <c r="AD174" s="178">
        <f>0.8*60*O174</f>
        <v>560196.00000000012</v>
      </c>
      <c r="AE174" s="179">
        <f>1.5*O174*R174</f>
        <v>367628.62500000006</v>
      </c>
      <c r="AF174" s="180">
        <f>3*O174</f>
        <v>35012.250000000007</v>
      </c>
      <c r="AG174" s="165">
        <f>ROUND(Y174+Z174,0)</f>
        <v>0</v>
      </c>
      <c r="AH174" s="165">
        <f>ROUND(AC174,0)</f>
        <v>962837</v>
      </c>
      <c r="AI174" s="165"/>
      <c r="AJ174" s="167">
        <f>AG174+AH174+AI174</f>
        <v>962837</v>
      </c>
    </row>
    <row r="175" spans="1:36" s="146" customFormat="1" ht="32.25" customHeight="1" x14ac:dyDescent="0.25">
      <c r="A175" s="181">
        <v>30</v>
      </c>
      <c r="B175" s="182" t="s">
        <v>695</v>
      </c>
      <c r="C175" s="183"/>
      <c r="D175" s="183"/>
      <c r="E175" s="183"/>
      <c r="F175" s="185"/>
      <c r="G175" s="183"/>
      <c r="H175" s="183"/>
      <c r="I175" s="183"/>
      <c r="J175" s="185"/>
      <c r="K175" s="183"/>
      <c r="L175" s="183"/>
      <c r="M175" s="185"/>
      <c r="N175" s="185"/>
      <c r="O175" s="190">
        <f t="shared" si="114"/>
        <v>0</v>
      </c>
      <c r="P175" s="183"/>
      <c r="Q175" s="185"/>
      <c r="R175" s="183"/>
      <c r="S175" s="183"/>
      <c r="T175" s="185"/>
      <c r="U175" s="183"/>
      <c r="V175" s="183"/>
      <c r="W175" s="183"/>
      <c r="X175" s="183"/>
      <c r="Y175" s="181">
        <f>SUM(Y176:Y181)</f>
        <v>609687</v>
      </c>
      <c r="Z175" s="181">
        <f>SUM(Z176:Z181)</f>
        <v>327424.5</v>
      </c>
      <c r="AA175" s="181">
        <f t="shared" ref="AA175:AJ175" si="130">SUM(AA176:AA181)</f>
        <v>248391</v>
      </c>
      <c r="AB175" s="181">
        <f t="shared" si="130"/>
        <v>79033.5</v>
      </c>
      <c r="AC175" s="181">
        <f t="shared" si="130"/>
        <v>4188060.3960000002</v>
      </c>
      <c r="AD175" s="181">
        <f t="shared" si="130"/>
        <v>2621110.7520000003</v>
      </c>
      <c r="AE175" s="181">
        <f t="shared" si="130"/>
        <v>1403130.2220000001</v>
      </c>
      <c r="AF175" s="181">
        <f t="shared" si="130"/>
        <v>163819.42200000002</v>
      </c>
      <c r="AG175" s="181">
        <f t="shared" si="130"/>
        <v>937112</v>
      </c>
      <c r="AH175" s="181">
        <f t="shared" si="130"/>
        <v>4188062</v>
      </c>
      <c r="AI175" s="181">
        <f t="shared" si="130"/>
        <v>0</v>
      </c>
      <c r="AJ175" s="186">
        <f t="shared" si="130"/>
        <v>5125174</v>
      </c>
    </row>
    <row r="176" spans="1:36" s="132" customFormat="1" ht="39" customHeight="1" x14ac:dyDescent="0.25">
      <c r="A176" s="153">
        <v>1</v>
      </c>
      <c r="B176" s="201" t="s">
        <v>696</v>
      </c>
      <c r="C176" s="199">
        <v>25116</v>
      </c>
      <c r="D176" s="199" t="s">
        <v>49</v>
      </c>
      <c r="E176" s="202" t="s">
        <v>524</v>
      </c>
      <c r="F176" s="155">
        <v>3.66</v>
      </c>
      <c r="G176" s="113"/>
      <c r="H176" s="113">
        <v>0.2</v>
      </c>
      <c r="I176" s="156"/>
      <c r="J176" s="156"/>
      <c r="K176" s="157"/>
      <c r="L176" s="157"/>
      <c r="M176" s="157">
        <f>(F176+G176+H176+I176)*25%</f>
        <v>0.96500000000000008</v>
      </c>
      <c r="N176" s="157"/>
      <c r="O176" s="190">
        <f t="shared" si="114"/>
        <v>11290.5</v>
      </c>
      <c r="P176" s="199">
        <v>47788</v>
      </c>
      <c r="Q176" s="174" t="s">
        <v>56</v>
      </c>
      <c r="R176" s="171">
        <f t="shared" ref="R176:R181" si="131">(S176)+(IF(T176=0,0,IF(T176&lt;7,1/2,1)))</f>
        <v>21</v>
      </c>
      <c r="S176" s="113">
        <v>20</v>
      </c>
      <c r="T176" s="113">
        <v>10</v>
      </c>
      <c r="U176" s="113">
        <f t="shared" ref="U176:U181" si="132">(W176*12)+X176</f>
        <v>62</v>
      </c>
      <c r="V176" s="209">
        <f t="shared" ref="V176:V181" si="133">(W176)+(IF(X176=0,0,IF(X176&lt;7,1/2,1)))</f>
        <v>5.5</v>
      </c>
      <c r="W176" s="113">
        <v>5</v>
      </c>
      <c r="X176" s="113">
        <v>2</v>
      </c>
      <c r="Y176" s="160">
        <f>0.9*60*O176</f>
        <v>609687</v>
      </c>
      <c r="Z176" s="161">
        <f>SUM(AA176:AB176)</f>
        <v>327424.5</v>
      </c>
      <c r="AA176" s="162">
        <f>4*V176*O176</f>
        <v>248391</v>
      </c>
      <c r="AB176" s="163">
        <f>SUM(4*O176)+(0.5*(R176-15)*O176)</f>
        <v>79033.5</v>
      </c>
      <c r="AC176" s="164"/>
      <c r="AD176" s="164"/>
      <c r="AE176" s="164"/>
      <c r="AF176" s="164"/>
      <c r="AG176" s="165">
        <f t="shared" ref="AG176:AG181" si="134">ROUND(Y176+Z176,0)</f>
        <v>937112</v>
      </c>
      <c r="AH176" s="165">
        <v>0</v>
      </c>
      <c r="AI176" s="166"/>
      <c r="AJ176" s="167">
        <f t="shared" ref="AJ176:AJ181" si="135">AG176+AH176+AI176</f>
        <v>937112</v>
      </c>
    </row>
    <row r="177" spans="1:36" s="119" customFormat="1" ht="44.4" customHeight="1" x14ac:dyDescent="0.25">
      <c r="A177" s="153">
        <v>2</v>
      </c>
      <c r="B177" s="168" t="s">
        <v>697</v>
      </c>
      <c r="C177" s="169">
        <v>27347</v>
      </c>
      <c r="D177" s="199" t="s">
        <v>49</v>
      </c>
      <c r="E177" s="423" t="s">
        <v>698</v>
      </c>
      <c r="F177" s="113">
        <v>3.99</v>
      </c>
      <c r="G177" s="157"/>
      <c r="H177" s="157">
        <v>0.25</v>
      </c>
      <c r="I177" s="156"/>
      <c r="J177" s="156"/>
      <c r="K177" s="157"/>
      <c r="L177" s="171"/>
      <c r="M177" s="157">
        <f>(F177+G177+H177)*25%</f>
        <v>1.06</v>
      </c>
      <c r="N177" s="172"/>
      <c r="O177" s="190">
        <f t="shared" si="114"/>
        <v>12402.000000000002</v>
      </c>
      <c r="P177" s="112">
        <v>50010</v>
      </c>
      <c r="Q177" s="174" t="s">
        <v>56</v>
      </c>
      <c r="R177" s="171">
        <f t="shared" si="131"/>
        <v>23.5</v>
      </c>
      <c r="S177" s="113">
        <v>23</v>
      </c>
      <c r="T177" s="113">
        <v>1</v>
      </c>
      <c r="U177" s="113">
        <f t="shared" si="132"/>
        <v>135</v>
      </c>
      <c r="V177" s="209">
        <f t="shared" si="133"/>
        <v>11.5</v>
      </c>
      <c r="W177" s="113">
        <v>11</v>
      </c>
      <c r="X177" s="113">
        <v>3</v>
      </c>
      <c r="Y177" s="160"/>
      <c r="Z177" s="161"/>
      <c r="AA177" s="176"/>
      <c r="AB177" s="176"/>
      <c r="AC177" s="177">
        <f>AD177+AE177+AF177</f>
        <v>1069672.5000000002</v>
      </c>
      <c r="AD177" s="178">
        <f>0.8*60*O177</f>
        <v>595296.00000000012</v>
      </c>
      <c r="AE177" s="179">
        <f>1.5*O177*R177</f>
        <v>437170.50000000006</v>
      </c>
      <c r="AF177" s="180">
        <f>3*O177</f>
        <v>37206.000000000007</v>
      </c>
      <c r="AG177" s="165">
        <f t="shared" si="134"/>
        <v>0</v>
      </c>
      <c r="AH177" s="165">
        <f>ROUND(AC177,0)</f>
        <v>1069673</v>
      </c>
      <c r="AI177" s="165"/>
      <c r="AJ177" s="167">
        <f t="shared" si="135"/>
        <v>1069673</v>
      </c>
    </row>
    <row r="178" spans="1:36" s="119" customFormat="1" ht="50.4" customHeight="1" x14ac:dyDescent="0.25">
      <c r="A178" s="153">
        <v>3</v>
      </c>
      <c r="B178" s="168" t="s">
        <v>699</v>
      </c>
      <c r="C178" s="169">
        <v>27332</v>
      </c>
      <c r="D178" s="199" t="s">
        <v>49</v>
      </c>
      <c r="E178" s="423" t="s">
        <v>700</v>
      </c>
      <c r="F178" s="113">
        <v>3.33</v>
      </c>
      <c r="G178" s="157"/>
      <c r="H178" s="157">
        <v>0.25</v>
      </c>
      <c r="I178" s="156"/>
      <c r="J178" s="156"/>
      <c r="K178" s="157"/>
      <c r="L178" s="171"/>
      <c r="M178" s="157">
        <f>(F178+G178+H178)*25%</f>
        <v>0.89500000000000002</v>
      </c>
      <c r="N178" s="214">
        <f>(F178+G178+H178)*30%</f>
        <v>1.0740000000000001</v>
      </c>
      <c r="O178" s="190">
        <f t="shared" si="114"/>
        <v>12984.659999999998</v>
      </c>
      <c r="P178" s="112">
        <v>49980</v>
      </c>
      <c r="Q178" s="174" t="s">
        <v>56</v>
      </c>
      <c r="R178" s="171">
        <f t="shared" si="131"/>
        <v>16</v>
      </c>
      <c r="S178" s="113">
        <v>15</v>
      </c>
      <c r="T178" s="113">
        <v>8</v>
      </c>
      <c r="U178" s="113">
        <f t="shared" si="132"/>
        <v>134</v>
      </c>
      <c r="V178" s="209">
        <f t="shared" si="133"/>
        <v>11.5</v>
      </c>
      <c r="W178" s="113">
        <v>11</v>
      </c>
      <c r="X178" s="113">
        <v>2</v>
      </c>
      <c r="Y178" s="160"/>
      <c r="Z178" s="161"/>
      <c r="AA178" s="176"/>
      <c r="AB178" s="176"/>
      <c r="AC178" s="177">
        <f>AD178+AE178+AF178</f>
        <v>973849.49999999988</v>
      </c>
      <c r="AD178" s="178">
        <f>0.8*60*O178</f>
        <v>623263.67999999993</v>
      </c>
      <c r="AE178" s="179">
        <f>1.5*O178*R178</f>
        <v>311631.83999999997</v>
      </c>
      <c r="AF178" s="180">
        <f>3*O178</f>
        <v>38953.979999999996</v>
      </c>
      <c r="AG178" s="165">
        <f t="shared" si="134"/>
        <v>0</v>
      </c>
      <c r="AH178" s="165">
        <f>ROUND(AC178,0)</f>
        <v>973850</v>
      </c>
      <c r="AI178" s="165"/>
      <c r="AJ178" s="167">
        <f t="shared" si="135"/>
        <v>973850</v>
      </c>
    </row>
    <row r="179" spans="1:36" s="119" customFormat="1" ht="56.4" customHeight="1" x14ac:dyDescent="0.25">
      <c r="A179" s="153">
        <v>4</v>
      </c>
      <c r="B179" s="168" t="s">
        <v>701</v>
      </c>
      <c r="C179" s="169">
        <v>29625</v>
      </c>
      <c r="D179" s="199" t="s">
        <v>702</v>
      </c>
      <c r="E179" s="423" t="s">
        <v>703</v>
      </c>
      <c r="F179" s="113">
        <v>3.33</v>
      </c>
      <c r="G179" s="157"/>
      <c r="H179" s="157"/>
      <c r="I179" s="156"/>
      <c r="J179" s="113">
        <f>(F179+G179+H179)*12%</f>
        <v>0.39960000000000001</v>
      </c>
      <c r="K179" s="157"/>
      <c r="L179" s="171"/>
      <c r="M179" s="157">
        <f>(F179+G179+H179)*25%</f>
        <v>0.83250000000000002</v>
      </c>
      <c r="N179" s="172"/>
      <c r="O179" s="190">
        <f t="shared" si="114"/>
        <v>10675.314</v>
      </c>
      <c r="P179" s="112">
        <v>52291</v>
      </c>
      <c r="Q179" s="174" t="s">
        <v>56</v>
      </c>
      <c r="R179" s="171">
        <f t="shared" si="131"/>
        <v>17</v>
      </c>
      <c r="S179" s="113">
        <v>17</v>
      </c>
      <c r="T179" s="113">
        <v>0</v>
      </c>
      <c r="U179" s="113">
        <f t="shared" si="132"/>
        <v>210</v>
      </c>
      <c r="V179" s="209">
        <f t="shared" si="133"/>
        <v>17.5</v>
      </c>
      <c r="W179" s="113">
        <v>17</v>
      </c>
      <c r="X179" s="113">
        <v>6</v>
      </c>
      <c r="Y179" s="160"/>
      <c r="Z179" s="161"/>
      <c r="AA179" s="176"/>
      <c r="AB179" s="176"/>
      <c r="AC179" s="177">
        <f>AD179+AE179+AF179</f>
        <v>816661.52100000018</v>
      </c>
      <c r="AD179" s="178">
        <f>0.8*60*O179</f>
        <v>512415.07200000004</v>
      </c>
      <c r="AE179" s="179">
        <f>1.5*O179*R179</f>
        <v>272220.50700000004</v>
      </c>
      <c r="AF179" s="180">
        <f>3*O179</f>
        <v>32025.942000000003</v>
      </c>
      <c r="AG179" s="165">
        <f t="shared" si="134"/>
        <v>0</v>
      </c>
      <c r="AH179" s="165">
        <f>ROUND(AC179,0)</f>
        <v>816662</v>
      </c>
      <c r="AI179" s="165"/>
      <c r="AJ179" s="167">
        <f t="shared" si="135"/>
        <v>816662</v>
      </c>
    </row>
    <row r="180" spans="1:36" s="119" customFormat="1" ht="52.2" customHeight="1" x14ac:dyDescent="0.25">
      <c r="A180" s="153">
        <v>5</v>
      </c>
      <c r="B180" s="168" t="s">
        <v>704</v>
      </c>
      <c r="C180" s="169">
        <v>30352</v>
      </c>
      <c r="D180" s="199" t="s">
        <v>705</v>
      </c>
      <c r="E180" s="423" t="s">
        <v>706</v>
      </c>
      <c r="F180" s="113">
        <v>3</v>
      </c>
      <c r="G180" s="157"/>
      <c r="H180" s="157"/>
      <c r="I180" s="156"/>
      <c r="J180" s="156"/>
      <c r="K180" s="157"/>
      <c r="L180" s="171"/>
      <c r="M180" s="157">
        <f>(F180+G180+H180)*25%</f>
        <v>0.75</v>
      </c>
      <c r="N180" s="172"/>
      <c r="O180" s="190">
        <f t="shared" si="114"/>
        <v>8775</v>
      </c>
      <c r="P180" s="112">
        <v>53022</v>
      </c>
      <c r="Q180" s="174" t="s">
        <v>56</v>
      </c>
      <c r="R180" s="171">
        <f t="shared" si="131"/>
        <v>14</v>
      </c>
      <c r="S180" s="113">
        <v>13</v>
      </c>
      <c r="T180" s="113">
        <v>8</v>
      </c>
      <c r="U180" s="113">
        <f t="shared" si="132"/>
        <v>234</v>
      </c>
      <c r="V180" s="209">
        <f t="shared" si="133"/>
        <v>19.5</v>
      </c>
      <c r="W180" s="113">
        <v>19</v>
      </c>
      <c r="X180" s="113">
        <v>6</v>
      </c>
      <c r="Y180" s="160"/>
      <c r="Z180" s="161"/>
      <c r="AA180" s="176"/>
      <c r="AB180" s="176"/>
      <c r="AC180" s="177">
        <f>AD180+AE180+AF180</f>
        <v>631800</v>
      </c>
      <c r="AD180" s="178">
        <f>0.8*60*O180</f>
        <v>421200</v>
      </c>
      <c r="AE180" s="179">
        <f>1.5*O180*R180</f>
        <v>184275</v>
      </c>
      <c r="AF180" s="180">
        <f>3*O180</f>
        <v>26325</v>
      </c>
      <c r="AG180" s="165">
        <f t="shared" si="134"/>
        <v>0</v>
      </c>
      <c r="AH180" s="165">
        <f>ROUND(AC180,0)</f>
        <v>631800</v>
      </c>
      <c r="AI180" s="165"/>
      <c r="AJ180" s="167">
        <f t="shared" si="135"/>
        <v>631800</v>
      </c>
    </row>
    <row r="181" spans="1:36" s="119" customFormat="1" ht="51.6" customHeight="1" x14ac:dyDescent="0.25">
      <c r="A181" s="153">
        <v>6</v>
      </c>
      <c r="B181" s="168" t="s">
        <v>707</v>
      </c>
      <c r="C181" s="169">
        <v>31541</v>
      </c>
      <c r="D181" s="199" t="s">
        <v>708</v>
      </c>
      <c r="E181" s="423" t="s">
        <v>709</v>
      </c>
      <c r="F181" s="113">
        <v>3.34</v>
      </c>
      <c r="G181" s="157"/>
      <c r="H181" s="157"/>
      <c r="I181" s="156"/>
      <c r="J181" s="156"/>
      <c r="K181" s="157"/>
      <c r="L181" s="171"/>
      <c r="M181" s="157">
        <f>(F181+G181+H181)*25%</f>
        <v>0.83499999999999996</v>
      </c>
      <c r="N181" s="172"/>
      <c r="O181" s="190">
        <f t="shared" si="114"/>
        <v>9769.5</v>
      </c>
      <c r="P181" s="112">
        <v>53479</v>
      </c>
      <c r="Q181" s="174" t="s">
        <v>56</v>
      </c>
      <c r="R181" s="171">
        <f t="shared" si="131"/>
        <v>13.5</v>
      </c>
      <c r="S181" s="113">
        <v>13</v>
      </c>
      <c r="T181" s="113">
        <v>2</v>
      </c>
      <c r="U181" s="113">
        <f t="shared" si="132"/>
        <v>249</v>
      </c>
      <c r="V181" s="209">
        <f t="shared" si="133"/>
        <v>21</v>
      </c>
      <c r="W181" s="113">
        <v>20</v>
      </c>
      <c r="X181" s="113">
        <v>9</v>
      </c>
      <c r="Y181" s="160"/>
      <c r="Z181" s="161"/>
      <c r="AA181" s="176"/>
      <c r="AB181" s="176"/>
      <c r="AC181" s="177">
        <f>AD181+AE181+AF181</f>
        <v>696076.875</v>
      </c>
      <c r="AD181" s="178">
        <f>0.8*60*O181</f>
        <v>468936</v>
      </c>
      <c r="AE181" s="179">
        <f>1.5*O181*R181</f>
        <v>197832.375</v>
      </c>
      <c r="AF181" s="180">
        <f>3*O181</f>
        <v>29308.5</v>
      </c>
      <c r="AG181" s="165">
        <f t="shared" si="134"/>
        <v>0</v>
      </c>
      <c r="AH181" s="165">
        <f>ROUND(AC181,0)</f>
        <v>696077</v>
      </c>
      <c r="AI181" s="165"/>
      <c r="AJ181" s="167">
        <f t="shared" si="135"/>
        <v>696077</v>
      </c>
    </row>
    <row r="182" spans="1:36" s="146" customFormat="1" ht="46.95" customHeight="1" x14ac:dyDescent="0.25">
      <c r="A182" s="181">
        <v>31</v>
      </c>
      <c r="B182" s="182" t="s">
        <v>710</v>
      </c>
      <c r="C182" s="183"/>
      <c r="D182" s="183"/>
      <c r="E182" s="183"/>
      <c r="F182" s="185"/>
      <c r="G182" s="183"/>
      <c r="H182" s="183"/>
      <c r="I182" s="183"/>
      <c r="J182" s="185"/>
      <c r="K182" s="183"/>
      <c r="L182" s="183"/>
      <c r="M182" s="185"/>
      <c r="N182" s="185"/>
      <c r="O182" s="190">
        <f t="shared" si="114"/>
        <v>0</v>
      </c>
      <c r="P182" s="183"/>
      <c r="Q182" s="185"/>
      <c r="R182" s="183"/>
      <c r="S182" s="183"/>
      <c r="T182" s="185"/>
      <c r="U182" s="183"/>
      <c r="V182" s="183"/>
      <c r="W182" s="183"/>
      <c r="X182" s="183"/>
      <c r="Y182" s="181">
        <f>Y183</f>
        <v>0</v>
      </c>
      <c r="Z182" s="181">
        <f>Z183</f>
        <v>0</v>
      </c>
      <c r="AA182" s="181">
        <f t="shared" ref="AA182:AJ182" si="136">AA183</f>
        <v>0</v>
      </c>
      <c r="AB182" s="181">
        <f t="shared" si="136"/>
        <v>0</v>
      </c>
      <c r="AC182" s="181">
        <f t="shared" si="136"/>
        <v>631470.9375</v>
      </c>
      <c r="AD182" s="181">
        <f t="shared" si="136"/>
        <v>425412</v>
      </c>
      <c r="AE182" s="181">
        <f t="shared" si="136"/>
        <v>179470.6875</v>
      </c>
      <c r="AF182" s="181">
        <f t="shared" si="136"/>
        <v>26588.25</v>
      </c>
      <c r="AG182" s="181">
        <f t="shared" si="136"/>
        <v>0</v>
      </c>
      <c r="AH182" s="181">
        <f t="shared" si="136"/>
        <v>631471</v>
      </c>
      <c r="AI182" s="181">
        <f t="shared" si="136"/>
        <v>0</v>
      </c>
      <c r="AJ182" s="186">
        <f t="shared" si="136"/>
        <v>631471</v>
      </c>
    </row>
    <row r="183" spans="1:36" s="119" customFormat="1" ht="76.2" customHeight="1" x14ac:dyDescent="0.25">
      <c r="A183" s="215">
        <v>1</v>
      </c>
      <c r="B183" s="216" t="s">
        <v>711</v>
      </c>
      <c r="C183" s="217">
        <v>29646</v>
      </c>
      <c r="D183" s="218" t="s">
        <v>539</v>
      </c>
      <c r="E183" s="219" t="s">
        <v>712</v>
      </c>
      <c r="F183" s="220">
        <v>3.03</v>
      </c>
      <c r="G183" s="220"/>
      <c r="H183" s="220"/>
      <c r="I183" s="221"/>
      <c r="J183" s="222"/>
      <c r="K183" s="220"/>
      <c r="L183" s="223"/>
      <c r="M183" s="220">
        <f>(F183+G183+H183)*25%</f>
        <v>0.75749999999999995</v>
      </c>
      <c r="N183" s="224"/>
      <c r="O183" s="190">
        <f t="shared" si="114"/>
        <v>8862.75</v>
      </c>
      <c r="P183" s="225" t="e">
        <f t="array" ref="P183">[1]!'!PL 1 _Du dieu kien!R177C10'</f>
        <v>#REF!</v>
      </c>
      <c r="Q183" s="226" t="s">
        <v>56</v>
      </c>
      <c r="R183" s="227">
        <f>(S183)+(IF(T183=0,0,IF(T183&lt;7,1/2,1)))</f>
        <v>13.5</v>
      </c>
      <c r="S183" s="228">
        <v>13</v>
      </c>
      <c r="T183" s="228">
        <v>3</v>
      </c>
      <c r="U183" s="228">
        <f>(W183*12)+X183</f>
        <v>211</v>
      </c>
      <c r="V183" s="229">
        <f>(W183)+(IF(X183=0,0,IF(X183&lt;7,1/2,1)))</f>
        <v>18</v>
      </c>
      <c r="W183" s="228">
        <v>17</v>
      </c>
      <c r="X183" s="228">
        <v>7</v>
      </c>
      <c r="Y183" s="230"/>
      <c r="Z183" s="231"/>
      <c r="AA183" s="232"/>
      <c r="AB183" s="232"/>
      <c r="AC183" s="233">
        <f>AD183+AE183+AF183</f>
        <v>631470.9375</v>
      </c>
      <c r="AD183" s="234">
        <f>0.8*60*O183</f>
        <v>425412</v>
      </c>
      <c r="AE183" s="235">
        <f>1.5*O183*R183</f>
        <v>179470.6875</v>
      </c>
      <c r="AF183" s="236">
        <f>3*O183</f>
        <v>26588.25</v>
      </c>
      <c r="AG183" s="237">
        <f>ROUND(Y183+Z183,0)</f>
        <v>0</v>
      </c>
      <c r="AH183" s="237">
        <f>ROUND(AC183,0)</f>
        <v>631471</v>
      </c>
      <c r="AI183" s="237"/>
      <c r="AJ183" s="238">
        <f>AG183+AH183+AI183</f>
        <v>631471</v>
      </c>
    </row>
    <row r="184" spans="1:36" ht="44.4" customHeight="1" x14ac:dyDescent="0.25">
      <c r="A184" s="255">
        <v>32</v>
      </c>
      <c r="B184" s="256" t="s">
        <v>713</v>
      </c>
      <c r="C184" s="257"/>
      <c r="D184" s="258"/>
      <c r="E184" s="258"/>
      <c r="F184" s="257"/>
      <c r="G184" s="259"/>
      <c r="H184" s="260"/>
      <c r="I184" s="260"/>
      <c r="J184" s="261"/>
      <c r="K184" s="259"/>
      <c r="L184" s="259"/>
      <c r="M184" s="260">
        <f t="shared" ref="M184:M191" si="137">(F184+G184+H184+I184)*25%</f>
        <v>0</v>
      </c>
      <c r="N184" s="262"/>
      <c r="O184" s="190">
        <f t="shared" si="114"/>
        <v>0</v>
      </c>
      <c r="P184" s="263"/>
      <c r="Q184" s="257"/>
      <c r="R184" s="258"/>
      <c r="S184" s="258"/>
      <c r="T184" s="258"/>
      <c r="U184" s="259"/>
      <c r="V184" s="258"/>
      <c r="W184" s="258"/>
      <c r="X184" s="258"/>
      <c r="Y184" s="428">
        <f>SUM(Y185:Y191)</f>
        <v>630220.50000000012</v>
      </c>
      <c r="Z184" s="428">
        <f>SUM(Z185:Z191)</f>
        <v>463912.31250000006</v>
      </c>
      <c r="AA184" s="428">
        <f t="shared" ref="AA184:AJ184" si="138">SUM(AA185:AA191)</f>
        <v>373464.00000000006</v>
      </c>
      <c r="AB184" s="428">
        <f t="shared" si="138"/>
        <v>90448.312500000015</v>
      </c>
      <c r="AC184" s="428">
        <f t="shared" si="138"/>
        <v>5127802.875</v>
      </c>
      <c r="AD184" s="428">
        <f t="shared" si="138"/>
        <v>3121092</v>
      </c>
      <c r="AE184" s="428">
        <f t="shared" si="138"/>
        <v>1811642.6250000002</v>
      </c>
      <c r="AF184" s="428">
        <f t="shared" si="138"/>
        <v>195068.25</v>
      </c>
      <c r="AG184" s="428">
        <f t="shared" si="138"/>
        <v>1094133</v>
      </c>
      <c r="AH184" s="428">
        <f t="shared" si="138"/>
        <v>5127804</v>
      </c>
      <c r="AI184" s="428">
        <f t="shared" si="138"/>
        <v>0</v>
      </c>
      <c r="AJ184" s="429">
        <f t="shared" si="138"/>
        <v>6221937</v>
      </c>
    </row>
    <row r="185" spans="1:36" ht="33.6" customHeight="1" x14ac:dyDescent="0.25">
      <c r="A185" s="113">
        <v>1</v>
      </c>
      <c r="B185" s="111" t="s">
        <v>714</v>
      </c>
      <c r="C185" s="169" t="s">
        <v>715</v>
      </c>
      <c r="D185" s="112" t="s">
        <v>603</v>
      </c>
      <c r="E185" s="113" t="s">
        <v>387</v>
      </c>
      <c r="F185" s="153">
        <v>3.99</v>
      </c>
      <c r="G185" s="113"/>
      <c r="H185" s="157"/>
      <c r="I185" s="157"/>
      <c r="J185" s="156"/>
      <c r="K185" s="113"/>
      <c r="L185" s="113"/>
      <c r="M185" s="157">
        <f t="shared" si="137"/>
        <v>0.99750000000000005</v>
      </c>
      <c r="N185" s="171"/>
      <c r="O185" s="190">
        <f t="shared" si="114"/>
        <v>11670.750000000002</v>
      </c>
      <c r="P185" s="169" t="s">
        <v>716</v>
      </c>
      <c r="Q185" s="169">
        <v>45901</v>
      </c>
      <c r="R185" s="113">
        <f t="shared" ref="R185:R191" si="139">(S185)+(IF(T185=0,0,IF(T185&lt;7,1/2,1)))</f>
        <v>22.5</v>
      </c>
      <c r="S185" s="113">
        <v>22</v>
      </c>
      <c r="T185" s="113">
        <v>5</v>
      </c>
      <c r="U185" s="113">
        <f t="shared" ref="U185:U191" si="140">(W185*12)+X185</f>
        <v>96</v>
      </c>
      <c r="V185" s="187">
        <f t="shared" ref="V185:V191" si="141">(W185)+(IF(X185=0,0,IF(X185&lt;6,1/2,1)))</f>
        <v>8</v>
      </c>
      <c r="W185" s="113">
        <v>8</v>
      </c>
      <c r="X185" s="113">
        <v>0</v>
      </c>
      <c r="Y185" s="160">
        <f>0.9*60*O185</f>
        <v>630220.50000000012</v>
      </c>
      <c r="Z185" s="161">
        <f>SUM(AA185:AB185)</f>
        <v>463912.31250000006</v>
      </c>
      <c r="AA185" s="162">
        <f>4*V185*O185</f>
        <v>373464.00000000006</v>
      </c>
      <c r="AB185" s="163">
        <f>SUM(4*O185)+(0.5*O185*(R185-15))</f>
        <v>90448.312500000015</v>
      </c>
      <c r="AC185" s="177">
        <f t="shared" ref="AC185:AC191" si="142">AD185+AE185+AF185</f>
        <v>0</v>
      </c>
      <c r="AD185" s="178"/>
      <c r="AE185" s="179"/>
      <c r="AF185" s="180"/>
      <c r="AG185" s="165">
        <f t="shared" ref="AG185:AG191" si="143">ROUND(Y185+Z185,0)</f>
        <v>1094133</v>
      </c>
      <c r="AH185" s="196">
        <f>AC185</f>
        <v>0</v>
      </c>
      <c r="AI185" s="162"/>
      <c r="AJ185" s="197">
        <f t="shared" ref="AJ185:AJ191" si="144">AG185+AH185+AI185</f>
        <v>1094133</v>
      </c>
    </row>
    <row r="186" spans="1:36" ht="31.2" x14ac:dyDescent="0.25">
      <c r="A186" s="113">
        <v>2</v>
      </c>
      <c r="B186" s="111" t="s">
        <v>717</v>
      </c>
      <c r="C186" s="169" t="s">
        <v>718</v>
      </c>
      <c r="D186" s="112" t="s">
        <v>585</v>
      </c>
      <c r="E186" s="113" t="s">
        <v>719</v>
      </c>
      <c r="F186" s="153">
        <v>3.66</v>
      </c>
      <c r="G186" s="113"/>
      <c r="H186" s="157">
        <v>0.2</v>
      </c>
      <c r="I186" s="157"/>
      <c r="J186" s="156"/>
      <c r="K186" s="113"/>
      <c r="L186" s="113"/>
      <c r="M186" s="157">
        <f t="shared" si="137"/>
        <v>0.96500000000000008</v>
      </c>
      <c r="N186" s="171"/>
      <c r="O186" s="190">
        <f t="shared" si="114"/>
        <v>11290.5</v>
      </c>
      <c r="P186" s="112">
        <v>53997</v>
      </c>
      <c r="Q186" s="169">
        <v>45901</v>
      </c>
      <c r="R186" s="113">
        <f t="shared" si="139"/>
        <v>14</v>
      </c>
      <c r="S186" s="113">
        <v>13</v>
      </c>
      <c r="T186" s="113">
        <v>8</v>
      </c>
      <c r="U186" s="113">
        <f t="shared" si="140"/>
        <v>266</v>
      </c>
      <c r="V186" s="187">
        <f t="shared" si="141"/>
        <v>22.5</v>
      </c>
      <c r="W186" s="113">
        <v>22</v>
      </c>
      <c r="X186" s="113">
        <v>2</v>
      </c>
      <c r="Y186" s="160"/>
      <c r="Z186" s="161"/>
      <c r="AA186" s="162"/>
      <c r="AB186" s="163"/>
      <c r="AC186" s="177">
        <f t="shared" si="142"/>
        <v>812916</v>
      </c>
      <c r="AD186" s="178">
        <f t="shared" ref="AD186:AD191" si="145">0.8*60*O186</f>
        <v>541944</v>
      </c>
      <c r="AE186" s="179">
        <f t="shared" ref="AE186:AE191" si="146">1.5*O186*R186</f>
        <v>237100.5</v>
      </c>
      <c r="AF186" s="180">
        <f t="shared" ref="AF186:AF191" si="147">3*O186</f>
        <v>33871.5</v>
      </c>
      <c r="AG186" s="165">
        <f t="shared" si="143"/>
        <v>0</v>
      </c>
      <c r="AH186" s="196">
        <f t="shared" ref="AH186:AH191" si="148">ROUND(AC186,0)</f>
        <v>812916</v>
      </c>
      <c r="AI186" s="162"/>
      <c r="AJ186" s="197">
        <f t="shared" si="144"/>
        <v>812916</v>
      </c>
    </row>
    <row r="187" spans="1:36" ht="34.5" customHeight="1" x14ac:dyDescent="0.25">
      <c r="A187" s="113">
        <v>3</v>
      </c>
      <c r="B187" s="111" t="s">
        <v>720</v>
      </c>
      <c r="C187" s="169" t="s">
        <v>721</v>
      </c>
      <c r="D187" s="112" t="s">
        <v>585</v>
      </c>
      <c r="E187" s="113" t="s">
        <v>387</v>
      </c>
      <c r="F187" s="153">
        <v>3.99</v>
      </c>
      <c r="G187" s="113"/>
      <c r="H187" s="157"/>
      <c r="I187" s="157"/>
      <c r="J187" s="156"/>
      <c r="K187" s="113"/>
      <c r="L187" s="113"/>
      <c r="M187" s="157">
        <f t="shared" si="137"/>
        <v>0.99750000000000005</v>
      </c>
      <c r="N187" s="171"/>
      <c r="O187" s="190">
        <f t="shared" si="114"/>
        <v>11670.750000000002</v>
      </c>
      <c r="P187" s="169" t="s">
        <v>722</v>
      </c>
      <c r="Q187" s="169">
        <v>45901</v>
      </c>
      <c r="R187" s="113">
        <f t="shared" si="139"/>
        <v>26</v>
      </c>
      <c r="S187" s="113">
        <v>25</v>
      </c>
      <c r="T187" s="113">
        <v>8</v>
      </c>
      <c r="U187" s="113">
        <f t="shared" si="140"/>
        <v>155</v>
      </c>
      <c r="V187" s="187">
        <f t="shared" si="141"/>
        <v>13</v>
      </c>
      <c r="W187" s="113">
        <v>12</v>
      </c>
      <c r="X187" s="113">
        <v>11</v>
      </c>
      <c r="Y187" s="189"/>
      <c r="Z187" s="153"/>
      <c r="AA187" s="189"/>
      <c r="AB187" s="189"/>
      <c r="AC187" s="177">
        <f t="shared" si="142"/>
        <v>1050367.5000000002</v>
      </c>
      <c r="AD187" s="178">
        <f t="shared" si="145"/>
        <v>560196.00000000012</v>
      </c>
      <c r="AE187" s="179">
        <f t="shared" si="146"/>
        <v>455159.25000000012</v>
      </c>
      <c r="AF187" s="180">
        <f t="shared" si="147"/>
        <v>35012.250000000007</v>
      </c>
      <c r="AG187" s="165">
        <f t="shared" si="143"/>
        <v>0</v>
      </c>
      <c r="AH187" s="196">
        <f t="shared" si="148"/>
        <v>1050368</v>
      </c>
      <c r="AI187" s="162"/>
      <c r="AJ187" s="197">
        <f t="shared" si="144"/>
        <v>1050368</v>
      </c>
    </row>
    <row r="188" spans="1:36" ht="39" customHeight="1" x14ac:dyDescent="0.25">
      <c r="A188" s="113">
        <v>4</v>
      </c>
      <c r="B188" s="111" t="s">
        <v>723</v>
      </c>
      <c r="C188" s="169" t="s">
        <v>724</v>
      </c>
      <c r="D188" s="112" t="s">
        <v>603</v>
      </c>
      <c r="E188" s="113" t="s">
        <v>725</v>
      </c>
      <c r="F188" s="153">
        <v>3.99</v>
      </c>
      <c r="G188" s="113"/>
      <c r="H188" s="157"/>
      <c r="I188" s="157"/>
      <c r="J188" s="156"/>
      <c r="K188" s="113"/>
      <c r="L188" s="113"/>
      <c r="M188" s="157">
        <f t="shared" si="137"/>
        <v>0.99750000000000005</v>
      </c>
      <c r="N188" s="171"/>
      <c r="O188" s="190">
        <f t="shared" si="114"/>
        <v>11670.750000000002</v>
      </c>
      <c r="P188" s="112">
        <v>51533</v>
      </c>
      <c r="Q188" s="169">
        <v>45901</v>
      </c>
      <c r="R188" s="113">
        <f t="shared" si="139"/>
        <v>21.5</v>
      </c>
      <c r="S188" s="113">
        <v>21</v>
      </c>
      <c r="T188" s="113">
        <v>2</v>
      </c>
      <c r="U188" s="113">
        <f t="shared" si="140"/>
        <v>185</v>
      </c>
      <c r="V188" s="187">
        <f t="shared" si="141"/>
        <v>15.5</v>
      </c>
      <c r="W188" s="113">
        <v>15</v>
      </c>
      <c r="X188" s="113">
        <v>5</v>
      </c>
      <c r="Y188" s="189"/>
      <c r="Z188" s="153"/>
      <c r="AA188" s="189"/>
      <c r="AB188" s="189"/>
      <c r="AC188" s="177">
        <f t="shared" si="142"/>
        <v>971589.93750000023</v>
      </c>
      <c r="AD188" s="178">
        <f t="shared" si="145"/>
        <v>560196.00000000012</v>
      </c>
      <c r="AE188" s="179">
        <f t="shared" si="146"/>
        <v>376381.68750000006</v>
      </c>
      <c r="AF188" s="180">
        <f t="shared" si="147"/>
        <v>35012.250000000007</v>
      </c>
      <c r="AG188" s="165">
        <f t="shared" si="143"/>
        <v>0</v>
      </c>
      <c r="AH188" s="196">
        <f t="shared" si="148"/>
        <v>971590</v>
      </c>
      <c r="AI188" s="162"/>
      <c r="AJ188" s="197">
        <f t="shared" si="144"/>
        <v>971590</v>
      </c>
    </row>
    <row r="189" spans="1:36" ht="41.25" customHeight="1" x14ac:dyDescent="0.25">
      <c r="A189" s="113">
        <v>5</v>
      </c>
      <c r="B189" s="111" t="s">
        <v>726</v>
      </c>
      <c r="C189" s="112">
        <v>29412</v>
      </c>
      <c r="D189" s="111" t="s">
        <v>456</v>
      </c>
      <c r="E189" s="113" t="s">
        <v>727</v>
      </c>
      <c r="F189" s="153">
        <v>3.66</v>
      </c>
      <c r="G189" s="113"/>
      <c r="H189" s="157"/>
      <c r="I189" s="157"/>
      <c r="J189" s="156"/>
      <c r="K189" s="113"/>
      <c r="L189" s="113"/>
      <c r="M189" s="157">
        <f t="shared" si="137"/>
        <v>0.91500000000000004</v>
      </c>
      <c r="N189" s="171"/>
      <c r="O189" s="190">
        <f t="shared" si="114"/>
        <v>10705.5</v>
      </c>
      <c r="P189" s="112">
        <v>51349</v>
      </c>
      <c r="Q189" s="169">
        <v>45901</v>
      </c>
      <c r="R189" s="113">
        <f t="shared" si="139"/>
        <v>14</v>
      </c>
      <c r="S189" s="113">
        <v>13</v>
      </c>
      <c r="T189" s="113">
        <v>8</v>
      </c>
      <c r="U189" s="113">
        <f t="shared" si="140"/>
        <v>179</v>
      </c>
      <c r="V189" s="187">
        <f t="shared" si="141"/>
        <v>15</v>
      </c>
      <c r="W189" s="113">
        <v>14</v>
      </c>
      <c r="X189" s="113">
        <v>11</v>
      </c>
      <c r="Y189" s="189"/>
      <c r="Z189" s="153"/>
      <c r="AA189" s="189"/>
      <c r="AB189" s="189"/>
      <c r="AC189" s="177">
        <f t="shared" si="142"/>
        <v>770796</v>
      </c>
      <c r="AD189" s="178">
        <f t="shared" si="145"/>
        <v>513864</v>
      </c>
      <c r="AE189" s="179">
        <f t="shared" si="146"/>
        <v>224815.5</v>
      </c>
      <c r="AF189" s="180">
        <f t="shared" si="147"/>
        <v>32116.5</v>
      </c>
      <c r="AG189" s="165">
        <f t="shared" si="143"/>
        <v>0</v>
      </c>
      <c r="AH189" s="196">
        <f t="shared" si="148"/>
        <v>770796</v>
      </c>
      <c r="AI189" s="162"/>
      <c r="AJ189" s="197">
        <f t="shared" si="144"/>
        <v>770796</v>
      </c>
    </row>
    <row r="190" spans="1:36" ht="37.200000000000003" customHeight="1" x14ac:dyDescent="0.25">
      <c r="A190" s="113">
        <v>6</v>
      </c>
      <c r="B190" s="111" t="s">
        <v>728</v>
      </c>
      <c r="C190" s="243" t="s">
        <v>729</v>
      </c>
      <c r="D190" s="111" t="s">
        <v>636</v>
      </c>
      <c r="E190" s="113" t="s">
        <v>427</v>
      </c>
      <c r="F190" s="153">
        <v>4.0599999999999996</v>
      </c>
      <c r="G190" s="113"/>
      <c r="H190" s="157"/>
      <c r="I190" s="157"/>
      <c r="J190" s="156"/>
      <c r="K190" s="113"/>
      <c r="L190" s="113"/>
      <c r="M190" s="157">
        <f t="shared" si="137"/>
        <v>1.0149999999999999</v>
      </c>
      <c r="N190" s="171"/>
      <c r="O190" s="190">
        <f t="shared" si="114"/>
        <v>11875.499999999998</v>
      </c>
      <c r="P190" s="243" t="s">
        <v>730</v>
      </c>
      <c r="Q190" s="169">
        <v>45901</v>
      </c>
      <c r="R190" s="113">
        <f t="shared" si="139"/>
        <v>23.5</v>
      </c>
      <c r="S190" s="113">
        <v>23</v>
      </c>
      <c r="T190" s="113">
        <v>5</v>
      </c>
      <c r="U190" s="113">
        <f t="shared" si="140"/>
        <v>182</v>
      </c>
      <c r="V190" s="187">
        <f t="shared" si="141"/>
        <v>15.5</v>
      </c>
      <c r="W190" s="113">
        <v>15</v>
      </c>
      <c r="X190" s="113">
        <v>2</v>
      </c>
      <c r="Y190" s="189"/>
      <c r="Z190" s="153"/>
      <c r="AA190" s="189"/>
      <c r="AB190" s="189"/>
      <c r="AC190" s="177">
        <f t="shared" si="142"/>
        <v>1024261.8749999998</v>
      </c>
      <c r="AD190" s="178">
        <f t="shared" si="145"/>
        <v>570023.99999999988</v>
      </c>
      <c r="AE190" s="179">
        <f t="shared" si="146"/>
        <v>418611.37499999994</v>
      </c>
      <c r="AF190" s="180">
        <f t="shared" si="147"/>
        <v>35626.499999999993</v>
      </c>
      <c r="AG190" s="165">
        <f t="shared" si="143"/>
        <v>0</v>
      </c>
      <c r="AH190" s="196">
        <f t="shared" si="148"/>
        <v>1024262</v>
      </c>
      <c r="AI190" s="162"/>
      <c r="AJ190" s="197">
        <f t="shared" si="144"/>
        <v>1024262</v>
      </c>
    </row>
    <row r="191" spans="1:36" ht="42.75" customHeight="1" x14ac:dyDescent="0.25">
      <c r="A191" s="113">
        <v>7</v>
      </c>
      <c r="B191" s="111" t="s">
        <v>731</v>
      </c>
      <c r="C191" s="243" t="s">
        <v>732</v>
      </c>
      <c r="D191" s="111" t="s">
        <v>452</v>
      </c>
      <c r="E191" s="113" t="s">
        <v>427</v>
      </c>
      <c r="F191" s="153">
        <v>2.67</v>
      </c>
      <c r="G191" s="113"/>
      <c r="H191" s="157"/>
      <c r="I191" s="157"/>
      <c r="J191" s="156"/>
      <c r="K191" s="113"/>
      <c r="L191" s="113"/>
      <c r="M191" s="157">
        <f t="shared" si="137"/>
        <v>0.66749999999999998</v>
      </c>
      <c r="N191" s="171"/>
      <c r="O191" s="190">
        <f t="shared" si="114"/>
        <v>7809.75</v>
      </c>
      <c r="P191" s="243" t="s">
        <v>733</v>
      </c>
      <c r="Q191" s="169">
        <v>45901</v>
      </c>
      <c r="R191" s="113">
        <f t="shared" si="139"/>
        <v>8.5</v>
      </c>
      <c r="S191" s="113">
        <v>8</v>
      </c>
      <c r="T191" s="113">
        <v>6</v>
      </c>
      <c r="U191" s="113">
        <f t="shared" si="140"/>
        <v>357</v>
      </c>
      <c r="V191" s="187">
        <f t="shared" si="141"/>
        <v>30</v>
      </c>
      <c r="W191" s="113">
        <v>29</v>
      </c>
      <c r="X191" s="113">
        <v>9</v>
      </c>
      <c r="Y191" s="189"/>
      <c r="Z191" s="153"/>
      <c r="AA191" s="189"/>
      <c r="AB191" s="189"/>
      <c r="AC191" s="177">
        <f t="shared" si="142"/>
        <v>497871.5625</v>
      </c>
      <c r="AD191" s="178">
        <f t="shared" si="145"/>
        <v>374868</v>
      </c>
      <c r="AE191" s="179">
        <f t="shared" si="146"/>
        <v>99574.3125</v>
      </c>
      <c r="AF191" s="180">
        <f t="shared" si="147"/>
        <v>23429.25</v>
      </c>
      <c r="AG191" s="165">
        <f t="shared" si="143"/>
        <v>0</v>
      </c>
      <c r="AH191" s="196">
        <f t="shared" si="148"/>
        <v>497872</v>
      </c>
      <c r="AI191" s="162"/>
      <c r="AJ191" s="197">
        <f t="shared" si="144"/>
        <v>497872</v>
      </c>
    </row>
    <row r="192" spans="1:36" ht="42.6" customHeight="1" x14ac:dyDescent="0.25">
      <c r="A192" s="188">
        <v>33</v>
      </c>
      <c r="B192" s="239" t="s">
        <v>734</v>
      </c>
      <c r="C192" s="239"/>
      <c r="D192" s="239"/>
      <c r="E192" s="188"/>
      <c r="F192" s="153"/>
      <c r="G192" s="113"/>
      <c r="H192" s="157"/>
      <c r="I192" s="157"/>
      <c r="J192" s="156"/>
      <c r="K192" s="113"/>
      <c r="L192" s="113"/>
      <c r="M192" s="157"/>
      <c r="N192" s="171"/>
      <c r="O192" s="190">
        <f t="shared" si="114"/>
        <v>0</v>
      </c>
      <c r="P192" s="188"/>
      <c r="Q192" s="169"/>
      <c r="R192" s="188"/>
      <c r="S192" s="188"/>
      <c r="T192" s="188"/>
      <c r="U192" s="113"/>
      <c r="V192" s="240"/>
      <c r="W192" s="188"/>
      <c r="X192" s="188"/>
      <c r="Y192" s="430">
        <f>SUM(Y193:Y194)</f>
        <v>682344</v>
      </c>
      <c r="Z192" s="430">
        <f>SUM(Z193:Z194)</f>
        <v>600210</v>
      </c>
      <c r="AA192" s="430">
        <f t="shared" ref="AA192:AJ192" si="149">SUM(AA193:AA194)</f>
        <v>505440</v>
      </c>
      <c r="AB192" s="430">
        <f t="shared" si="149"/>
        <v>94770</v>
      </c>
      <c r="AC192" s="430">
        <f t="shared" si="149"/>
        <v>794027.8125</v>
      </c>
      <c r="AD192" s="430">
        <f t="shared" si="149"/>
        <v>534924</v>
      </c>
      <c r="AE192" s="430">
        <f t="shared" si="149"/>
        <v>225671.0625</v>
      </c>
      <c r="AF192" s="430">
        <f t="shared" si="149"/>
        <v>33432.75</v>
      </c>
      <c r="AG192" s="430">
        <f t="shared" si="149"/>
        <v>1282554</v>
      </c>
      <c r="AH192" s="430">
        <f t="shared" si="149"/>
        <v>794028</v>
      </c>
      <c r="AI192" s="430">
        <f t="shared" si="149"/>
        <v>0</v>
      </c>
      <c r="AJ192" s="431">
        <f t="shared" si="149"/>
        <v>2076582</v>
      </c>
    </row>
    <row r="193" spans="1:36" ht="31.2" x14ac:dyDescent="0.25">
      <c r="A193" s="113">
        <v>1</v>
      </c>
      <c r="B193" s="154" t="s">
        <v>735</v>
      </c>
      <c r="C193" s="432" t="s">
        <v>736</v>
      </c>
      <c r="D193" s="112" t="s">
        <v>737</v>
      </c>
      <c r="E193" s="432" t="s">
        <v>738</v>
      </c>
      <c r="F193" s="153">
        <v>4.32</v>
      </c>
      <c r="G193" s="113"/>
      <c r="H193" s="157"/>
      <c r="I193" s="157"/>
      <c r="J193" s="156"/>
      <c r="K193" s="113"/>
      <c r="L193" s="113"/>
      <c r="M193" s="157">
        <f>(F193+G193+H193+I193)*25%</f>
        <v>1.08</v>
      </c>
      <c r="N193" s="171"/>
      <c r="O193" s="190">
        <f t="shared" si="114"/>
        <v>12636</v>
      </c>
      <c r="P193" s="112">
        <v>49553</v>
      </c>
      <c r="Q193" s="169">
        <v>45901</v>
      </c>
      <c r="R193" s="113">
        <f>(S193)+(IF(T193=0,0,IF(T193&lt;7,1/2,1)))</f>
        <v>22</v>
      </c>
      <c r="S193" s="113">
        <v>21</v>
      </c>
      <c r="T193" s="113">
        <v>11</v>
      </c>
      <c r="U193" s="113">
        <f t="shared" ref="U193:U203" si="150">(W193*12)+X193</f>
        <v>120</v>
      </c>
      <c r="V193" s="187">
        <f>(W193)+(IF(X193=0,0,IF(X193&lt;6,1/2,1)))</f>
        <v>10</v>
      </c>
      <c r="W193" s="113">
        <v>10</v>
      </c>
      <c r="X193" s="113">
        <v>0</v>
      </c>
      <c r="Y193" s="160">
        <f>0.9*60*O193</f>
        <v>682344</v>
      </c>
      <c r="Z193" s="161">
        <f>SUM(AA193:AB193)</f>
        <v>600210</v>
      </c>
      <c r="AA193" s="162">
        <f>4*V193*O193</f>
        <v>505440</v>
      </c>
      <c r="AB193" s="163">
        <f>SUM(4*O193)+(0.5*O193*(R193-15))</f>
        <v>94770</v>
      </c>
      <c r="AC193" s="177">
        <f>AD193+AE193+AF193</f>
        <v>0</v>
      </c>
      <c r="AD193" s="178"/>
      <c r="AE193" s="179"/>
      <c r="AF193" s="180"/>
      <c r="AG193" s="165">
        <f>ROUND(Y193+Z193,0)</f>
        <v>1282554</v>
      </c>
      <c r="AH193" s="196">
        <f>AC193</f>
        <v>0</v>
      </c>
      <c r="AI193" s="162"/>
      <c r="AJ193" s="197">
        <f>AG193+AH193+AI193</f>
        <v>1282554</v>
      </c>
    </row>
    <row r="194" spans="1:36" ht="43.5" customHeight="1" x14ac:dyDescent="0.25">
      <c r="A194" s="113">
        <v>2</v>
      </c>
      <c r="B194" s="111" t="s">
        <v>739</v>
      </c>
      <c r="C194" s="432" t="s">
        <v>740</v>
      </c>
      <c r="D194" s="112" t="s">
        <v>741</v>
      </c>
      <c r="E194" s="432" t="s">
        <v>742</v>
      </c>
      <c r="F194" s="153">
        <v>3.66</v>
      </c>
      <c r="G194" s="113"/>
      <c r="H194" s="157">
        <v>0.15</v>
      </c>
      <c r="I194" s="157"/>
      <c r="J194" s="156"/>
      <c r="K194" s="113"/>
      <c r="L194" s="113"/>
      <c r="M194" s="157">
        <f>(F194+G194+H194+I194)*25%</f>
        <v>0.95250000000000001</v>
      </c>
      <c r="N194" s="171"/>
      <c r="O194" s="190">
        <f t="shared" si="114"/>
        <v>11144.25</v>
      </c>
      <c r="P194" s="112">
        <v>51471</v>
      </c>
      <c r="Q194" s="169">
        <v>45901</v>
      </c>
      <c r="R194" s="113">
        <f>(S194)+(IF(T194=0,0,IF(T194&lt;7,1/2,1)))</f>
        <v>13.5</v>
      </c>
      <c r="S194" s="113">
        <v>13</v>
      </c>
      <c r="T194" s="113">
        <v>2</v>
      </c>
      <c r="U194" s="113">
        <f t="shared" si="150"/>
        <v>183</v>
      </c>
      <c r="V194" s="187">
        <f>(W194)+(IF(X194=0,0,IF(X194&lt;6,1/2,1)))</f>
        <v>15.5</v>
      </c>
      <c r="W194" s="113">
        <v>15</v>
      </c>
      <c r="X194" s="113">
        <v>3</v>
      </c>
      <c r="Y194" s="189"/>
      <c r="Z194" s="153"/>
      <c r="AA194" s="189"/>
      <c r="AB194" s="189"/>
      <c r="AC194" s="177">
        <f>AD194+AE194+AF194</f>
        <v>794027.8125</v>
      </c>
      <c r="AD194" s="178">
        <f>0.8*60*O194</f>
        <v>534924</v>
      </c>
      <c r="AE194" s="179">
        <f>1.5*O194*R194</f>
        <v>225671.0625</v>
      </c>
      <c r="AF194" s="180">
        <f>3*O194</f>
        <v>33432.75</v>
      </c>
      <c r="AG194" s="165">
        <f>ROUND(Y194+Z194,0)</f>
        <v>0</v>
      </c>
      <c r="AH194" s="196">
        <f t="shared" ref="AH194" si="151">ROUND(AC194,0)</f>
        <v>794028</v>
      </c>
      <c r="AI194" s="162"/>
      <c r="AJ194" s="197">
        <f>AG194+AH194+AI194</f>
        <v>794028</v>
      </c>
    </row>
    <row r="195" spans="1:36" ht="31.2" x14ac:dyDescent="0.25">
      <c r="A195" s="188">
        <v>34</v>
      </c>
      <c r="B195" s="239" t="s">
        <v>743</v>
      </c>
      <c r="C195" s="239"/>
      <c r="D195" s="239"/>
      <c r="E195" s="188"/>
      <c r="F195" s="153"/>
      <c r="G195" s="113"/>
      <c r="H195" s="157"/>
      <c r="I195" s="157"/>
      <c r="J195" s="156"/>
      <c r="K195" s="113"/>
      <c r="L195" s="113"/>
      <c r="M195" s="157">
        <f>(F195+G195+H195+I195)*25%</f>
        <v>0</v>
      </c>
      <c r="N195" s="171"/>
      <c r="O195" s="190">
        <f t="shared" si="114"/>
        <v>0</v>
      </c>
      <c r="P195" s="188"/>
      <c r="Q195" s="169">
        <v>45901</v>
      </c>
      <c r="R195" s="188"/>
      <c r="S195" s="188"/>
      <c r="T195" s="188"/>
      <c r="U195" s="113">
        <f t="shared" si="150"/>
        <v>0</v>
      </c>
      <c r="V195" s="240"/>
      <c r="W195" s="188"/>
      <c r="X195" s="188"/>
      <c r="Y195" s="192">
        <f t="shared" ref="Y195:AJ195" si="152">SUM(Y196:Y196)</f>
        <v>0</v>
      </c>
      <c r="Z195" s="192">
        <f t="shared" si="152"/>
        <v>0</v>
      </c>
      <c r="AA195" s="192">
        <f t="shared" si="152"/>
        <v>0</v>
      </c>
      <c r="AB195" s="192">
        <f t="shared" si="152"/>
        <v>0</v>
      </c>
      <c r="AC195" s="192">
        <f t="shared" si="152"/>
        <v>1012986</v>
      </c>
      <c r="AD195" s="192">
        <f t="shared" si="152"/>
        <v>584064</v>
      </c>
      <c r="AE195" s="192">
        <f t="shared" si="152"/>
        <v>392418</v>
      </c>
      <c r="AF195" s="192">
        <f t="shared" si="152"/>
        <v>36504</v>
      </c>
      <c r="AG195" s="192">
        <f t="shared" si="152"/>
        <v>0</v>
      </c>
      <c r="AH195" s="192">
        <f t="shared" si="152"/>
        <v>1012986</v>
      </c>
      <c r="AI195" s="192">
        <f t="shared" si="152"/>
        <v>0</v>
      </c>
      <c r="AJ195" s="193">
        <f t="shared" si="152"/>
        <v>1012986</v>
      </c>
    </row>
    <row r="196" spans="1:36" ht="39" customHeight="1" x14ac:dyDescent="0.25">
      <c r="A196" s="113">
        <v>1</v>
      </c>
      <c r="B196" s="154" t="s">
        <v>744</v>
      </c>
      <c r="C196" s="241" t="s">
        <v>745</v>
      </c>
      <c r="D196" s="113" t="s">
        <v>746</v>
      </c>
      <c r="E196" s="113" t="s">
        <v>747</v>
      </c>
      <c r="F196" s="153">
        <v>3.96</v>
      </c>
      <c r="G196" s="113"/>
      <c r="H196" s="157">
        <v>0.2</v>
      </c>
      <c r="I196" s="157"/>
      <c r="J196" s="156"/>
      <c r="K196" s="113"/>
      <c r="L196" s="113"/>
      <c r="M196" s="157">
        <f>(F196+G196+H196+I196)*25%</f>
        <v>1.04</v>
      </c>
      <c r="N196" s="171"/>
      <c r="O196" s="190">
        <f t="shared" si="114"/>
        <v>12168</v>
      </c>
      <c r="P196" s="112">
        <v>51898</v>
      </c>
      <c r="Q196" s="169">
        <v>45901</v>
      </c>
      <c r="R196" s="113">
        <f>(S196)+(IF(T196=0,0,IF(T196&lt;7,1/2,1)))</f>
        <v>21.5</v>
      </c>
      <c r="S196" s="113">
        <v>21</v>
      </c>
      <c r="T196" s="113">
        <v>2</v>
      </c>
      <c r="U196" s="113">
        <f t="shared" si="150"/>
        <v>197</v>
      </c>
      <c r="V196" s="187">
        <f>(W196)+(IF(X196=0,0,IF(X196&lt;6,1/2,1)))</f>
        <v>16.5</v>
      </c>
      <c r="W196" s="113">
        <v>16</v>
      </c>
      <c r="X196" s="113">
        <v>5</v>
      </c>
      <c r="Y196" s="189"/>
      <c r="Z196" s="153"/>
      <c r="AA196" s="189"/>
      <c r="AB196" s="189"/>
      <c r="AC196" s="177">
        <f>AD196+AE196+AF196</f>
        <v>1012986</v>
      </c>
      <c r="AD196" s="178">
        <f>0.8*60*O196</f>
        <v>584064</v>
      </c>
      <c r="AE196" s="179">
        <f>1.5*O196*R196</f>
        <v>392418</v>
      </c>
      <c r="AF196" s="180">
        <f>3*O196</f>
        <v>36504</v>
      </c>
      <c r="AG196" s="165">
        <f>ROUND(Y196+Z196,0)</f>
        <v>0</v>
      </c>
      <c r="AH196" s="196">
        <f>ROUND(AC196,0)</f>
        <v>1012986</v>
      </c>
      <c r="AI196" s="162"/>
      <c r="AJ196" s="197">
        <f>AG196+AH196+AI196</f>
        <v>1012986</v>
      </c>
    </row>
    <row r="197" spans="1:36" ht="15.6" x14ac:dyDescent="0.25">
      <c r="A197" s="188">
        <v>35</v>
      </c>
      <c r="B197" s="239" t="s">
        <v>748</v>
      </c>
      <c r="C197" s="239"/>
      <c r="D197" s="239"/>
      <c r="E197" s="188"/>
      <c r="F197" s="153"/>
      <c r="G197" s="113"/>
      <c r="H197" s="157"/>
      <c r="I197" s="157"/>
      <c r="J197" s="156"/>
      <c r="K197" s="113"/>
      <c r="L197" s="113"/>
      <c r="M197" s="157"/>
      <c r="N197" s="171"/>
      <c r="O197" s="190">
        <f t="shared" si="114"/>
        <v>0</v>
      </c>
      <c r="P197" s="188"/>
      <c r="Q197" s="169"/>
      <c r="R197" s="188"/>
      <c r="S197" s="188"/>
      <c r="T197" s="188"/>
      <c r="U197" s="113">
        <f t="shared" si="150"/>
        <v>0</v>
      </c>
      <c r="V197" s="240"/>
      <c r="W197" s="188"/>
      <c r="X197" s="188"/>
      <c r="Y197" s="245">
        <f>SUM(Y198:Y203)</f>
        <v>470691</v>
      </c>
      <c r="Z197" s="245">
        <f t="shared" ref="Z197:AJ197" si="153">SUM(Z198:Z203)</f>
        <v>418392</v>
      </c>
      <c r="AA197" s="245">
        <f t="shared" si="153"/>
        <v>348660</v>
      </c>
      <c r="AB197" s="245">
        <f t="shared" si="153"/>
        <v>69732</v>
      </c>
      <c r="AC197" s="245">
        <f t="shared" si="153"/>
        <v>4284064.6875</v>
      </c>
      <c r="AD197" s="245">
        <f t="shared" si="153"/>
        <v>2553876</v>
      </c>
      <c r="AE197" s="245">
        <f t="shared" si="153"/>
        <v>1632084.1875</v>
      </c>
      <c r="AF197" s="245">
        <f t="shared" si="153"/>
        <v>98104.5</v>
      </c>
      <c r="AG197" s="245">
        <f t="shared" si="153"/>
        <v>889083</v>
      </c>
      <c r="AH197" s="245">
        <f t="shared" si="153"/>
        <v>4284065</v>
      </c>
      <c r="AI197" s="245">
        <f t="shared" si="153"/>
        <v>0</v>
      </c>
      <c r="AJ197" s="246">
        <f t="shared" si="153"/>
        <v>5173148</v>
      </c>
    </row>
    <row r="198" spans="1:36" ht="36" customHeight="1" x14ac:dyDescent="0.25">
      <c r="A198" s="113">
        <v>1</v>
      </c>
      <c r="B198" s="111" t="s">
        <v>749</v>
      </c>
      <c r="C198" s="169" t="s">
        <v>750</v>
      </c>
      <c r="D198" s="112" t="s">
        <v>751</v>
      </c>
      <c r="E198" s="113" t="s">
        <v>752</v>
      </c>
      <c r="F198" s="153">
        <v>2.98</v>
      </c>
      <c r="G198" s="113"/>
      <c r="H198" s="157"/>
      <c r="I198" s="157"/>
      <c r="J198" s="156"/>
      <c r="K198" s="113"/>
      <c r="L198" s="113"/>
      <c r="M198" s="157">
        <f t="shared" ref="M198:M203" si="154">(F198+G198+H198+I198)*25%</f>
        <v>0.745</v>
      </c>
      <c r="N198" s="171"/>
      <c r="O198" s="190">
        <f t="shared" si="114"/>
        <v>8716.5</v>
      </c>
      <c r="P198" s="169" t="s">
        <v>81</v>
      </c>
      <c r="Q198" s="169">
        <v>45901</v>
      </c>
      <c r="R198" s="113">
        <f t="shared" ref="R198:R203" si="155">(S198)+(IF(T198=0,0,IF(T198&lt;7,1/2,1)))</f>
        <v>23</v>
      </c>
      <c r="S198" s="113">
        <v>22</v>
      </c>
      <c r="T198" s="113">
        <v>9</v>
      </c>
      <c r="U198" s="113">
        <f t="shared" si="150"/>
        <v>119</v>
      </c>
      <c r="V198" s="187">
        <f t="shared" ref="V198:V203" si="156">(W198)+(IF(X198=0,0,IF(X198&lt;6,1/2,1)))</f>
        <v>10</v>
      </c>
      <c r="W198" s="113">
        <v>9</v>
      </c>
      <c r="X198" s="113">
        <v>11</v>
      </c>
      <c r="Y198" s="160">
        <f>0.9*60*O198</f>
        <v>470691</v>
      </c>
      <c r="Z198" s="161">
        <f>SUM(AA198:AB198)</f>
        <v>418392</v>
      </c>
      <c r="AA198" s="162">
        <f>4*V198*O198</f>
        <v>348660</v>
      </c>
      <c r="AB198" s="163">
        <f>SUM(4*O198)+(0.5*O198*(R198-15))</f>
        <v>69732</v>
      </c>
      <c r="AC198" s="177">
        <f t="shared" ref="AC198:AC203" si="157">AD198+AE198+AF198</f>
        <v>0</v>
      </c>
      <c r="AD198" s="178"/>
      <c r="AE198" s="179"/>
      <c r="AF198" s="180"/>
      <c r="AG198" s="165">
        <f t="shared" ref="AG198:AG203" si="158">ROUND(Y198+Z198,0)</f>
        <v>889083</v>
      </c>
      <c r="AH198" s="196">
        <f>AC198</f>
        <v>0</v>
      </c>
      <c r="AI198" s="162"/>
      <c r="AJ198" s="197">
        <f t="shared" ref="AJ198:AJ203" si="159">AG198+AH198+AI198</f>
        <v>889083</v>
      </c>
    </row>
    <row r="199" spans="1:36" ht="33.6" customHeight="1" x14ac:dyDescent="0.25">
      <c r="A199" s="113">
        <v>2</v>
      </c>
      <c r="B199" s="111" t="s">
        <v>753</v>
      </c>
      <c r="C199" s="169" t="s">
        <v>754</v>
      </c>
      <c r="D199" s="112" t="s">
        <v>49</v>
      </c>
      <c r="E199" s="113" t="s">
        <v>755</v>
      </c>
      <c r="F199" s="153">
        <v>3.99</v>
      </c>
      <c r="G199" s="113"/>
      <c r="H199" s="157">
        <v>0.2</v>
      </c>
      <c r="I199" s="157"/>
      <c r="J199" s="156"/>
      <c r="K199" s="113"/>
      <c r="L199" s="113"/>
      <c r="M199" s="157">
        <f t="shared" si="154"/>
        <v>1.0475000000000001</v>
      </c>
      <c r="N199" s="171"/>
      <c r="O199" s="190">
        <f t="shared" si="114"/>
        <v>12255.750000000002</v>
      </c>
      <c r="P199" s="112">
        <v>49796</v>
      </c>
      <c r="Q199" s="169">
        <v>45901</v>
      </c>
      <c r="R199" s="113">
        <f t="shared" si="155"/>
        <v>20</v>
      </c>
      <c r="S199" s="113">
        <v>19</v>
      </c>
      <c r="T199" s="113">
        <v>10</v>
      </c>
      <c r="U199" s="113">
        <f t="shared" si="150"/>
        <v>128</v>
      </c>
      <c r="V199" s="187">
        <f t="shared" si="156"/>
        <v>11</v>
      </c>
      <c r="W199" s="113">
        <v>10</v>
      </c>
      <c r="X199" s="113">
        <v>8</v>
      </c>
      <c r="Y199" s="189"/>
      <c r="Z199" s="153"/>
      <c r="AA199" s="189"/>
      <c r="AB199" s="189"/>
      <c r="AC199" s="177">
        <f t="shared" si="157"/>
        <v>992715.75000000023</v>
      </c>
      <c r="AD199" s="178">
        <f>0.8*60*O199</f>
        <v>588276.00000000012</v>
      </c>
      <c r="AE199" s="179">
        <f>1.5*O199*R199</f>
        <v>367672.50000000006</v>
      </c>
      <c r="AF199" s="180">
        <f>3*O199</f>
        <v>36767.250000000007</v>
      </c>
      <c r="AG199" s="165">
        <f t="shared" si="158"/>
        <v>0</v>
      </c>
      <c r="AH199" s="196">
        <f>ROUND(AC199,0)</f>
        <v>992716</v>
      </c>
      <c r="AI199" s="162"/>
      <c r="AJ199" s="197">
        <f t="shared" si="159"/>
        <v>992716</v>
      </c>
    </row>
    <row r="200" spans="1:36" ht="33.6" customHeight="1" x14ac:dyDescent="0.25">
      <c r="A200" s="113">
        <v>3</v>
      </c>
      <c r="B200" s="111" t="s">
        <v>756</v>
      </c>
      <c r="C200" s="169" t="s">
        <v>757</v>
      </c>
      <c r="D200" s="112" t="s">
        <v>154</v>
      </c>
      <c r="E200" s="113" t="s">
        <v>758</v>
      </c>
      <c r="F200" s="153">
        <v>3.66</v>
      </c>
      <c r="G200" s="113"/>
      <c r="H200" s="157"/>
      <c r="I200" s="157"/>
      <c r="J200" s="156"/>
      <c r="K200" s="113"/>
      <c r="L200" s="113"/>
      <c r="M200" s="157">
        <f t="shared" si="154"/>
        <v>0.91500000000000004</v>
      </c>
      <c r="N200" s="171"/>
      <c r="O200" s="190">
        <f t="shared" si="114"/>
        <v>10705.5</v>
      </c>
      <c r="P200" s="169" t="s">
        <v>759</v>
      </c>
      <c r="Q200" s="169">
        <v>45901</v>
      </c>
      <c r="R200" s="113">
        <f t="shared" si="155"/>
        <v>18</v>
      </c>
      <c r="S200" s="113">
        <v>17</v>
      </c>
      <c r="T200" s="113">
        <v>11</v>
      </c>
      <c r="U200" s="113">
        <f t="shared" si="150"/>
        <v>234</v>
      </c>
      <c r="V200" s="187">
        <f t="shared" si="156"/>
        <v>20</v>
      </c>
      <c r="W200" s="113">
        <v>19</v>
      </c>
      <c r="X200" s="113">
        <v>6</v>
      </c>
      <c r="Y200" s="189"/>
      <c r="Z200" s="153"/>
      <c r="AA200" s="189"/>
      <c r="AB200" s="189"/>
      <c r="AC200" s="177">
        <f t="shared" si="157"/>
        <v>835029</v>
      </c>
      <c r="AD200" s="178">
        <f>0.8*60*O200</f>
        <v>513864</v>
      </c>
      <c r="AE200" s="179">
        <f>1.5*O200*R200</f>
        <v>289048.5</v>
      </c>
      <c r="AF200" s="180">
        <f>3*O200</f>
        <v>32116.5</v>
      </c>
      <c r="AG200" s="165">
        <f t="shared" si="158"/>
        <v>0</v>
      </c>
      <c r="AH200" s="196">
        <f>ROUND(AC200,0)</f>
        <v>835029</v>
      </c>
      <c r="AI200" s="162"/>
      <c r="AJ200" s="197">
        <f t="shared" si="159"/>
        <v>835029</v>
      </c>
    </row>
    <row r="201" spans="1:36" ht="34.950000000000003" customHeight="1" x14ac:dyDescent="0.25">
      <c r="A201" s="113">
        <v>4</v>
      </c>
      <c r="B201" s="111" t="s">
        <v>760</v>
      </c>
      <c r="C201" s="112">
        <v>32822</v>
      </c>
      <c r="D201" s="112" t="s">
        <v>603</v>
      </c>
      <c r="E201" s="113" t="s">
        <v>387</v>
      </c>
      <c r="F201" s="153">
        <v>3.33</v>
      </c>
      <c r="G201" s="113"/>
      <c r="H201" s="157"/>
      <c r="I201" s="157"/>
      <c r="J201" s="156"/>
      <c r="K201" s="113"/>
      <c r="L201" s="113"/>
      <c r="M201" s="157">
        <f t="shared" si="154"/>
        <v>0.83250000000000002</v>
      </c>
      <c r="N201" s="171"/>
      <c r="O201" s="190">
        <f t="shared" si="114"/>
        <v>9740.25</v>
      </c>
      <c r="P201" s="112">
        <v>54758</v>
      </c>
      <c r="Q201" s="169">
        <v>45901</v>
      </c>
      <c r="R201" s="113">
        <f t="shared" si="155"/>
        <v>13.5</v>
      </c>
      <c r="S201" s="113">
        <v>13</v>
      </c>
      <c r="T201" s="113">
        <v>1</v>
      </c>
      <c r="U201" s="113">
        <f t="shared" si="150"/>
        <v>291</v>
      </c>
      <c r="V201" s="187">
        <f t="shared" si="156"/>
        <v>24.5</v>
      </c>
      <c r="W201" s="113">
        <v>24</v>
      </c>
      <c r="X201" s="113">
        <v>3</v>
      </c>
      <c r="Y201" s="189"/>
      <c r="Z201" s="153"/>
      <c r="AA201" s="189"/>
      <c r="AB201" s="189"/>
      <c r="AC201" s="177">
        <f t="shared" si="157"/>
        <v>693992.8125</v>
      </c>
      <c r="AD201" s="178">
        <f>0.8*60*O201</f>
        <v>467532</v>
      </c>
      <c r="AE201" s="179">
        <f>1.5*O201*R201</f>
        <v>197240.0625</v>
      </c>
      <c r="AF201" s="180">
        <f>3*O201</f>
        <v>29220.75</v>
      </c>
      <c r="AG201" s="165">
        <f t="shared" si="158"/>
        <v>0</v>
      </c>
      <c r="AH201" s="196">
        <f>ROUND(AC201,0)</f>
        <v>693993</v>
      </c>
      <c r="AI201" s="162"/>
      <c r="AJ201" s="197">
        <f t="shared" si="159"/>
        <v>693993</v>
      </c>
    </row>
    <row r="202" spans="1:36" ht="37.200000000000003" customHeight="1" x14ac:dyDescent="0.25">
      <c r="A202" s="113">
        <v>5</v>
      </c>
      <c r="B202" s="111" t="s">
        <v>761</v>
      </c>
      <c r="C202" s="169">
        <v>26939</v>
      </c>
      <c r="D202" s="112" t="s">
        <v>751</v>
      </c>
      <c r="E202" s="113" t="s">
        <v>762</v>
      </c>
      <c r="F202" s="153">
        <v>4.03</v>
      </c>
      <c r="G202" s="113"/>
      <c r="H202" s="157"/>
      <c r="I202" s="157"/>
      <c r="J202" s="156"/>
      <c r="K202" s="113"/>
      <c r="L202" s="113"/>
      <c r="M202" s="157">
        <f t="shared" si="154"/>
        <v>1.0075000000000001</v>
      </c>
      <c r="N202" s="171"/>
      <c r="O202" s="190">
        <f t="shared" si="114"/>
        <v>11787.750000000002</v>
      </c>
      <c r="P202" s="169">
        <v>49614</v>
      </c>
      <c r="Q202" s="169">
        <v>45901</v>
      </c>
      <c r="R202" s="113">
        <f t="shared" si="155"/>
        <v>27</v>
      </c>
      <c r="S202" s="113">
        <v>26</v>
      </c>
      <c r="T202" s="113">
        <v>8</v>
      </c>
      <c r="U202" s="113">
        <f t="shared" si="150"/>
        <v>122</v>
      </c>
      <c r="V202" s="187">
        <f t="shared" si="156"/>
        <v>10.5</v>
      </c>
      <c r="W202" s="113">
        <v>10</v>
      </c>
      <c r="X202" s="113">
        <v>2</v>
      </c>
      <c r="Y202" s="189"/>
      <c r="Z202" s="153"/>
      <c r="AA202" s="189"/>
      <c r="AB202" s="189"/>
      <c r="AC202" s="177">
        <f t="shared" si="157"/>
        <v>1043215.8750000002</v>
      </c>
      <c r="AD202" s="178">
        <f>0.8*60*O202</f>
        <v>565812.00000000012</v>
      </c>
      <c r="AE202" s="179">
        <f>1.5*O202*R202</f>
        <v>477403.87500000012</v>
      </c>
      <c r="AF202" s="180"/>
      <c r="AG202" s="165">
        <f t="shared" si="158"/>
        <v>0</v>
      </c>
      <c r="AH202" s="196">
        <f>ROUND(AC202,0)</f>
        <v>1043216</v>
      </c>
      <c r="AI202" s="162"/>
      <c r="AJ202" s="197">
        <f t="shared" si="159"/>
        <v>1043216</v>
      </c>
    </row>
    <row r="203" spans="1:36" ht="35.4" customHeight="1" x14ac:dyDescent="0.25">
      <c r="A203" s="113">
        <v>6</v>
      </c>
      <c r="B203" s="111" t="s">
        <v>763</v>
      </c>
      <c r="C203" s="169" t="s">
        <v>764</v>
      </c>
      <c r="D203" s="112" t="s">
        <v>751</v>
      </c>
      <c r="E203" s="113" t="s">
        <v>752</v>
      </c>
      <c r="F203" s="153">
        <v>2.98</v>
      </c>
      <c r="G203" s="113"/>
      <c r="H203" s="157"/>
      <c r="I203" s="157"/>
      <c r="J203" s="156"/>
      <c r="K203" s="113"/>
      <c r="L203" s="113"/>
      <c r="M203" s="157">
        <f t="shared" si="154"/>
        <v>0.745</v>
      </c>
      <c r="N203" s="171"/>
      <c r="O203" s="190">
        <f t="shared" si="114"/>
        <v>8716.5</v>
      </c>
      <c r="P203" s="169" t="s">
        <v>765</v>
      </c>
      <c r="Q203" s="169">
        <v>45901</v>
      </c>
      <c r="R203" s="113">
        <f t="shared" si="155"/>
        <v>23</v>
      </c>
      <c r="S203" s="113">
        <v>22</v>
      </c>
      <c r="T203" s="113">
        <v>9</v>
      </c>
      <c r="U203" s="113">
        <f t="shared" si="150"/>
        <v>137</v>
      </c>
      <c r="V203" s="187">
        <f t="shared" si="156"/>
        <v>11.5</v>
      </c>
      <c r="W203" s="113">
        <v>11</v>
      </c>
      <c r="X203" s="113">
        <v>5</v>
      </c>
      <c r="Y203" s="189"/>
      <c r="Z203" s="153"/>
      <c r="AA203" s="189"/>
      <c r="AB203" s="189"/>
      <c r="AC203" s="177">
        <f t="shared" si="157"/>
        <v>719111.25</v>
      </c>
      <c r="AD203" s="178">
        <f>0.8*60*O203</f>
        <v>418392</v>
      </c>
      <c r="AE203" s="179">
        <f>1.5*O203*R203</f>
        <v>300719.25</v>
      </c>
      <c r="AF203" s="180"/>
      <c r="AG203" s="165">
        <f t="shared" si="158"/>
        <v>0</v>
      </c>
      <c r="AH203" s="196">
        <f>ROUND(AC203,0)</f>
        <v>719111</v>
      </c>
      <c r="AI203" s="162"/>
      <c r="AJ203" s="197">
        <f t="shared" si="159"/>
        <v>719111</v>
      </c>
    </row>
    <row r="204" spans="1:36" ht="31.2" x14ac:dyDescent="0.25">
      <c r="A204" s="188">
        <v>36</v>
      </c>
      <c r="B204" s="239" t="s">
        <v>766</v>
      </c>
      <c r="C204" s="239"/>
      <c r="D204" s="239"/>
      <c r="E204" s="188"/>
      <c r="F204" s="153"/>
      <c r="G204" s="113"/>
      <c r="H204" s="157"/>
      <c r="I204" s="157"/>
      <c r="J204" s="156"/>
      <c r="K204" s="113"/>
      <c r="L204" s="113"/>
      <c r="M204" s="157"/>
      <c r="N204" s="171"/>
      <c r="O204" s="190">
        <f t="shared" si="114"/>
        <v>0</v>
      </c>
      <c r="P204" s="188"/>
      <c r="Q204" s="169"/>
      <c r="R204" s="188"/>
      <c r="S204" s="188"/>
      <c r="T204" s="188"/>
      <c r="U204" s="113"/>
      <c r="V204" s="240"/>
      <c r="W204" s="188"/>
      <c r="X204" s="188"/>
      <c r="Y204" s="242">
        <f>SUM(Y205:Y208)</f>
        <v>0</v>
      </c>
      <c r="Z204" s="242">
        <f t="shared" ref="Z204:AJ204" si="160">SUM(Z205:Z208)</f>
        <v>0</v>
      </c>
      <c r="AA204" s="242">
        <f t="shared" si="160"/>
        <v>0</v>
      </c>
      <c r="AB204" s="242">
        <f t="shared" si="160"/>
        <v>0</v>
      </c>
      <c r="AC204" s="242">
        <f t="shared" si="160"/>
        <v>3445964.4375</v>
      </c>
      <c r="AD204" s="242">
        <f t="shared" si="160"/>
        <v>1999296</v>
      </c>
      <c r="AE204" s="242">
        <f t="shared" si="160"/>
        <v>1321712.4375</v>
      </c>
      <c r="AF204" s="242">
        <f t="shared" si="160"/>
        <v>124956</v>
      </c>
      <c r="AG204" s="242">
        <f t="shared" si="160"/>
        <v>0</v>
      </c>
      <c r="AH204" s="242">
        <f t="shared" si="160"/>
        <v>3445965</v>
      </c>
      <c r="AI204" s="242">
        <f t="shared" si="160"/>
        <v>0</v>
      </c>
      <c r="AJ204" s="193">
        <f t="shared" si="160"/>
        <v>3445965</v>
      </c>
    </row>
    <row r="205" spans="1:36" ht="34.950000000000003" customHeight="1" x14ac:dyDescent="0.25">
      <c r="A205" s="113">
        <v>1</v>
      </c>
      <c r="B205" s="154" t="s">
        <v>767</v>
      </c>
      <c r="C205" s="243" t="s">
        <v>768</v>
      </c>
      <c r="D205" s="113" t="s">
        <v>769</v>
      </c>
      <c r="E205" s="113" t="s">
        <v>387</v>
      </c>
      <c r="F205" s="153">
        <v>2.67</v>
      </c>
      <c r="G205" s="113"/>
      <c r="H205" s="157"/>
      <c r="I205" s="157"/>
      <c r="J205" s="156"/>
      <c r="K205" s="113"/>
      <c r="L205" s="113"/>
      <c r="M205" s="157">
        <f>(F205+G205+H205+I205)*25%</f>
        <v>0.66749999999999998</v>
      </c>
      <c r="N205" s="171"/>
      <c r="O205" s="190">
        <f t="shared" si="114"/>
        <v>7809.75</v>
      </c>
      <c r="P205" s="243" t="s">
        <v>770</v>
      </c>
      <c r="Q205" s="169">
        <v>45901</v>
      </c>
      <c r="R205" s="113">
        <f>(S205)+(IF(T205=0,0,IF(T205&lt;7,1/2,1)))</f>
        <v>10</v>
      </c>
      <c r="S205" s="113">
        <v>9</v>
      </c>
      <c r="T205" s="113">
        <v>9</v>
      </c>
      <c r="U205" s="113">
        <f>(W205*12)+X205</f>
        <v>304</v>
      </c>
      <c r="V205" s="187">
        <f>(W205)+(IF(X205=0,0,IF(X205&lt;6,1/2,1)))</f>
        <v>25.5</v>
      </c>
      <c r="W205" s="113">
        <v>25</v>
      </c>
      <c r="X205" s="113">
        <v>4</v>
      </c>
      <c r="Y205" s="189"/>
      <c r="Z205" s="153"/>
      <c r="AA205" s="189"/>
      <c r="AB205" s="189"/>
      <c r="AC205" s="177">
        <f>AD205+AE205+AF205</f>
        <v>515443.5</v>
      </c>
      <c r="AD205" s="178">
        <f>0.8*60*O205</f>
        <v>374868</v>
      </c>
      <c r="AE205" s="179">
        <f>1.5*O205*R205</f>
        <v>117146.25</v>
      </c>
      <c r="AF205" s="180">
        <f>3*O205</f>
        <v>23429.25</v>
      </c>
      <c r="AG205" s="165">
        <f>ROUND(Y205+Z205,0)</f>
        <v>0</v>
      </c>
      <c r="AH205" s="196">
        <f t="shared" ref="AH205" si="161">ROUND(AC205,0)</f>
        <v>515444</v>
      </c>
      <c r="AI205" s="162"/>
      <c r="AJ205" s="197">
        <f>AG205+AH205+AI205</f>
        <v>515444</v>
      </c>
    </row>
    <row r="206" spans="1:36" ht="43.2" customHeight="1" x14ac:dyDescent="0.25">
      <c r="A206" s="113">
        <v>2</v>
      </c>
      <c r="B206" s="111" t="s">
        <v>771</v>
      </c>
      <c r="C206" s="112" t="s">
        <v>772</v>
      </c>
      <c r="D206" s="112" t="s">
        <v>773</v>
      </c>
      <c r="E206" s="113" t="s">
        <v>396</v>
      </c>
      <c r="F206" s="153">
        <v>4.32</v>
      </c>
      <c r="G206" s="113"/>
      <c r="H206" s="157"/>
      <c r="I206" s="157"/>
      <c r="J206" s="156"/>
      <c r="K206" s="113"/>
      <c r="L206" s="113"/>
      <c r="M206" s="157">
        <f>(F206+G206+H206+I206)*25%</f>
        <v>1.08</v>
      </c>
      <c r="N206" s="171"/>
      <c r="O206" s="190">
        <f t="shared" si="114"/>
        <v>12636</v>
      </c>
      <c r="P206" s="112">
        <v>51105</v>
      </c>
      <c r="Q206" s="169">
        <v>45901</v>
      </c>
      <c r="R206" s="113">
        <f>(S206)+(IF(T206=0,0,IF(T206&lt;7,1/2,1)))</f>
        <v>26</v>
      </c>
      <c r="S206" s="113">
        <v>26</v>
      </c>
      <c r="T206" s="113">
        <v>0</v>
      </c>
      <c r="U206" s="113">
        <f>(W206*12)+X206</f>
        <v>171</v>
      </c>
      <c r="V206" s="187">
        <f>(W206)+(IF(X206=0,0,IF(X206&lt;6,1/2,1)))</f>
        <v>14.5</v>
      </c>
      <c r="W206" s="113">
        <v>14</v>
      </c>
      <c r="X206" s="113">
        <v>3</v>
      </c>
      <c r="Y206" s="189"/>
      <c r="Z206" s="153"/>
      <c r="AA206" s="189"/>
      <c r="AB206" s="189"/>
      <c r="AC206" s="177">
        <f>AD206+AE206+AF206</f>
        <v>1137240</v>
      </c>
      <c r="AD206" s="178">
        <f>0.8*60*O206</f>
        <v>606528</v>
      </c>
      <c r="AE206" s="179">
        <f>1.5*O206*R206</f>
        <v>492804</v>
      </c>
      <c r="AF206" s="180">
        <f>3*O206</f>
        <v>37908</v>
      </c>
      <c r="AG206" s="165">
        <f>ROUND(Y206+Z206,0)</f>
        <v>0</v>
      </c>
      <c r="AH206" s="196">
        <f>AC206</f>
        <v>1137240</v>
      </c>
      <c r="AI206" s="162"/>
      <c r="AJ206" s="197">
        <f>AG206+AH206+AI206</f>
        <v>1137240</v>
      </c>
    </row>
    <row r="207" spans="1:36" ht="39" customHeight="1" x14ac:dyDescent="0.25">
      <c r="A207" s="113">
        <v>3</v>
      </c>
      <c r="B207" s="111" t="s">
        <v>774</v>
      </c>
      <c r="C207" s="112" t="s">
        <v>185</v>
      </c>
      <c r="D207" s="112" t="s">
        <v>775</v>
      </c>
      <c r="E207" s="113" t="s">
        <v>421</v>
      </c>
      <c r="F207" s="153">
        <v>3.26</v>
      </c>
      <c r="G207" s="113"/>
      <c r="H207" s="157"/>
      <c r="I207" s="157"/>
      <c r="J207" s="156"/>
      <c r="K207" s="113"/>
      <c r="L207" s="113"/>
      <c r="M207" s="157">
        <f>(F207+G207+H207+I207)*25%</f>
        <v>0.81499999999999995</v>
      </c>
      <c r="N207" s="171"/>
      <c r="O207" s="190">
        <f t="shared" si="114"/>
        <v>9535.4999999999982</v>
      </c>
      <c r="P207" s="112">
        <v>49919</v>
      </c>
      <c r="Q207" s="169">
        <v>45901</v>
      </c>
      <c r="R207" s="113">
        <f>(S207)+(IF(T207=0,0,IF(T207&lt;7,1/2,1)))</f>
        <v>21</v>
      </c>
      <c r="S207" s="113">
        <v>20</v>
      </c>
      <c r="T207" s="113">
        <v>10</v>
      </c>
      <c r="U207" s="113">
        <f>(W207*12)+X207</f>
        <v>134</v>
      </c>
      <c r="V207" s="187">
        <f>(W207)+(IF(X207=0,0,IF(X207&lt;6,1/2,1)))</f>
        <v>11.5</v>
      </c>
      <c r="W207" s="113">
        <v>11</v>
      </c>
      <c r="X207" s="113">
        <v>2</v>
      </c>
      <c r="Y207" s="189"/>
      <c r="Z207" s="153"/>
      <c r="AA207" s="189"/>
      <c r="AB207" s="189"/>
      <c r="AC207" s="177">
        <f>AD207+AE207+AF207</f>
        <v>786678.74999999977</v>
      </c>
      <c r="AD207" s="178">
        <f>0.8*60*O207</f>
        <v>457703.99999999988</v>
      </c>
      <c r="AE207" s="179">
        <f>1.5*O207*R207</f>
        <v>300368.24999999994</v>
      </c>
      <c r="AF207" s="180">
        <f>3*O207</f>
        <v>28606.499999999993</v>
      </c>
      <c r="AG207" s="165">
        <f>ROUND(Y207+Z207,0)</f>
        <v>0</v>
      </c>
      <c r="AH207" s="196">
        <f t="shared" ref="AH207:AH211" si="162">ROUND(AC207,0)</f>
        <v>786679</v>
      </c>
      <c r="AI207" s="162"/>
      <c r="AJ207" s="197">
        <f>AG207+AH207+AI207</f>
        <v>786679</v>
      </c>
    </row>
    <row r="208" spans="1:36" ht="39" customHeight="1" x14ac:dyDescent="0.25">
      <c r="A208" s="113">
        <v>4</v>
      </c>
      <c r="B208" s="154" t="s">
        <v>776</v>
      </c>
      <c r="C208" s="112">
        <v>28012</v>
      </c>
      <c r="D208" s="112" t="s">
        <v>777</v>
      </c>
      <c r="E208" s="113" t="s">
        <v>421</v>
      </c>
      <c r="F208" s="153">
        <v>3.99</v>
      </c>
      <c r="G208" s="113"/>
      <c r="H208" s="157"/>
      <c r="I208" s="157"/>
      <c r="J208" s="156"/>
      <c r="K208" s="113"/>
      <c r="L208" s="113"/>
      <c r="M208" s="157">
        <f>(F208+G208+H208+I208)*25%</f>
        <v>0.99750000000000005</v>
      </c>
      <c r="N208" s="171"/>
      <c r="O208" s="190">
        <f t="shared" si="114"/>
        <v>11670.750000000002</v>
      </c>
      <c r="P208" s="112">
        <v>50679</v>
      </c>
      <c r="Q208" s="169">
        <v>45901</v>
      </c>
      <c r="R208" s="113">
        <f>(S208)+(IF(T208=0,0,IF(T208&lt;7,1/2,1)))</f>
        <v>23.5</v>
      </c>
      <c r="S208" s="113">
        <v>23</v>
      </c>
      <c r="T208" s="113">
        <v>1</v>
      </c>
      <c r="U208" s="113">
        <f>(W208*12)+X208</f>
        <v>167</v>
      </c>
      <c r="V208" s="187">
        <f>(W208)+(IF(X208=0,0,IF(X208&lt;6,1/2,1)))</f>
        <v>14</v>
      </c>
      <c r="W208" s="113">
        <v>13</v>
      </c>
      <c r="X208" s="113">
        <v>11</v>
      </c>
      <c r="Y208" s="189"/>
      <c r="Z208" s="153"/>
      <c r="AA208" s="189"/>
      <c r="AB208" s="189"/>
      <c r="AC208" s="177">
        <f>AD208+AE208+AF208</f>
        <v>1006602.1875000002</v>
      </c>
      <c r="AD208" s="178">
        <f>0.8*60*O208</f>
        <v>560196.00000000012</v>
      </c>
      <c r="AE208" s="179">
        <f>1.5*O208*R208</f>
        <v>411393.93750000006</v>
      </c>
      <c r="AF208" s="180">
        <f>3*O208</f>
        <v>35012.250000000007</v>
      </c>
      <c r="AG208" s="165">
        <f>ROUND(Y208+Z208,0)</f>
        <v>0</v>
      </c>
      <c r="AH208" s="196">
        <f t="shared" si="162"/>
        <v>1006602</v>
      </c>
      <c r="AI208" s="162"/>
      <c r="AJ208" s="197">
        <f>AG208+AH208+AI208</f>
        <v>1006602</v>
      </c>
    </row>
    <row r="209" spans="1:36" ht="39" customHeight="1" x14ac:dyDescent="0.25">
      <c r="A209" s="113">
        <v>5</v>
      </c>
      <c r="B209" s="154" t="s">
        <v>778</v>
      </c>
      <c r="C209" s="112">
        <v>32004</v>
      </c>
      <c r="D209" s="112" t="s">
        <v>779</v>
      </c>
      <c r="E209" s="113" t="s">
        <v>387</v>
      </c>
      <c r="F209" s="153">
        <v>3.66</v>
      </c>
      <c r="G209" s="113"/>
      <c r="H209" s="157"/>
      <c r="I209" s="157"/>
      <c r="J209" s="156"/>
      <c r="K209" s="113"/>
      <c r="L209" s="113"/>
      <c r="M209" s="157">
        <f t="shared" ref="M209:M211" si="163">(F209+G209+H209+I209)*25%</f>
        <v>0.91500000000000004</v>
      </c>
      <c r="N209" s="171"/>
      <c r="O209" s="190">
        <f t="shared" si="114"/>
        <v>10705.5</v>
      </c>
      <c r="P209" s="112">
        <v>54667</v>
      </c>
      <c r="Q209" s="169">
        <v>45901</v>
      </c>
      <c r="R209" s="113">
        <f t="shared" ref="R209:R211" si="164">(S209)+(IF(T209=0,0,IF(T209&lt;7,1/2,1)))</f>
        <v>12.5</v>
      </c>
      <c r="S209" s="113">
        <v>12</v>
      </c>
      <c r="T209" s="113">
        <v>6</v>
      </c>
      <c r="U209" s="113">
        <f t="shared" ref="U209:U211" si="165">(W209*12)+X209</f>
        <v>288</v>
      </c>
      <c r="V209" s="187">
        <f t="shared" ref="V209:V211" si="166">(W209)+(IF(X209=0,0,IF(X209&lt;6,1/2,1)))</f>
        <v>24</v>
      </c>
      <c r="W209" s="113">
        <v>24</v>
      </c>
      <c r="X209" s="113">
        <v>0</v>
      </c>
      <c r="Y209" s="189"/>
      <c r="Z209" s="153"/>
      <c r="AA209" s="189"/>
      <c r="AB209" s="189"/>
      <c r="AC209" s="177">
        <f t="shared" ref="AC209:AC211" si="167">AD209+AE209+AF209</f>
        <v>746708.625</v>
      </c>
      <c r="AD209" s="178">
        <f t="shared" ref="AD209:AD211" si="168">0.8*60*O209</f>
        <v>513864</v>
      </c>
      <c r="AE209" s="179">
        <f t="shared" ref="AE209:AE211" si="169">1.5*O209*R209</f>
        <v>200728.125</v>
      </c>
      <c r="AF209" s="180">
        <f t="shared" ref="AF209:AF211" si="170">3*O209</f>
        <v>32116.5</v>
      </c>
      <c r="AG209" s="165">
        <f t="shared" ref="AG209:AG211" si="171">ROUND(Y209+Z209,0)</f>
        <v>0</v>
      </c>
      <c r="AH209" s="196">
        <f t="shared" si="162"/>
        <v>746709</v>
      </c>
      <c r="AI209" s="162"/>
      <c r="AJ209" s="197">
        <f t="shared" ref="AJ209:AJ211" si="172">AG209+AH209+AI209</f>
        <v>746709</v>
      </c>
    </row>
    <row r="210" spans="1:36" ht="39" customHeight="1" x14ac:dyDescent="0.25">
      <c r="A210" s="113">
        <v>6</v>
      </c>
      <c r="B210" s="154" t="s">
        <v>780</v>
      </c>
      <c r="C210" s="112">
        <v>27493</v>
      </c>
      <c r="D210" s="112" t="s">
        <v>777</v>
      </c>
      <c r="E210" s="113" t="s">
        <v>781</v>
      </c>
      <c r="F210" s="153">
        <v>3.33</v>
      </c>
      <c r="G210" s="113"/>
      <c r="H210" s="157">
        <v>0.25</v>
      </c>
      <c r="I210" s="157"/>
      <c r="J210" s="156"/>
      <c r="K210" s="113"/>
      <c r="L210" s="113"/>
      <c r="M210" s="157">
        <f t="shared" si="163"/>
        <v>0.89500000000000002</v>
      </c>
      <c r="N210" s="171"/>
      <c r="O210" s="190">
        <f t="shared" si="114"/>
        <v>10471.5</v>
      </c>
      <c r="P210" s="112">
        <v>50161</v>
      </c>
      <c r="Q210" s="169">
        <v>45901</v>
      </c>
      <c r="R210" s="113">
        <f t="shared" si="164"/>
        <v>19</v>
      </c>
      <c r="S210" s="113">
        <v>18</v>
      </c>
      <c r="T210" s="113">
        <v>9</v>
      </c>
      <c r="U210" s="113">
        <f t="shared" si="165"/>
        <v>135</v>
      </c>
      <c r="V210" s="187">
        <f t="shared" si="166"/>
        <v>11.5</v>
      </c>
      <c r="W210" s="113">
        <v>11</v>
      </c>
      <c r="X210" s="113">
        <v>3</v>
      </c>
      <c r="Y210" s="189"/>
      <c r="Z210" s="153"/>
      <c r="AA210" s="189"/>
      <c r="AB210" s="189"/>
      <c r="AC210" s="177">
        <f t="shared" si="167"/>
        <v>832484.25</v>
      </c>
      <c r="AD210" s="178">
        <f t="shared" si="168"/>
        <v>502632</v>
      </c>
      <c r="AE210" s="179">
        <f t="shared" si="169"/>
        <v>298437.75</v>
      </c>
      <c r="AF210" s="180">
        <f t="shared" si="170"/>
        <v>31414.5</v>
      </c>
      <c r="AG210" s="165">
        <f t="shared" si="171"/>
        <v>0</v>
      </c>
      <c r="AH210" s="196">
        <f t="shared" si="162"/>
        <v>832484</v>
      </c>
      <c r="AI210" s="162"/>
      <c r="AJ210" s="197">
        <f t="shared" si="172"/>
        <v>832484</v>
      </c>
    </row>
    <row r="211" spans="1:36" ht="39" customHeight="1" x14ac:dyDescent="0.25">
      <c r="A211" s="113">
        <v>7</v>
      </c>
      <c r="B211" s="244" t="s">
        <v>782</v>
      </c>
      <c r="C211" s="225">
        <v>31703</v>
      </c>
      <c r="D211" s="225" t="s">
        <v>49</v>
      </c>
      <c r="E211" s="228" t="s">
        <v>414</v>
      </c>
      <c r="F211" s="153">
        <v>3.33</v>
      </c>
      <c r="G211" s="113"/>
      <c r="H211" s="157">
        <v>0.2</v>
      </c>
      <c r="I211" s="157"/>
      <c r="J211" s="156"/>
      <c r="K211" s="113"/>
      <c r="L211" s="113"/>
      <c r="M211" s="157">
        <f t="shared" si="163"/>
        <v>0.88250000000000006</v>
      </c>
      <c r="N211" s="171"/>
      <c r="O211" s="190">
        <f t="shared" si="114"/>
        <v>10325.250000000002</v>
      </c>
      <c r="P211" s="225">
        <v>54363</v>
      </c>
      <c r="Q211" s="169">
        <v>45901</v>
      </c>
      <c r="R211" s="113">
        <f t="shared" si="164"/>
        <v>15.5</v>
      </c>
      <c r="S211" s="228">
        <v>15</v>
      </c>
      <c r="T211" s="228">
        <v>2</v>
      </c>
      <c r="U211" s="113">
        <f t="shared" si="165"/>
        <v>286</v>
      </c>
      <c r="V211" s="187">
        <f t="shared" si="166"/>
        <v>24</v>
      </c>
      <c r="W211" s="228">
        <v>23</v>
      </c>
      <c r="X211" s="228">
        <v>10</v>
      </c>
      <c r="Y211" s="189"/>
      <c r="Z211" s="153"/>
      <c r="AA211" s="189"/>
      <c r="AB211" s="189"/>
      <c r="AC211" s="177">
        <f t="shared" si="167"/>
        <v>766649.81250000023</v>
      </c>
      <c r="AD211" s="178">
        <f t="shared" si="168"/>
        <v>495612.00000000012</v>
      </c>
      <c r="AE211" s="179">
        <f t="shared" si="169"/>
        <v>240062.06250000006</v>
      </c>
      <c r="AF211" s="180">
        <f t="shared" si="170"/>
        <v>30975.750000000007</v>
      </c>
      <c r="AG211" s="165">
        <f t="shared" si="171"/>
        <v>0</v>
      </c>
      <c r="AH211" s="196">
        <f t="shared" si="162"/>
        <v>766650</v>
      </c>
      <c r="AI211" s="162"/>
      <c r="AJ211" s="197">
        <f t="shared" si="172"/>
        <v>766650</v>
      </c>
    </row>
    <row r="212" spans="1:36" ht="34.950000000000003" customHeight="1" x14ac:dyDescent="0.25">
      <c r="A212" s="188">
        <v>37</v>
      </c>
      <c r="B212" s="239" t="s">
        <v>783</v>
      </c>
      <c r="C212" s="239"/>
      <c r="D212" s="239"/>
      <c r="E212" s="188"/>
      <c r="F212" s="153"/>
      <c r="G212" s="113"/>
      <c r="H212" s="157"/>
      <c r="I212" s="157"/>
      <c r="J212" s="156"/>
      <c r="K212" s="113"/>
      <c r="L212" s="113"/>
      <c r="M212" s="157"/>
      <c r="N212" s="171"/>
      <c r="O212" s="190">
        <f t="shared" si="114"/>
        <v>0</v>
      </c>
      <c r="P212" s="188"/>
      <c r="Q212" s="169"/>
      <c r="R212" s="188"/>
      <c r="S212" s="188"/>
      <c r="T212" s="188"/>
      <c r="U212" s="113"/>
      <c r="V212" s="240"/>
      <c r="W212" s="188"/>
      <c r="X212" s="188"/>
      <c r="Y212" s="242">
        <f>SUM(Y213:Y219)</f>
        <v>0</v>
      </c>
      <c r="Z212" s="242">
        <f t="shared" ref="Z212:AJ212" si="173">SUM(Z213:Z219)</f>
        <v>0</v>
      </c>
      <c r="AA212" s="242">
        <f t="shared" si="173"/>
        <v>0</v>
      </c>
      <c r="AB212" s="242">
        <f t="shared" si="173"/>
        <v>0</v>
      </c>
      <c r="AC212" s="242">
        <f t="shared" si="173"/>
        <v>5199604.3125</v>
      </c>
      <c r="AD212" s="242">
        <f t="shared" si="173"/>
        <v>3296592</v>
      </c>
      <c r="AE212" s="242">
        <f t="shared" si="173"/>
        <v>1696975.3125</v>
      </c>
      <c r="AF212" s="242">
        <f t="shared" si="173"/>
        <v>206037</v>
      </c>
      <c r="AG212" s="242">
        <f t="shared" si="173"/>
        <v>0</v>
      </c>
      <c r="AH212" s="242">
        <f t="shared" si="173"/>
        <v>5199604</v>
      </c>
      <c r="AI212" s="242">
        <f t="shared" si="173"/>
        <v>0</v>
      </c>
      <c r="AJ212" s="193">
        <f t="shared" si="173"/>
        <v>5199604</v>
      </c>
    </row>
    <row r="213" spans="1:36" ht="31.2" x14ac:dyDescent="0.25">
      <c r="A213" s="113">
        <v>1</v>
      </c>
      <c r="B213" s="111" t="s">
        <v>784</v>
      </c>
      <c r="C213" s="113" t="s">
        <v>785</v>
      </c>
      <c r="D213" s="113" t="s">
        <v>391</v>
      </c>
      <c r="E213" s="113" t="s">
        <v>786</v>
      </c>
      <c r="F213" s="153">
        <v>3.33</v>
      </c>
      <c r="G213" s="113"/>
      <c r="H213" s="157">
        <v>0.25</v>
      </c>
      <c r="I213" s="157"/>
      <c r="J213" s="156"/>
      <c r="K213" s="113"/>
      <c r="L213" s="113"/>
      <c r="M213" s="157">
        <f t="shared" ref="M213:M234" si="174">(F213+G213+H213+I213)*25%</f>
        <v>0.89500000000000002</v>
      </c>
      <c r="N213" s="171"/>
      <c r="O213" s="190">
        <f t="shared" si="114"/>
        <v>10471.5</v>
      </c>
      <c r="P213" s="243" t="s">
        <v>787</v>
      </c>
      <c r="Q213" s="169">
        <v>45901</v>
      </c>
      <c r="R213" s="113">
        <f t="shared" ref="R213:R219" si="175">(S213)+(IF(T213=0,0,IF(T213&lt;7,1/2,1)))</f>
        <v>10</v>
      </c>
      <c r="S213" s="113">
        <v>9</v>
      </c>
      <c r="T213" s="113">
        <v>8</v>
      </c>
      <c r="U213" s="113">
        <f t="shared" ref="U213:U253" si="176">(W213*12)+X213</f>
        <v>269</v>
      </c>
      <c r="V213" s="187">
        <f t="shared" ref="V213:V219" si="177">(W213)+(IF(X213=0,0,IF(X213&lt;6,1/2,1)))</f>
        <v>22.5</v>
      </c>
      <c r="W213" s="113">
        <v>22</v>
      </c>
      <c r="X213" s="113">
        <v>5</v>
      </c>
      <c r="Y213" s="189"/>
      <c r="Z213" s="153"/>
      <c r="AA213" s="189"/>
      <c r="AB213" s="189"/>
      <c r="AC213" s="177">
        <f t="shared" ref="AC213:AC219" si="178">AD213+AE213+AF213</f>
        <v>691119</v>
      </c>
      <c r="AD213" s="178">
        <f t="shared" ref="AD213:AD219" si="179">0.8*60*O213</f>
        <v>502632</v>
      </c>
      <c r="AE213" s="179">
        <f t="shared" ref="AE213:AE219" si="180">1.5*O213*R213</f>
        <v>157072.5</v>
      </c>
      <c r="AF213" s="180">
        <f t="shared" ref="AF213:AF219" si="181">3*O213</f>
        <v>31414.5</v>
      </c>
      <c r="AG213" s="165">
        <f t="shared" ref="AG213:AG219" si="182">ROUND(Y213+Z213,0)</f>
        <v>0</v>
      </c>
      <c r="AH213" s="196">
        <f t="shared" ref="AH213:AH274" si="183">ROUND(AC213,0)</f>
        <v>691119</v>
      </c>
      <c r="AI213" s="162"/>
      <c r="AJ213" s="197">
        <f t="shared" ref="AJ213:AJ219" si="184">AG213+AH213+AI213</f>
        <v>691119</v>
      </c>
    </row>
    <row r="214" spans="1:36" ht="31.2" x14ac:dyDescent="0.25">
      <c r="A214" s="113">
        <v>2</v>
      </c>
      <c r="B214" s="111" t="s">
        <v>788</v>
      </c>
      <c r="C214" s="112">
        <v>29110</v>
      </c>
      <c r="D214" s="113" t="s">
        <v>391</v>
      </c>
      <c r="E214" s="113" t="s">
        <v>789</v>
      </c>
      <c r="F214" s="153">
        <v>3.33</v>
      </c>
      <c r="G214" s="113"/>
      <c r="H214" s="157"/>
      <c r="I214" s="157"/>
      <c r="J214" s="156"/>
      <c r="K214" s="113"/>
      <c r="L214" s="113"/>
      <c r="M214" s="157">
        <f t="shared" si="174"/>
        <v>0.83250000000000002</v>
      </c>
      <c r="N214" s="171"/>
      <c r="O214" s="190">
        <f t="shared" si="114"/>
        <v>9740.25</v>
      </c>
      <c r="P214" s="169" t="s">
        <v>546</v>
      </c>
      <c r="Q214" s="169">
        <v>45901</v>
      </c>
      <c r="R214" s="113">
        <f t="shared" si="175"/>
        <v>21</v>
      </c>
      <c r="S214" s="113">
        <v>21</v>
      </c>
      <c r="T214" s="113">
        <v>0</v>
      </c>
      <c r="U214" s="113">
        <f t="shared" si="176"/>
        <v>169</v>
      </c>
      <c r="V214" s="187">
        <f t="shared" si="177"/>
        <v>14.5</v>
      </c>
      <c r="W214" s="113">
        <v>14</v>
      </c>
      <c r="X214" s="113">
        <v>1</v>
      </c>
      <c r="Y214" s="189"/>
      <c r="Z214" s="153"/>
      <c r="AA214" s="189"/>
      <c r="AB214" s="189"/>
      <c r="AC214" s="177">
        <f t="shared" si="178"/>
        <v>803570.625</v>
      </c>
      <c r="AD214" s="178">
        <f t="shared" si="179"/>
        <v>467532</v>
      </c>
      <c r="AE214" s="179">
        <f t="shared" si="180"/>
        <v>306817.875</v>
      </c>
      <c r="AF214" s="180">
        <f t="shared" si="181"/>
        <v>29220.75</v>
      </c>
      <c r="AG214" s="165">
        <f t="shared" si="182"/>
        <v>0</v>
      </c>
      <c r="AH214" s="196">
        <f t="shared" si="183"/>
        <v>803571</v>
      </c>
      <c r="AI214" s="162"/>
      <c r="AJ214" s="197">
        <f t="shared" si="184"/>
        <v>803571</v>
      </c>
    </row>
    <row r="215" spans="1:36" ht="31.2" x14ac:dyDescent="0.25">
      <c r="A215" s="113">
        <v>3</v>
      </c>
      <c r="B215" s="111" t="s">
        <v>790</v>
      </c>
      <c r="C215" s="112">
        <v>27645</v>
      </c>
      <c r="D215" s="113" t="s">
        <v>391</v>
      </c>
      <c r="E215" s="113" t="s">
        <v>435</v>
      </c>
      <c r="F215" s="153">
        <v>2.67</v>
      </c>
      <c r="G215" s="113"/>
      <c r="H215" s="157">
        <v>0.25</v>
      </c>
      <c r="I215" s="157"/>
      <c r="J215" s="156"/>
      <c r="K215" s="113"/>
      <c r="L215" s="113"/>
      <c r="M215" s="157">
        <f t="shared" si="174"/>
        <v>0.73</v>
      </c>
      <c r="N215" s="171"/>
      <c r="O215" s="190">
        <f t="shared" si="114"/>
        <v>8541</v>
      </c>
      <c r="P215" s="169" t="s">
        <v>164</v>
      </c>
      <c r="Q215" s="169">
        <v>45901</v>
      </c>
      <c r="R215" s="113">
        <f t="shared" si="175"/>
        <v>9.5</v>
      </c>
      <c r="S215" s="113">
        <v>9</v>
      </c>
      <c r="T215" s="113">
        <v>2</v>
      </c>
      <c r="U215" s="113">
        <f t="shared" si="176"/>
        <v>120</v>
      </c>
      <c r="V215" s="187">
        <f t="shared" si="177"/>
        <v>10</v>
      </c>
      <c r="W215" s="113">
        <v>10</v>
      </c>
      <c r="X215" s="113">
        <v>0</v>
      </c>
      <c r="Y215" s="189"/>
      <c r="Z215" s="153"/>
      <c r="AA215" s="189"/>
      <c r="AB215" s="189"/>
      <c r="AC215" s="177">
        <f t="shared" si="178"/>
        <v>557300.25</v>
      </c>
      <c r="AD215" s="178">
        <f t="shared" si="179"/>
        <v>409968</v>
      </c>
      <c r="AE215" s="179">
        <f t="shared" si="180"/>
        <v>121709.25</v>
      </c>
      <c r="AF215" s="180">
        <f t="shared" si="181"/>
        <v>25623</v>
      </c>
      <c r="AG215" s="165">
        <f t="shared" si="182"/>
        <v>0</v>
      </c>
      <c r="AH215" s="196">
        <f t="shared" si="183"/>
        <v>557300</v>
      </c>
      <c r="AI215" s="162"/>
      <c r="AJ215" s="197">
        <f t="shared" si="184"/>
        <v>557300</v>
      </c>
    </row>
    <row r="216" spans="1:36" ht="31.2" x14ac:dyDescent="0.25">
      <c r="A216" s="113">
        <v>4</v>
      </c>
      <c r="B216" s="111" t="s">
        <v>791</v>
      </c>
      <c r="C216" s="112">
        <v>27375</v>
      </c>
      <c r="D216" s="113" t="s">
        <v>456</v>
      </c>
      <c r="E216" s="113" t="s">
        <v>424</v>
      </c>
      <c r="F216" s="153">
        <v>3</v>
      </c>
      <c r="G216" s="113"/>
      <c r="H216" s="157"/>
      <c r="I216" s="157"/>
      <c r="J216" s="156"/>
      <c r="K216" s="113"/>
      <c r="L216" s="113"/>
      <c r="M216" s="157">
        <f t="shared" si="174"/>
        <v>0.75</v>
      </c>
      <c r="N216" s="171"/>
      <c r="O216" s="190">
        <f t="shared" si="114"/>
        <v>8775</v>
      </c>
      <c r="P216" s="169" t="s">
        <v>792</v>
      </c>
      <c r="Q216" s="169">
        <v>45901</v>
      </c>
      <c r="R216" s="113">
        <f t="shared" si="175"/>
        <v>28</v>
      </c>
      <c r="S216" s="113">
        <v>27</v>
      </c>
      <c r="T216" s="113">
        <v>9</v>
      </c>
      <c r="U216" s="113">
        <f t="shared" si="176"/>
        <v>136</v>
      </c>
      <c r="V216" s="187">
        <f t="shared" si="177"/>
        <v>11.5</v>
      </c>
      <c r="W216" s="113">
        <v>11</v>
      </c>
      <c r="X216" s="113">
        <v>4</v>
      </c>
      <c r="Y216" s="189"/>
      <c r="Z216" s="153"/>
      <c r="AA216" s="189"/>
      <c r="AB216" s="189"/>
      <c r="AC216" s="177">
        <f t="shared" si="178"/>
        <v>816075</v>
      </c>
      <c r="AD216" s="178">
        <f t="shared" si="179"/>
        <v>421200</v>
      </c>
      <c r="AE216" s="179">
        <f t="shared" si="180"/>
        <v>368550</v>
      </c>
      <c r="AF216" s="180">
        <f t="shared" si="181"/>
        <v>26325</v>
      </c>
      <c r="AG216" s="165">
        <f t="shared" si="182"/>
        <v>0</v>
      </c>
      <c r="AH216" s="196">
        <f t="shared" si="183"/>
        <v>816075</v>
      </c>
      <c r="AI216" s="162"/>
      <c r="AJ216" s="197">
        <f t="shared" si="184"/>
        <v>816075</v>
      </c>
    </row>
    <row r="217" spans="1:36" ht="39.9" customHeight="1" x14ac:dyDescent="0.25">
      <c r="A217" s="113">
        <v>5</v>
      </c>
      <c r="B217" s="111" t="s">
        <v>793</v>
      </c>
      <c r="C217" s="112">
        <v>33493</v>
      </c>
      <c r="D217" s="113" t="s">
        <v>603</v>
      </c>
      <c r="E217" s="113" t="s">
        <v>604</v>
      </c>
      <c r="F217" s="153">
        <v>3.33</v>
      </c>
      <c r="G217" s="113"/>
      <c r="H217" s="157"/>
      <c r="I217" s="157"/>
      <c r="J217" s="156"/>
      <c r="K217" s="113"/>
      <c r="L217" s="113"/>
      <c r="M217" s="157">
        <f t="shared" si="174"/>
        <v>0.83250000000000002</v>
      </c>
      <c r="N217" s="171"/>
      <c r="O217" s="190">
        <f t="shared" si="114"/>
        <v>9740.25</v>
      </c>
      <c r="P217" s="169" t="s">
        <v>794</v>
      </c>
      <c r="Q217" s="169">
        <v>45901</v>
      </c>
      <c r="R217" s="113">
        <f t="shared" si="175"/>
        <v>12.5</v>
      </c>
      <c r="S217" s="113">
        <v>12</v>
      </c>
      <c r="T217" s="113">
        <v>1</v>
      </c>
      <c r="U217" s="113">
        <f t="shared" si="176"/>
        <v>313</v>
      </c>
      <c r="V217" s="187">
        <f t="shared" si="177"/>
        <v>26.5</v>
      </c>
      <c r="W217" s="113">
        <v>26</v>
      </c>
      <c r="X217" s="113">
        <v>1</v>
      </c>
      <c r="Y217" s="189"/>
      <c r="Z217" s="153"/>
      <c r="AA217" s="189"/>
      <c r="AB217" s="189"/>
      <c r="AC217" s="177">
        <f t="shared" si="178"/>
        <v>679382.4375</v>
      </c>
      <c r="AD217" s="178">
        <f t="shared" si="179"/>
        <v>467532</v>
      </c>
      <c r="AE217" s="179">
        <f t="shared" si="180"/>
        <v>182629.6875</v>
      </c>
      <c r="AF217" s="180">
        <f t="shared" si="181"/>
        <v>29220.75</v>
      </c>
      <c r="AG217" s="165">
        <f t="shared" si="182"/>
        <v>0</v>
      </c>
      <c r="AH217" s="196">
        <f t="shared" si="183"/>
        <v>679382</v>
      </c>
      <c r="AI217" s="162"/>
      <c r="AJ217" s="197">
        <f t="shared" si="184"/>
        <v>679382</v>
      </c>
    </row>
    <row r="218" spans="1:36" ht="39.9" customHeight="1" x14ac:dyDescent="0.25">
      <c r="A218" s="113">
        <v>6</v>
      </c>
      <c r="B218" s="111" t="s">
        <v>795</v>
      </c>
      <c r="C218" s="113" t="s">
        <v>796</v>
      </c>
      <c r="D218" s="113" t="s">
        <v>797</v>
      </c>
      <c r="E218" s="113" t="s">
        <v>604</v>
      </c>
      <c r="F218" s="153">
        <v>3</v>
      </c>
      <c r="G218" s="113"/>
      <c r="H218" s="157"/>
      <c r="I218" s="157"/>
      <c r="J218" s="156"/>
      <c r="K218" s="113"/>
      <c r="L218" s="113"/>
      <c r="M218" s="157">
        <f t="shared" si="174"/>
        <v>0.75</v>
      </c>
      <c r="N218" s="171"/>
      <c r="O218" s="190">
        <f t="shared" si="114"/>
        <v>8775</v>
      </c>
      <c r="P218" s="169" t="s">
        <v>798</v>
      </c>
      <c r="Q218" s="169">
        <v>45901</v>
      </c>
      <c r="R218" s="113">
        <f t="shared" si="175"/>
        <v>8</v>
      </c>
      <c r="S218" s="113">
        <v>7</v>
      </c>
      <c r="T218" s="113">
        <v>8</v>
      </c>
      <c r="U218" s="113">
        <f t="shared" si="176"/>
        <v>359</v>
      </c>
      <c r="V218" s="187">
        <f t="shared" si="177"/>
        <v>30</v>
      </c>
      <c r="W218" s="113">
        <v>29</v>
      </c>
      <c r="X218" s="113">
        <v>11</v>
      </c>
      <c r="Y218" s="189"/>
      <c r="Z218" s="153"/>
      <c r="AA218" s="189"/>
      <c r="AB218" s="189"/>
      <c r="AC218" s="177">
        <f t="shared" si="178"/>
        <v>552825</v>
      </c>
      <c r="AD218" s="178">
        <f t="shared" si="179"/>
        <v>421200</v>
      </c>
      <c r="AE218" s="179">
        <f t="shared" si="180"/>
        <v>105300</v>
      </c>
      <c r="AF218" s="180">
        <f t="shared" si="181"/>
        <v>26325</v>
      </c>
      <c r="AG218" s="165">
        <f t="shared" si="182"/>
        <v>0</v>
      </c>
      <c r="AH218" s="196">
        <f t="shared" si="183"/>
        <v>552825</v>
      </c>
      <c r="AI218" s="162"/>
      <c r="AJ218" s="197">
        <f t="shared" si="184"/>
        <v>552825</v>
      </c>
    </row>
    <row r="219" spans="1:36" ht="39.9" customHeight="1" x14ac:dyDescent="0.25">
      <c r="A219" s="113">
        <v>7</v>
      </c>
      <c r="B219" s="154" t="s">
        <v>799</v>
      </c>
      <c r="C219" s="112">
        <v>28981</v>
      </c>
      <c r="D219" s="113" t="s">
        <v>391</v>
      </c>
      <c r="E219" s="113" t="s">
        <v>604</v>
      </c>
      <c r="F219" s="153">
        <v>4.32</v>
      </c>
      <c r="G219" s="113"/>
      <c r="H219" s="157"/>
      <c r="I219" s="157"/>
      <c r="J219" s="156"/>
      <c r="K219" s="113"/>
      <c r="L219" s="113"/>
      <c r="M219" s="157">
        <f t="shared" si="174"/>
        <v>1.08</v>
      </c>
      <c r="N219" s="171"/>
      <c r="O219" s="190">
        <f t="shared" si="114"/>
        <v>12636</v>
      </c>
      <c r="P219" s="169" t="s">
        <v>800</v>
      </c>
      <c r="Q219" s="169">
        <v>45901</v>
      </c>
      <c r="R219" s="113">
        <f t="shared" si="175"/>
        <v>24</v>
      </c>
      <c r="S219" s="113">
        <v>23</v>
      </c>
      <c r="T219" s="113">
        <v>7</v>
      </c>
      <c r="U219" s="113">
        <f t="shared" si="176"/>
        <v>165</v>
      </c>
      <c r="V219" s="187">
        <f t="shared" si="177"/>
        <v>14</v>
      </c>
      <c r="W219" s="113">
        <v>13</v>
      </c>
      <c r="X219" s="113">
        <v>9</v>
      </c>
      <c r="Y219" s="189"/>
      <c r="Z219" s="153"/>
      <c r="AA219" s="189"/>
      <c r="AB219" s="189"/>
      <c r="AC219" s="177">
        <f t="shared" si="178"/>
        <v>1099332</v>
      </c>
      <c r="AD219" s="178">
        <f t="shared" si="179"/>
        <v>606528</v>
      </c>
      <c r="AE219" s="179">
        <f t="shared" si="180"/>
        <v>454896</v>
      </c>
      <c r="AF219" s="180">
        <f t="shared" si="181"/>
        <v>37908</v>
      </c>
      <c r="AG219" s="165">
        <f t="shared" si="182"/>
        <v>0</v>
      </c>
      <c r="AH219" s="196">
        <f t="shared" si="183"/>
        <v>1099332</v>
      </c>
      <c r="AI219" s="162"/>
      <c r="AJ219" s="197">
        <f t="shared" si="184"/>
        <v>1099332</v>
      </c>
    </row>
    <row r="220" spans="1:36" ht="31.2" x14ac:dyDescent="0.25">
      <c r="A220" s="188">
        <v>38</v>
      </c>
      <c r="B220" s="239" t="s">
        <v>801</v>
      </c>
      <c r="C220" s="239"/>
      <c r="D220" s="239"/>
      <c r="E220" s="188"/>
      <c r="F220" s="153"/>
      <c r="G220" s="113"/>
      <c r="H220" s="157"/>
      <c r="I220" s="157"/>
      <c r="J220" s="156"/>
      <c r="K220" s="113"/>
      <c r="L220" s="113"/>
      <c r="M220" s="157">
        <f t="shared" si="174"/>
        <v>0</v>
      </c>
      <c r="N220" s="171"/>
      <c r="O220" s="190">
        <f t="shared" ref="O220:O282" si="185">SUM(F220:N220)*2340</f>
        <v>0</v>
      </c>
      <c r="P220" s="188"/>
      <c r="Q220" s="169">
        <v>45901</v>
      </c>
      <c r="R220" s="188"/>
      <c r="S220" s="188"/>
      <c r="T220" s="188"/>
      <c r="U220" s="113">
        <f t="shared" si="176"/>
        <v>0</v>
      </c>
      <c r="V220" s="240"/>
      <c r="W220" s="188"/>
      <c r="X220" s="188"/>
      <c r="Y220" s="245">
        <f>SUM(Y221:Y224)</f>
        <v>734467.5</v>
      </c>
      <c r="Z220" s="245">
        <f t="shared" ref="Z220:AJ220" si="186">SUM(Z221:Z224)</f>
        <v>625657.5</v>
      </c>
      <c r="AA220" s="245">
        <f t="shared" si="186"/>
        <v>489645</v>
      </c>
      <c r="AB220" s="245">
        <f t="shared" si="186"/>
        <v>136012.5</v>
      </c>
      <c r="AC220" s="245">
        <f t="shared" si="186"/>
        <v>3147166.9125000006</v>
      </c>
      <c r="AD220" s="245">
        <f t="shared" si="186"/>
        <v>1825059.6</v>
      </c>
      <c r="AE220" s="245">
        <f t="shared" si="186"/>
        <v>1208041.0875000001</v>
      </c>
      <c r="AF220" s="245">
        <f t="shared" si="186"/>
        <v>114066.22500000001</v>
      </c>
      <c r="AG220" s="245">
        <f t="shared" si="186"/>
        <v>1360125</v>
      </c>
      <c r="AH220" s="245">
        <f t="shared" si="186"/>
        <v>3147167</v>
      </c>
      <c r="AI220" s="245">
        <f t="shared" si="186"/>
        <v>0</v>
      </c>
      <c r="AJ220" s="246">
        <f t="shared" si="186"/>
        <v>4507292</v>
      </c>
    </row>
    <row r="221" spans="1:36" ht="31.95" customHeight="1" x14ac:dyDescent="0.25">
      <c r="A221" s="113">
        <v>1</v>
      </c>
      <c r="B221" s="111" t="s">
        <v>802</v>
      </c>
      <c r="C221" s="169">
        <v>27298</v>
      </c>
      <c r="D221" s="112" t="s">
        <v>803</v>
      </c>
      <c r="E221" s="113" t="s">
        <v>387</v>
      </c>
      <c r="F221" s="153">
        <v>4.6500000000000004</v>
      </c>
      <c r="G221" s="113"/>
      <c r="H221" s="157"/>
      <c r="I221" s="157"/>
      <c r="J221" s="156"/>
      <c r="K221" s="113"/>
      <c r="L221" s="113"/>
      <c r="M221" s="157">
        <f t="shared" si="174"/>
        <v>1.1625000000000001</v>
      </c>
      <c r="N221" s="171"/>
      <c r="O221" s="190">
        <f t="shared" si="185"/>
        <v>13601.25</v>
      </c>
      <c r="P221" s="112">
        <v>49096</v>
      </c>
      <c r="Q221" s="169">
        <v>45901</v>
      </c>
      <c r="R221" s="113">
        <f>(S221)+(IF(T221=0,0,IF(T221&lt;7,1/2,1)))</f>
        <v>27</v>
      </c>
      <c r="S221" s="113">
        <v>26</v>
      </c>
      <c r="T221" s="113">
        <v>7</v>
      </c>
      <c r="U221" s="113">
        <f t="shared" si="176"/>
        <v>105</v>
      </c>
      <c r="V221" s="187">
        <f>(W221)+(IF(X221=0,0,IF(X221&lt;6,1/2,1)))</f>
        <v>9</v>
      </c>
      <c r="W221" s="113">
        <v>8</v>
      </c>
      <c r="X221" s="113">
        <v>9</v>
      </c>
      <c r="Y221" s="160">
        <f>0.9*60*O221</f>
        <v>734467.5</v>
      </c>
      <c r="Z221" s="161">
        <f>SUM(AA221:AB221)</f>
        <v>625657.5</v>
      </c>
      <c r="AA221" s="162">
        <f>4*V221*O221</f>
        <v>489645</v>
      </c>
      <c r="AB221" s="163">
        <f>SUM(4*O221)+(0.5*O221*(R221-15))</f>
        <v>136012.5</v>
      </c>
      <c r="AC221" s="177">
        <f>AD221+AE221+AF221</f>
        <v>0</v>
      </c>
      <c r="AD221" s="178"/>
      <c r="AE221" s="179"/>
      <c r="AF221" s="180"/>
      <c r="AG221" s="165">
        <f>ROUND(Y221+Z221,0)</f>
        <v>1360125</v>
      </c>
      <c r="AH221" s="196">
        <f t="shared" si="183"/>
        <v>0</v>
      </c>
      <c r="AI221" s="162"/>
      <c r="AJ221" s="197">
        <f>AG221+AH221+AI221</f>
        <v>1360125</v>
      </c>
    </row>
    <row r="222" spans="1:36" ht="33.6" customHeight="1" x14ac:dyDescent="0.25">
      <c r="A222" s="113">
        <v>2</v>
      </c>
      <c r="B222" s="111" t="s">
        <v>804</v>
      </c>
      <c r="C222" s="169">
        <v>27696</v>
      </c>
      <c r="D222" s="112" t="s">
        <v>805</v>
      </c>
      <c r="E222" s="113" t="s">
        <v>387</v>
      </c>
      <c r="F222" s="153">
        <v>4.9800000000000004</v>
      </c>
      <c r="G222" s="113"/>
      <c r="H222" s="157"/>
      <c r="I222" s="157">
        <f>F222*5%</f>
        <v>0.24900000000000003</v>
      </c>
      <c r="J222" s="156"/>
      <c r="K222" s="113"/>
      <c r="L222" s="113"/>
      <c r="M222" s="157">
        <f t="shared" si="174"/>
        <v>1.30725</v>
      </c>
      <c r="N222" s="171"/>
      <c r="O222" s="190">
        <f t="shared" si="185"/>
        <v>15294.824999999999</v>
      </c>
      <c r="P222" s="112">
        <v>49614</v>
      </c>
      <c r="Q222" s="169">
        <v>45901</v>
      </c>
      <c r="R222" s="113">
        <f>(S222)+(IF(T222=0,0,IF(T222&lt;7,1/2,1)))</f>
        <v>28</v>
      </c>
      <c r="S222" s="113">
        <v>27</v>
      </c>
      <c r="T222" s="113">
        <v>7</v>
      </c>
      <c r="U222" s="113">
        <f t="shared" si="176"/>
        <v>122</v>
      </c>
      <c r="V222" s="187">
        <f>(W222)+(IF(X222=0,0,IF(X222&lt;6,1/2,1)))</f>
        <v>10.5</v>
      </c>
      <c r="W222" s="113">
        <v>10</v>
      </c>
      <c r="X222" s="113">
        <v>2</v>
      </c>
      <c r="Y222" s="189"/>
      <c r="Z222" s="153"/>
      <c r="AA222" s="189"/>
      <c r="AB222" s="189"/>
      <c r="AC222" s="177">
        <f>AD222+AE222+AF222</f>
        <v>1422418.7250000001</v>
      </c>
      <c r="AD222" s="178">
        <f>0.8*60*O222</f>
        <v>734151.6</v>
      </c>
      <c r="AE222" s="179">
        <f>1.5*O222*R222</f>
        <v>642382.65</v>
      </c>
      <c r="AF222" s="180">
        <f>3*O222</f>
        <v>45884.474999999999</v>
      </c>
      <c r="AG222" s="165">
        <f>ROUND(Y222+Z222,0)</f>
        <v>0</v>
      </c>
      <c r="AH222" s="196">
        <f t="shared" si="183"/>
        <v>1422419</v>
      </c>
      <c r="AI222" s="162"/>
      <c r="AJ222" s="197">
        <f>AG222+AH222+AI222</f>
        <v>1422419</v>
      </c>
    </row>
    <row r="223" spans="1:36" ht="37.950000000000003" customHeight="1" x14ac:dyDescent="0.25">
      <c r="A223" s="113">
        <v>3</v>
      </c>
      <c r="B223" s="111" t="s">
        <v>806</v>
      </c>
      <c r="C223" s="112">
        <v>28122</v>
      </c>
      <c r="D223" s="112" t="s">
        <v>391</v>
      </c>
      <c r="E223" s="113" t="s">
        <v>564</v>
      </c>
      <c r="F223" s="153">
        <v>3.33</v>
      </c>
      <c r="G223" s="113"/>
      <c r="H223" s="157">
        <v>0.2</v>
      </c>
      <c r="I223" s="157"/>
      <c r="J223" s="156"/>
      <c r="K223" s="113"/>
      <c r="L223" s="113"/>
      <c r="M223" s="157">
        <f t="shared" si="174"/>
        <v>0.88250000000000006</v>
      </c>
      <c r="N223" s="171"/>
      <c r="O223" s="190">
        <f t="shared" si="185"/>
        <v>10325.250000000002</v>
      </c>
      <c r="P223" s="112">
        <v>50771</v>
      </c>
      <c r="Q223" s="169">
        <v>45901</v>
      </c>
      <c r="R223" s="113">
        <f>(S223)+(IF(T223=0,0,IF(T223&lt;7,1/2,1)))</f>
        <v>12.5</v>
      </c>
      <c r="S223" s="113">
        <v>12</v>
      </c>
      <c r="T223" s="113">
        <v>4</v>
      </c>
      <c r="U223" s="113">
        <f t="shared" si="176"/>
        <v>160</v>
      </c>
      <c r="V223" s="187">
        <f>(W223)+(IF(X223=0,0,IF(X223&lt;6,1/2,1)))</f>
        <v>13.5</v>
      </c>
      <c r="W223" s="113">
        <v>13</v>
      </c>
      <c r="X223" s="113">
        <v>4</v>
      </c>
      <c r="Y223" s="189"/>
      <c r="Z223" s="153"/>
      <c r="AA223" s="189"/>
      <c r="AB223" s="189"/>
      <c r="AC223" s="177">
        <f>AD223+AE223+AF223</f>
        <v>720186.18750000023</v>
      </c>
      <c r="AD223" s="178">
        <f>0.8*60*O223</f>
        <v>495612.00000000012</v>
      </c>
      <c r="AE223" s="179">
        <f>1.5*O223*R223</f>
        <v>193598.43750000006</v>
      </c>
      <c r="AF223" s="180">
        <f>3*O223</f>
        <v>30975.750000000007</v>
      </c>
      <c r="AG223" s="165">
        <f>ROUND(Y223+Z223,0)</f>
        <v>0</v>
      </c>
      <c r="AH223" s="196">
        <f t="shared" si="183"/>
        <v>720186</v>
      </c>
      <c r="AI223" s="162"/>
      <c r="AJ223" s="197">
        <f>AG223+AH223+AI223</f>
        <v>720186</v>
      </c>
    </row>
    <row r="224" spans="1:36" ht="40.950000000000003" customHeight="1" x14ac:dyDescent="0.25">
      <c r="A224" s="113">
        <v>4</v>
      </c>
      <c r="B224" s="111" t="s">
        <v>807</v>
      </c>
      <c r="C224" s="169">
        <v>29197</v>
      </c>
      <c r="D224" s="112" t="s">
        <v>391</v>
      </c>
      <c r="E224" s="113" t="s">
        <v>421</v>
      </c>
      <c r="F224" s="153">
        <v>3.99</v>
      </c>
      <c r="G224" s="113"/>
      <c r="H224" s="157">
        <v>0.25</v>
      </c>
      <c r="I224" s="157"/>
      <c r="J224" s="156"/>
      <c r="K224" s="113"/>
      <c r="L224" s="113"/>
      <c r="M224" s="157">
        <f t="shared" si="174"/>
        <v>1.06</v>
      </c>
      <c r="N224" s="171"/>
      <c r="O224" s="190">
        <f t="shared" si="185"/>
        <v>12402.000000000002</v>
      </c>
      <c r="P224" s="112">
        <v>51867</v>
      </c>
      <c r="Q224" s="169">
        <v>45901</v>
      </c>
      <c r="R224" s="113">
        <f>(S224)+(IF(T224=0,0,IF(T224&lt;7,1/2,1)))</f>
        <v>20</v>
      </c>
      <c r="S224" s="113">
        <v>20</v>
      </c>
      <c r="T224" s="113">
        <v>0</v>
      </c>
      <c r="U224" s="113">
        <f t="shared" si="176"/>
        <v>196</v>
      </c>
      <c r="V224" s="187">
        <f>(W224)+(IF(X224=0,0,IF(X224&lt;6,1/2,1)))</f>
        <v>16.5</v>
      </c>
      <c r="W224" s="113">
        <v>16</v>
      </c>
      <c r="X224" s="113">
        <v>4</v>
      </c>
      <c r="Y224" s="189"/>
      <c r="Z224" s="153"/>
      <c r="AA224" s="189"/>
      <c r="AB224" s="189"/>
      <c r="AC224" s="177">
        <f>AD224+AE224+AF224</f>
        <v>1004562.0000000002</v>
      </c>
      <c r="AD224" s="178">
        <f>0.8*60*O224</f>
        <v>595296.00000000012</v>
      </c>
      <c r="AE224" s="179">
        <f>1.5*O224*R224</f>
        <v>372060.00000000006</v>
      </c>
      <c r="AF224" s="180">
        <f>3*O224</f>
        <v>37206.000000000007</v>
      </c>
      <c r="AG224" s="165">
        <f>ROUND(Y224+Z224,0)</f>
        <v>0</v>
      </c>
      <c r="AH224" s="196">
        <f t="shared" si="183"/>
        <v>1004562</v>
      </c>
      <c r="AI224" s="162"/>
      <c r="AJ224" s="197">
        <f>AG224+AH224+AI224</f>
        <v>1004562</v>
      </c>
    </row>
    <row r="225" spans="1:36" ht="15.6" x14ac:dyDescent="0.25">
      <c r="A225" s="188">
        <v>39</v>
      </c>
      <c r="B225" s="239" t="s">
        <v>808</v>
      </c>
      <c r="C225" s="239"/>
      <c r="D225" s="115"/>
      <c r="E225" s="188"/>
      <c r="F225" s="153"/>
      <c r="G225" s="113"/>
      <c r="H225" s="157"/>
      <c r="I225" s="157"/>
      <c r="J225" s="156"/>
      <c r="K225" s="113"/>
      <c r="L225" s="113"/>
      <c r="M225" s="157">
        <f t="shared" si="174"/>
        <v>0</v>
      </c>
      <c r="N225" s="171"/>
      <c r="O225" s="190">
        <f t="shared" si="185"/>
        <v>0</v>
      </c>
      <c r="P225" s="188"/>
      <c r="Q225" s="433"/>
      <c r="R225" s="188"/>
      <c r="S225" s="188"/>
      <c r="T225" s="188"/>
      <c r="U225" s="113">
        <f t="shared" si="176"/>
        <v>0</v>
      </c>
      <c r="V225" s="188"/>
      <c r="W225" s="188"/>
      <c r="X225" s="188"/>
      <c r="Y225" s="247">
        <f>SUM(Y226:Y234)</f>
        <v>513337.5</v>
      </c>
      <c r="Z225" s="247">
        <f>SUM(Z226:Z234)</f>
        <v>313706.25</v>
      </c>
      <c r="AA225" s="247">
        <f t="shared" ref="AA225:AJ225" si="187">SUM(AA226:AA234)</f>
        <v>266175</v>
      </c>
      <c r="AB225" s="247">
        <f t="shared" si="187"/>
        <v>47531.25</v>
      </c>
      <c r="AC225" s="247">
        <f t="shared" si="187"/>
        <v>8060034.9375</v>
      </c>
      <c r="AD225" s="247">
        <f t="shared" si="187"/>
        <v>4544748</v>
      </c>
      <c r="AE225" s="247">
        <f t="shared" si="187"/>
        <v>3231240.1875</v>
      </c>
      <c r="AF225" s="247">
        <f t="shared" si="187"/>
        <v>284046.75</v>
      </c>
      <c r="AG225" s="247">
        <f t="shared" si="187"/>
        <v>827044</v>
      </c>
      <c r="AH225" s="247">
        <f t="shared" si="187"/>
        <v>8060035</v>
      </c>
      <c r="AI225" s="247">
        <f t="shared" si="187"/>
        <v>0</v>
      </c>
      <c r="AJ225" s="248">
        <f t="shared" si="187"/>
        <v>8887079</v>
      </c>
    </row>
    <row r="226" spans="1:36" ht="36.75" customHeight="1" x14ac:dyDescent="0.25">
      <c r="A226" s="113">
        <v>1</v>
      </c>
      <c r="B226" s="111" t="s">
        <v>809</v>
      </c>
      <c r="C226" s="169" t="s">
        <v>810</v>
      </c>
      <c r="D226" s="112" t="s">
        <v>811</v>
      </c>
      <c r="E226" s="113" t="s">
        <v>444</v>
      </c>
      <c r="F226" s="153">
        <v>3</v>
      </c>
      <c r="G226" s="113"/>
      <c r="H226" s="157">
        <v>0.25</v>
      </c>
      <c r="I226" s="157"/>
      <c r="J226" s="156"/>
      <c r="K226" s="113"/>
      <c r="L226" s="113"/>
      <c r="M226" s="157">
        <f t="shared" si="174"/>
        <v>0.8125</v>
      </c>
      <c r="N226" s="171"/>
      <c r="O226" s="190">
        <f t="shared" si="185"/>
        <v>9506.25</v>
      </c>
      <c r="P226" s="112">
        <v>48335</v>
      </c>
      <c r="Q226" s="195">
        <v>45901</v>
      </c>
      <c r="R226" s="113">
        <f t="shared" ref="R226:R234" si="188">(S226)+(IF(T226=0,0,IF(T226&lt;7,1/2,1)))</f>
        <v>17</v>
      </c>
      <c r="S226" s="113">
        <v>16</v>
      </c>
      <c r="T226" s="113">
        <v>10</v>
      </c>
      <c r="U226" s="113">
        <f t="shared" si="176"/>
        <v>80</v>
      </c>
      <c r="V226" s="187">
        <f t="shared" ref="V226:V234" si="189">(W226)+(IF(X226=0,0,IF(X226&lt;6,1/2,1)))</f>
        <v>7</v>
      </c>
      <c r="W226" s="113">
        <v>6</v>
      </c>
      <c r="X226" s="113">
        <v>8</v>
      </c>
      <c r="Y226" s="160">
        <f>0.9*60*O226</f>
        <v>513337.5</v>
      </c>
      <c r="Z226" s="161">
        <f>SUM(AA226:AB226)</f>
        <v>313706.25</v>
      </c>
      <c r="AA226" s="162">
        <f>4*V226*O226</f>
        <v>266175</v>
      </c>
      <c r="AB226" s="163">
        <f>SUM(4*O226)+(0.5*O226*(R226-15))</f>
        <v>47531.25</v>
      </c>
      <c r="AC226" s="177">
        <f t="shared" ref="AC226:AC234" si="190">AD226+AE226+AF226</f>
        <v>0</v>
      </c>
      <c r="AD226" s="178"/>
      <c r="AE226" s="179"/>
      <c r="AF226" s="180"/>
      <c r="AG226" s="165">
        <f t="shared" ref="AG226:AG234" si="191">ROUND(Y226+Z226,0)</f>
        <v>827044</v>
      </c>
      <c r="AH226" s="196">
        <f t="shared" si="183"/>
        <v>0</v>
      </c>
      <c r="AI226" s="162"/>
      <c r="AJ226" s="197">
        <f t="shared" ref="AJ226:AJ234" si="192">AG226+AH226+AI226</f>
        <v>827044</v>
      </c>
    </row>
    <row r="227" spans="1:36" ht="36.75" customHeight="1" x14ac:dyDescent="0.25">
      <c r="A227" s="113">
        <v>2</v>
      </c>
      <c r="B227" s="111" t="s">
        <v>812</v>
      </c>
      <c r="C227" s="169" t="s">
        <v>813</v>
      </c>
      <c r="D227" s="112" t="s">
        <v>391</v>
      </c>
      <c r="E227" s="113" t="s">
        <v>424</v>
      </c>
      <c r="F227" s="153">
        <v>3.99</v>
      </c>
      <c r="G227" s="113"/>
      <c r="H227" s="157">
        <v>0.2</v>
      </c>
      <c r="I227" s="157"/>
      <c r="J227" s="156"/>
      <c r="K227" s="113"/>
      <c r="L227" s="113"/>
      <c r="M227" s="157">
        <f t="shared" si="174"/>
        <v>1.0475000000000001</v>
      </c>
      <c r="N227" s="171"/>
      <c r="O227" s="190">
        <f t="shared" si="185"/>
        <v>12255.750000000002</v>
      </c>
      <c r="P227" s="112">
        <v>51683</v>
      </c>
      <c r="Q227" s="169">
        <v>45901</v>
      </c>
      <c r="R227" s="113">
        <f t="shared" si="188"/>
        <v>24</v>
      </c>
      <c r="S227" s="113">
        <v>23</v>
      </c>
      <c r="T227" s="113">
        <v>9</v>
      </c>
      <c r="U227" s="113">
        <f t="shared" si="176"/>
        <v>190</v>
      </c>
      <c r="V227" s="187">
        <f t="shared" si="189"/>
        <v>16</v>
      </c>
      <c r="W227" s="113">
        <v>15</v>
      </c>
      <c r="X227" s="113">
        <v>10</v>
      </c>
      <c r="Y227" s="189"/>
      <c r="Z227" s="153"/>
      <c r="AA227" s="189"/>
      <c r="AB227" s="189"/>
      <c r="AC227" s="177">
        <f t="shared" si="190"/>
        <v>1066250.2500000002</v>
      </c>
      <c r="AD227" s="178">
        <f t="shared" ref="AD227:AD234" si="193">0.8*60*O227</f>
        <v>588276.00000000012</v>
      </c>
      <c r="AE227" s="179">
        <f t="shared" ref="AE227:AE234" si="194">1.5*O227*R227</f>
        <v>441207.00000000012</v>
      </c>
      <c r="AF227" s="180">
        <f t="shared" ref="AF227:AF234" si="195">3*O227</f>
        <v>36767.250000000007</v>
      </c>
      <c r="AG227" s="165">
        <f t="shared" si="191"/>
        <v>0</v>
      </c>
      <c r="AH227" s="196">
        <f t="shared" si="183"/>
        <v>1066250</v>
      </c>
      <c r="AI227" s="162"/>
      <c r="AJ227" s="197">
        <f t="shared" si="192"/>
        <v>1066250</v>
      </c>
    </row>
    <row r="228" spans="1:36" ht="36.75" customHeight="1" x14ac:dyDescent="0.25">
      <c r="A228" s="113">
        <v>3</v>
      </c>
      <c r="B228" s="111" t="s">
        <v>814</v>
      </c>
      <c r="C228" s="169" t="s">
        <v>815</v>
      </c>
      <c r="D228" s="112" t="s">
        <v>391</v>
      </c>
      <c r="E228" s="113" t="s">
        <v>427</v>
      </c>
      <c r="F228" s="153">
        <v>3.99</v>
      </c>
      <c r="G228" s="113"/>
      <c r="H228" s="157"/>
      <c r="I228" s="157"/>
      <c r="J228" s="156"/>
      <c r="K228" s="113"/>
      <c r="L228" s="113"/>
      <c r="M228" s="157">
        <f t="shared" si="174"/>
        <v>0.99750000000000005</v>
      </c>
      <c r="N228" s="171"/>
      <c r="O228" s="190">
        <f t="shared" si="185"/>
        <v>11670.750000000002</v>
      </c>
      <c r="P228" s="112">
        <v>51836</v>
      </c>
      <c r="Q228" s="169">
        <v>45901</v>
      </c>
      <c r="R228" s="113">
        <f t="shared" si="188"/>
        <v>22</v>
      </c>
      <c r="S228" s="113">
        <v>22</v>
      </c>
      <c r="T228" s="113"/>
      <c r="U228" s="113">
        <f t="shared" si="176"/>
        <v>195</v>
      </c>
      <c r="V228" s="187">
        <f t="shared" si="189"/>
        <v>16.5</v>
      </c>
      <c r="W228" s="113">
        <v>16</v>
      </c>
      <c r="X228" s="113">
        <v>3</v>
      </c>
      <c r="Y228" s="189"/>
      <c r="Z228" s="153"/>
      <c r="AA228" s="189"/>
      <c r="AB228" s="189"/>
      <c r="AC228" s="177">
        <f t="shared" si="190"/>
        <v>980343.00000000023</v>
      </c>
      <c r="AD228" s="178">
        <f t="shared" si="193"/>
        <v>560196.00000000012</v>
      </c>
      <c r="AE228" s="179">
        <f t="shared" si="194"/>
        <v>385134.75000000006</v>
      </c>
      <c r="AF228" s="180">
        <f t="shared" si="195"/>
        <v>35012.250000000007</v>
      </c>
      <c r="AG228" s="165">
        <f t="shared" si="191"/>
        <v>0</v>
      </c>
      <c r="AH228" s="196">
        <f t="shared" si="183"/>
        <v>980343</v>
      </c>
      <c r="AI228" s="162"/>
      <c r="AJ228" s="197">
        <f t="shared" si="192"/>
        <v>980343</v>
      </c>
    </row>
    <row r="229" spans="1:36" ht="36.75" customHeight="1" x14ac:dyDescent="0.25">
      <c r="A229" s="113">
        <v>4</v>
      </c>
      <c r="B229" s="111" t="s">
        <v>816</v>
      </c>
      <c r="C229" s="169" t="s">
        <v>817</v>
      </c>
      <c r="D229" s="112" t="s">
        <v>811</v>
      </c>
      <c r="E229" s="113" t="s">
        <v>818</v>
      </c>
      <c r="F229" s="153">
        <v>4.32</v>
      </c>
      <c r="G229" s="113"/>
      <c r="H229" s="157">
        <v>0.25</v>
      </c>
      <c r="I229" s="157"/>
      <c r="J229" s="156"/>
      <c r="K229" s="113"/>
      <c r="L229" s="113"/>
      <c r="M229" s="157">
        <f t="shared" si="174"/>
        <v>1.1425000000000001</v>
      </c>
      <c r="N229" s="171"/>
      <c r="O229" s="190">
        <f t="shared" si="185"/>
        <v>13367.25</v>
      </c>
      <c r="P229" s="112">
        <v>51836</v>
      </c>
      <c r="Q229" s="169">
        <v>45901</v>
      </c>
      <c r="R229" s="113">
        <f t="shared" si="188"/>
        <v>23.5</v>
      </c>
      <c r="S229" s="113">
        <v>23</v>
      </c>
      <c r="T229" s="113">
        <v>3</v>
      </c>
      <c r="U229" s="113">
        <f t="shared" si="176"/>
        <v>195</v>
      </c>
      <c r="V229" s="187">
        <f t="shared" si="189"/>
        <v>16.5</v>
      </c>
      <c r="W229" s="113">
        <v>16</v>
      </c>
      <c r="X229" s="113">
        <v>3</v>
      </c>
      <c r="Y229" s="189"/>
      <c r="Z229" s="153"/>
      <c r="AA229" s="189"/>
      <c r="AB229" s="189"/>
      <c r="AC229" s="177">
        <f t="shared" si="190"/>
        <v>1152925.3125</v>
      </c>
      <c r="AD229" s="178">
        <f t="shared" si="193"/>
        <v>641628</v>
      </c>
      <c r="AE229" s="179">
        <f t="shared" si="194"/>
        <v>471195.5625</v>
      </c>
      <c r="AF229" s="180">
        <f t="shared" si="195"/>
        <v>40101.75</v>
      </c>
      <c r="AG229" s="165">
        <f t="shared" si="191"/>
        <v>0</v>
      </c>
      <c r="AH229" s="196">
        <f t="shared" si="183"/>
        <v>1152925</v>
      </c>
      <c r="AI229" s="162"/>
      <c r="AJ229" s="197">
        <f t="shared" si="192"/>
        <v>1152925</v>
      </c>
    </row>
    <row r="230" spans="1:36" ht="36.75" customHeight="1" x14ac:dyDescent="0.25">
      <c r="A230" s="113">
        <v>5</v>
      </c>
      <c r="B230" s="111" t="s">
        <v>819</v>
      </c>
      <c r="C230" s="169" t="s">
        <v>820</v>
      </c>
      <c r="D230" s="112" t="s">
        <v>811</v>
      </c>
      <c r="E230" s="113" t="s">
        <v>387</v>
      </c>
      <c r="F230" s="153">
        <v>3.66</v>
      </c>
      <c r="G230" s="113"/>
      <c r="H230" s="157"/>
      <c r="I230" s="157"/>
      <c r="J230" s="156"/>
      <c r="K230" s="113"/>
      <c r="L230" s="113"/>
      <c r="M230" s="157">
        <f t="shared" si="174"/>
        <v>0.91500000000000004</v>
      </c>
      <c r="N230" s="171"/>
      <c r="O230" s="190">
        <f t="shared" si="185"/>
        <v>10705.5</v>
      </c>
      <c r="P230" s="112">
        <v>51653</v>
      </c>
      <c r="Q230" s="169">
        <v>45901</v>
      </c>
      <c r="R230" s="113">
        <f t="shared" si="188"/>
        <v>24</v>
      </c>
      <c r="S230" s="113">
        <v>23</v>
      </c>
      <c r="T230" s="113">
        <v>8</v>
      </c>
      <c r="U230" s="113">
        <f t="shared" si="176"/>
        <v>189</v>
      </c>
      <c r="V230" s="187">
        <f t="shared" si="189"/>
        <v>16</v>
      </c>
      <c r="W230" s="113">
        <v>15</v>
      </c>
      <c r="X230" s="113">
        <v>9</v>
      </c>
      <c r="Y230" s="189"/>
      <c r="Z230" s="153"/>
      <c r="AA230" s="189"/>
      <c r="AB230" s="189"/>
      <c r="AC230" s="177">
        <f t="shared" si="190"/>
        <v>931378.5</v>
      </c>
      <c r="AD230" s="178">
        <f t="shared" si="193"/>
        <v>513864</v>
      </c>
      <c r="AE230" s="179">
        <f t="shared" si="194"/>
        <v>385398</v>
      </c>
      <c r="AF230" s="180">
        <f t="shared" si="195"/>
        <v>32116.5</v>
      </c>
      <c r="AG230" s="165">
        <f t="shared" si="191"/>
        <v>0</v>
      </c>
      <c r="AH230" s="196">
        <f t="shared" si="183"/>
        <v>931379</v>
      </c>
      <c r="AI230" s="162"/>
      <c r="AJ230" s="197">
        <f t="shared" si="192"/>
        <v>931379</v>
      </c>
    </row>
    <row r="231" spans="1:36" ht="36.75" customHeight="1" x14ac:dyDescent="0.25">
      <c r="A231" s="113">
        <v>6</v>
      </c>
      <c r="B231" s="111" t="s">
        <v>821</v>
      </c>
      <c r="C231" s="169" t="s">
        <v>822</v>
      </c>
      <c r="D231" s="112" t="s">
        <v>811</v>
      </c>
      <c r="E231" s="113" t="s">
        <v>427</v>
      </c>
      <c r="F231" s="153">
        <v>4.32</v>
      </c>
      <c r="G231" s="113"/>
      <c r="H231" s="157"/>
      <c r="I231" s="157"/>
      <c r="J231" s="156"/>
      <c r="K231" s="113"/>
      <c r="L231" s="113"/>
      <c r="M231" s="157">
        <f t="shared" si="174"/>
        <v>1.08</v>
      </c>
      <c r="N231" s="171"/>
      <c r="O231" s="190">
        <f t="shared" si="185"/>
        <v>12636</v>
      </c>
      <c r="P231" s="112">
        <v>50192</v>
      </c>
      <c r="Q231" s="169">
        <v>45901</v>
      </c>
      <c r="R231" s="113">
        <f t="shared" si="188"/>
        <v>25.5</v>
      </c>
      <c r="S231" s="113">
        <v>25</v>
      </c>
      <c r="T231" s="113">
        <v>4</v>
      </c>
      <c r="U231" s="113">
        <f t="shared" si="176"/>
        <v>141</v>
      </c>
      <c r="V231" s="187">
        <f t="shared" si="189"/>
        <v>12</v>
      </c>
      <c r="W231" s="113">
        <v>11</v>
      </c>
      <c r="X231" s="113">
        <v>9</v>
      </c>
      <c r="Y231" s="189"/>
      <c r="Z231" s="153"/>
      <c r="AA231" s="189"/>
      <c r="AB231" s="189"/>
      <c r="AC231" s="177">
        <f t="shared" si="190"/>
        <v>1127763</v>
      </c>
      <c r="AD231" s="178">
        <f t="shared" si="193"/>
        <v>606528</v>
      </c>
      <c r="AE231" s="179">
        <f t="shared" si="194"/>
        <v>483327</v>
      </c>
      <c r="AF231" s="180">
        <f t="shared" si="195"/>
        <v>37908</v>
      </c>
      <c r="AG231" s="165">
        <f t="shared" si="191"/>
        <v>0</v>
      </c>
      <c r="AH231" s="196">
        <f t="shared" si="183"/>
        <v>1127763</v>
      </c>
      <c r="AI231" s="162"/>
      <c r="AJ231" s="197">
        <f t="shared" si="192"/>
        <v>1127763</v>
      </c>
    </row>
    <row r="232" spans="1:36" ht="36.75" customHeight="1" x14ac:dyDescent="0.25">
      <c r="A232" s="113">
        <v>7</v>
      </c>
      <c r="B232" s="111" t="s">
        <v>694</v>
      </c>
      <c r="C232" s="169" t="s">
        <v>823</v>
      </c>
      <c r="D232" s="112" t="s">
        <v>811</v>
      </c>
      <c r="E232" s="113" t="s">
        <v>387</v>
      </c>
      <c r="F232" s="153">
        <v>4.32</v>
      </c>
      <c r="G232" s="113"/>
      <c r="H232" s="157"/>
      <c r="I232" s="157"/>
      <c r="J232" s="156"/>
      <c r="K232" s="113"/>
      <c r="L232" s="113"/>
      <c r="M232" s="157">
        <f t="shared" si="174"/>
        <v>1.08</v>
      </c>
      <c r="N232" s="171"/>
      <c r="O232" s="190">
        <f t="shared" si="185"/>
        <v>12636</v>
      </c>
      <c r="P232" s="112">
        <v>49675</v>
      </c>
      <c r="Q232" s="169">
        <v>45901</v>
      </c>
      <c r="R232" s="113">
        <f t="shared" si="188"/>
        <v>26</v>
      </c>
      <c r="S232" s="113">
        <v>25</v>
      </c>
      <c r="T232" s="113">
        <v>10</v>
      </c>
      <c r="U232" s="113">
        <f t="shared" si="176"/>
        <v>124</v>
      </c>
      <c r="V232" s="187">
        <f t="shared" si="189"/>
        <v>10.5</v>
      </c>
      <c r="W232" s="113">
        <v>10</v>
      </c>
      <c r="X232" s="113">
        <v>4</v>
      </c>
      <c r="Y232" s="189"/>
      <c r="Z232" s="153"/>
      <c r="AA232" s="189"/>
      <c r="AB232" s="189"/>
      <c r="AC232" s="177">
        <f t="shared" si="190"/>
        <v>1137240</v>
      </c>
      <c r="AD232" s="178">
        <f t="shared" si="193"/>
        <v>606528</v>
      </c>
      <c r="AE232" s="179">
        <f t="shared" si="194"/>
        <v>492804</v>
      </c>
      <c r="AF232" s="180">
        <f t="shared" si="195"/>
        <v>37908</v>
      </c>
      <c r="AG232" s="165">
        <f t="shared" si="191"/>
        <v>0</v>
      </c>
      <c r="AH232" s="196">
        <f t="shared" si="183"/>
        <v>1137240</v>
      </c>
      <c r="AI232" s="162"/>
      <c r="AJ232" s="197">
        <f t="shared" si="192"/>
        <v>1137240</v>
      </c>
    </row>
    <row r="233" spans="1:36" ht="36.75" customHeight="1" x14ac:dyDescent="0.25">
      <c r="A233" s="113">
        <v>8</v>
      </c>
      <c r="B233" s="111" t="s">
        <v>824</v>
      </c>
      <c r="C233" s="169" t="s">
        <v>825</v>
      </c>
      <c r="D233" s="112" t="s">
        <v>811</v>
      </c>
      <c r="E233" s="113" t="s">
        <v>427</v>
      </c>
      <c r="F233" s="153">
        <v>3.33</v>
      </c>
      <c r="G233" s="113"/>
      <c r="H233" s="157"/>
      <c r="I233" s="157"/>
      <c r="J233" s="156"/>
      <c r="K233" s="113"/>
      <c r="L233" s="113"/>
      <c r="M233" s="157">
        <f t="shared" si="174"/>
        <v>0.83250000000000002</v>
      </c>
      <c r="N233" s="171"/>
      <c r="O233" s="190">
        <f t="shared" si="185"/>
        <v>9740.25</v>
      </c>
      <c r="P233" s="112">
        <v>52749</v>
      </c>
      <c r="Q233" s="169">
        <v>45901</v>
      </c>
      <c r="R233" s="113">
        <f t="shared" si="188"/>
        <v>14</v>
      </c>
      <c r="S233" s="113">
        <v>13</v>
      </c>
      <c r="T233" s="113">
        <v>11</v>
      </c>
      <c r="U233" s="113">
        <f t="shared" si="176"/>
        <v>225</v>
      </c>
      <c r="V233" s="187">
        <f t="shared" si="189"/>
        <v>19</v>
      </c>
      <c r="W233" s="113">
        <v>18</v>
      </c>
      <c r="X233" s="113">
        <v>9</v>
      </c>
      <c r="Y233" s="189"/>
      <c r="Z233" s="153"/>
      <c r="AA233" s="189"/>
      <c r="AB233" s="189"/>
      <c r="AC233" s="177">
        <f t="shared" si="190"/>
        <v>701298</v>
      </c>
      <c r="AD233" s="178">
        <f t="shared" si="193"/>
        <v>467532</v>
      </c>
      <c r="AE233" s="179">
        <f t="shared" si="194"/>
        <v>204545.25</v>
      </c>
      <c r="AF233" s="180">
        <f t="shared" si="195"/>
        <v>29220.75</v>
      </c>
      <c r="AG233" s="165">
        <f t="shared" si="191"/>
        <v>0</v>
      </c>
      <c r="AH233" s="196">
        <f t="shared" si="183"/>
        <v>701298</v>
      </c>
      <c r="AI233" s="162"/>
      <c r="AJ233" s="197">
        <f t="shared" si="192"/>
        <v>701298</v>
      </c>
    </row>
    <row r="234" spans="1:36" ht="36.75" customHeight="1" x14ac:dyDescent="0.25">
      <c r="A234" s="113">
        <v>9</v>
      </c>
      <c r="B234" s="111" t="s">
        <v>826</v>
      </c>
      <c r="C234" s="169" t="s">
        <v>827</v>
      </c>
      <c r="D234" s="112" t="s">
        <v>811</v>
      </c>
      <c r="E234" s="113" t="s">
        <v>387</v>
      </c>
      <c r="F234" s="153">
        <v>3.99</v>
      </c>
      <c r="G234" s="113"/>
      <c r="H234" s="157"/>
      <c r="I234" s="157"/>
      <c r="J234" s="156"/>
      <c r="K234" s="113"/>
      <c r="L234" s="113"/>
      <c r="M234" s="157">
        <f t="shared" si="174"/>
        <v>0.99750000000000005</v>
      </c>
      <c r="N234" s="171"/>
      <c r="O234" s="190">
        <f t="shared" si="185"/>
        <v>11670.750000000002</v>
      </c>
      <c r="P234" s="112">
        <v>52383</v>
      </c>
      <c r="Q234" s="169">
        <v>45901</v>
      </c>
      <c r="R234" s="113">
        <f t="shared" si="188"/>
        <v>21</v>
      </c>
      <c r="S234" s="113">
        <v>20</v>
      </c>
      <c r="T234" s="113">
        <v>8</v>
      </c>
      <c r="U234" s="113">
        <f t="shared" si="176"/>
        <v>213</v>
      </c>
      <c r="V234" s="187">
        <f t="shared" si="189"/>
        <v>18</v>
      </c>
      <c r="W234" s="113">
        <v>17</v>
      </c>
      <c r="X234" s="113">
        <v>9</v>
      </c>
      <c r="Y234" s="189"/>
      <c r="Z234" s="153"/>
      <c r="AA234" s="189"/>
      <c r="AB234" s="189"/>
      <c r="AC234" s="177">
        <f t="shared" si="190"/>
        <v>962836.87500000023</v>
      </c>
      <c r="AD234" s="178">
        <f t="shared" si="193"/>
        <v>560196.00000000012</v>
      </c>
      <c r="AE234" s="179">
        <f t="shared" si="194"/>
        <v>367628.62500000006</v>
      </c>
      <c r="AF234" s="180">
        <f t="shared" si="195"/>
        <v>35012.250000000007</v>
      </c>
      <c r="AG234" s="165">
        <f t="shared" si="191"/>
        <v>0</v>
      </c>
      <c r="AH234" s="196">
        <f t="shared" si="183"/>
        <v>962837</v>
      </c>
      <c r="AI234" s="162"/>
      <c r="AJ234" s="197">
        <f t="shared" si="192"/>
        <v>962837</v>
      </c>
    </row>
    <row r="235" spans="1:36" ht="31.2" x14ac:dyDescent="0.25">
      <c r="A235" s="188">
        <v>40</v>
      </c>
      <c r="B235" s="239" t="s">
        <v>828</v>
      </c>
      <c r="C235" s="239"/>
      <c r="D235" s="115"/>
      <c r="E235" s="188"/>
      <c r="F235" s="153"/>
      <c r="G235" s="113"/>
      <c r="H235" s="157"/>
      <c r="I235" s="157"/>
      <c r="J235" s="156"/>
      <c r="K235" s="113"/>
      <c r="L235" s="113"/>
      <c r="M235" s="157"/>
      <c r="N235" s="171"/>
      <c r="O235" s="190">
        <f t="shared" si="185"/>
        <v>0</v>
      </c>
      <c r="P235" s="188"/>
      <c r="Q235" s="169"/>
      <c r="R235" s="188"/>
      <c r="S235" s="188"/>
      <c r="T235" s="188"/>
      <c r="U235" s="113">
        <f t="shared" si="176"/>
        <v>0</v>
      </c>
      <c r="V235" s="188"/>
      <c r="W235" s="188"/>
      <c r="X235" s="188"/>
      <c r="Y235" s="247">
        <f>SUM(Y236:Y246)</f>
        <v>1318882.5</v>
      </c>
      <c r="Z235" s="247">
        <f>SUM(Z236:Z246)</f>
        <v>1110476.25</v>
      </c>
      <c r="AA235" s="247">
        <f t="shared" ref="AA235:AJ235" si="196">SUM(AA236:AA246)</f>
        <v>859072.5</v>
      </c>
      <c r="AB235" s="247">
        <f t="shared" si="196"/>
        <v>251403.75</v>
      </c>
      <c r="AC235" s="247">
        <f t="shared" si="196"/>
        <v>7568207.5949999997</v>
      </c>
      <c r="AD235" s="247">
        <f t="shared" si="196"/>
        <v>4636513.4399999995</v>
      </c>
      <c r="AE235" s="247">
        <f t="shared" si="196"/>
        <v>2674586.6549999998</v>
      </c>
      <c r="AF235" s="247">
        <f t="shared" si="196"/>
        <v>257107.5</v>
      </c>
      <c r="AG235" s="247">
        <f t="shared" si="196"/>
        <v>2429359</v>
      </c>
      <c r="AH235" s="247">
        <f t="shared" si="196"/>
        <v>7568208</v>
      </c>
      <c r="AI235" s="247">
        <f t="shared" si="196"/>
        <v>0</v>
      </c>
      <c r="AJ235" s="248">
        <f t="shared" si="196"/>
        <v>9997567</v>
      </c>
    </row>
    <row r="236" spans="1:36" ht="31.2" x14ac:dyDescent="0.25">
      <c r="A236" s="113">
        <v>1</v>
      </c>
      <c r="B236" s="111" t="s">
        <v>829</v>
      </c>
      <c r="C236" s="112">
        <v>26897</v>
      </c>
      <c r="D236" s="113" t="s">
        <v>49</v>
      </c>
      <c r="E236" s="113" t="s">
        <v>427</v>
      </c>
      <c r="F236" s="153">
        <v>4.32</v>
      </c>
      <c r="G236" s="113"/>
      <c r="H236" s="157"/>
      <c r="I236" s="157"/>
      <c r="J236" s="156"/>
      <c r="K236" s="113"/>
      <c r="L236" s="113"/>
      <c r="M236" s="157">
        <f t="shared" ref="M236:M246" si="197">(F236+G236+H236+I236)*25%</f>
        <v>1.08</v>
      </c>
      <c r="N236" s="171"/>
      <c r="O236" s="190">
        <f t="shared" si="185"/>
        <v>12636</v>
      </c>
      <c r="P236" s="112">
        <v>49553</v>
      </c>
      <c r="Q236" s="169">
        <v>45901</v>
      </c>
      <c r="R236" s="113">
        <f t="shared" ref="R236:R246" si="198">(S236)+(IF(T236=0,0,IF(T236&lt;7,1/2,1)))</f>
        <v>30</v>
      </c>
      <c r="S236" s="113">
        <v>29</v>
      </c>
      <c r="T236" s="113">
        <v>8</v>
      </c>
      <c r="U236" s="113">
        <f t="shared" si="176"/>
        <v>120</v>
      </c>
      <c r="V236" s="187">
        <f t="shared" ref="V236:V246" si="199">(W236)+(IF(X236=0,0,IF(X236&lt;6,1/2,1)))</f>
        <v>10</v>
      </c>
      <c r="W236" s="113">
        <v>10</v>
      </c>
      <c r="X236" s="113">
        <v>0</v>
      </c>
      <c r="Y236" s="160">
        <f>0.9*60*O236</f>
        <v>682344</v>
      </c>
      <c r="Z236" s="161">
        <f>SUM(AA236:AB236)</f>
        <v>650754</v>
      </c>
      <c r="AA236" s="162">
        <f>4*V236*O236</f>
        <v>505440</v>
      </c>
      <c r="AB236" s="163">
        <f>SUM(4*O236)+(0.5*O236*(R236-15))</f>
        <v>145314</v>
      </c>
      <c r="AC236" s="177">
        <f t="shared" ref="AC236:AC246" si="200">AD236+AE236+AF236</f>
        <v>0</v>
      </c>
      <c r="AD236" s="178"/>
      <c r="AE236" s="179"/>
      <c r="AF236" s="180"/>
      <c r="AG236" s="165">
        <f t="shared" ref="AG236:AG246" si="201">ROUND(Y236+Z236,0)</f>
        <v>1333098</v>
      </c>
      <c r="AH236" s="196">
        <f t="shared" si="183"/>
        <v>0</v>
      </c>
      <c r="AI236" s="162"/>
      <c r="AJ236" s="197">
        <f t="shared" ref="AJ236:AJ246" si="202">AG236+AH236+AI236</f>
        <v>1333098</v>
      </c>
    </row>
    <row r="237" spans="1:36" ht="15.6" x14ac:dyDescent="0.25">
      <c r="A237" s="113">
        <v>2</v>
      </c>
      <c r="B237" s="111" t="s">
        <v>409</v>
      </c>
      <c r="C237" s="112">
        <v>25870</v>
      </c>
      <c r="D237" s="113" t="s">
        <v>104</v>
      </c>
      <c r="E237" s="113" t="s">
        <v>830</v>
      </c>
      <c r="F237" s="153">
        <v>4.03</v>
      </c>
      <c r="G237" s="113"/>
      <c r="H237" s="157"/>
      <c r="I237" s="157"/>
      <c r="J237" s="156"/>
      <c r="K237" s="113"/>
      <c r="L237" s="113"/>
      <c r="M237" s="157">
        <f t="shared" si="197"/>
        <v>1.0075000000000001</v>
      </c>
      <c r="N237" s="171"/>
      <c r="O237" s="190">
        <f t="shared" si="185"/>
        <v>11787.750000000002</v>
      </c>
      <c r="P237" s="112" t="s">
        <v>831</v>
      </c>
      <c r="Q237" s="169">
        <v>45901</v>
      </c>
      <c r="R237" s="113">
        <f t="shared" si="198"/>
        <v>25</v>
      </c>
      <c r="S237" s="113">
        <v>24</v>
      </c>
      <c r="T237" s="113">
        <v>9</v>
      </c>
      <c r="U237" s="113">
        <f t="shared" si="176"/>
        <v>86</v>
      </c>
      <c r="V237" s="187">
        <f t="shared" si="199"/>
        <v>7.5</v>
      </c>
      <c r="W237" s="113">
        <v>7</v>
      </c>
      <c r="X237" s="113">
        <v>2</v>
      </c>
      <c r="Y237" s="160">
        <f>0.9*60*O237</f>
        <v>636538.50000000012</v>
      </c>
      <c r="Z237" s="161">
        <f>SUM(AA237:AB237)</f>
        <v>459722.25000000006</v>
      </c>
      <c r="AA237" s="162">
        <f>4*V237*O237</f>
        <v>353632.50000000006</v>
      </c>
      <c r="AB237" s="163">
        <f>SUM(4*O237)+(0.5*O237*(R237-15))</f>
        <v>106089.75000000001</v>
      </c>
      <c r="AC237" s="177">
        <f t="shared" si="200"/>
        <v>0</v>
      </c>
      <c r="AD237" s="178"/>
      <c r="AE237" s="179"/>
      <c r="AF237" s="180"/>
      <c r="AG237" s="165">
        <f t="shared" si="201"/>
        <v>1096261</v>
      </c>
      <c r="AH237" s="196">
        <f t="shared" si="183"/>
        <v>0</v>
      </c>
      <c r="AI237" s="162"/>
      <c r="AJ237" s="197">
        <f t="shared" si="202"/>
        <v>1096261</v>
      </c>
    </row>
    <row r="238" spans="1:36" ht="31.2" x14ac:dyDescent="0.25">
      <c r="A238" s="113">
        <v>3</v>
      </c>
      <c r="B238" s="111" t="s">
        <v>832</v>
      </c>
      <c r="C238" s="112">
        <v>28970</v>
      </c>
      <c r="D238" s="113" t="s">
        <v>49</v>
      </c>
      <c r="E238" s="113" t="s">
        <v>712</v>
      </c>
      <c r="F238" s="153">
        <v>3</v>
      </c>
      <c r="G238" s="113"/>
      <c r="H238" s="157">
        <v>0.2</v>
      </c>
      <c r="I238" s="157"/>
      <c r="J238" s="156"/>
      <c r="K238" s="113"/>
      <c r="L238" s="113"/>
      <c r="M238" s="157">
        <f t="shared" si="197"/>
        <v>0.8</v>
      </c>
      <c r="N238" s="171"/>
      <c r="O238" s="190">
        <f t="shared" si="185"/>
        <v>9360</v>
      </c>
      <c r="P238" s="112">
        <v>51622</v>
      </c>
      <c r="Q238" s="169">
        <v>45901</v>
      </c>
      <c r="R238" s="113">
        <f t="shared" si="198"/>
        <v>10</v>
      </c>
      <c r="S238" s="113">
        <v>9</v>
      </c>
      <c r="T238" s="113">
        <v>11</v>
      </c>
      <c r="U238" s="113">
        <f t="shared" si="176"/>
        <v>188</v>
      </c>
      <c r="V238" s="187">
        <f t="shared" si="199"/>
        <v>16</v>
      </c>
      <c r="W238" s="113">
        <v>15</v>
      </c>
      <c r="X238" s="113">
        <v>8</v>
      </c>
      <c r="Y238" s="189"/>
      <c r="Z238" s="153"/>
      <c r="AA238" s="189"/>
      <c r="AB238" s="189"/>
      <c r="AC238" s="177">
        <f t="shared" si="200"/>
        <v>617760</v>
      </c>
      <c r="AD238" s="178">
        <f t="shared" ref="AD238:AD246" si="203">0.8*60*O238</f>
        <v>449280</v>
      </c>
      <c r="AE238" s="179">
        <f t="shared" ref="AE238:AE246" si="204">1.5*O238*R238</f>
        <v>140400</v>
      </c>
      <c r="AF238" s="180">
        <f t="shared" ref="AF238:AF245" si="205">3*O238</f>
        <v>28080</v>
      </c>
      <c r="AG238" s="165">
        <f t="shared" si="201"/>
        <v>0</v>
      </c>
      <c r="AH238" s="196">
        <f t="shared" si="183"/>
        <v>617760</v>
      </c>
      <c r="AI238" s="162"/>
      <c r="AJ238" s="197">
        <f t="shared" si="202"/>
        <v>617760</v>
      </c>
    </row>
    <row r="239" spans="1:36" ht="31.2" x14ac:dyDescent="0.25">
      <c r="A239" s="113">
        <v>4</v>
      </c>
      <c r="B239" s="111" t="s">
        <v>833</v>
      </c>
      <c r="C239" s="112">
        <v>27093</v>
      </c>
      <c r="D239" s="113" t="s">
        <v>49</v>
      </c>
      <c r="E239" s="113" t="s">
        <v>396</v>
      </c>
      <c r="F239" s="153">
        <v>3</v>
      </c>
      <c r="G239" s="113"/>
      <c r="H239" s="157"/>
      <c r="I239" s="157"/>
      <c r="J239" s="156"/>
      <c r="K239" s="113"/>
      <c r="L239" s="113"/>
      <c r="M239" s="157">
        <f t="shared" si="197"/>
        <v>0.75</v>
      </c>
      <c r="N239" s="171"/>
      <c r="O239" s="190">
        <f t="shared" si="185"/>
        <v>8775</v>
      </c>
      <c r="P239" s="112">
        <v>48792</v>
      </c>
      <c r="Q239" s="169">
        <v>45901</v>
      </c>
      <c r="R239" s="113">
        <f t="shared" si="198"/>
        <v>12.5</v>
      </c>
      <c r="S239" s="113">
        <v>12</v>
      </c>
      <c r="T239" s="113">
        <v>5</v>
      </c>
      <c r="U239" s="113">
        <f t="shared" si="176"/>
        <v>95</v>
      </c>
      <c r="V239" s="187">
        <f t="shared" si="199"/>
        <v>8</v>
      </c>
      <c r="W239" s="113">
        <v>7</v>
      </c>
      <c r="X239" s="113">
        <v>11</v>
      </c>
      <c r="Y239" s="189"/>
      <c r="Z239" s="153"/>
      <c r="AA239" s="189"/>
      <c r="AB239" s="189"/>
      <c r="AC239" s="177">
        <f t="shared" si="200"/>
        <v>612056.25</v>
      </c>
      <c r="AD239" s="178">
        <f t="shared" si="203"/>
        <v>421200</v>
      </c>
      <c r="AE239" s="179">
        <f t="shared" si="204"/>
        <v>164531.25</v>
      </c>
      <c r="AF239" s="180">
        <f t="shared" si="205"/>
        <v>26325</v>
      </c>
      <c r="AG239" s="165">
        <f t="shared" si="201"/>
        <v>0</v>
      </c>
      <c r="AH239" s="196">
        <f t="shared" si="183"/>
        <v>612056</v>
      </c>
      <c r="AI239" s="162"/>
      <c r="AJ239" s="197">
        <f t="shared" si="202"/>
        <v>612056</v>
      </c>
    </row>
    <row r="240" spans="1:36" ht="31.2" x14ac:dyDescent="0.25">
      <c r="A240" s="113">
        <v>5</v>
      </c>
      <c r="B240" s="111" t="s">
        <v>834</v>
      </c>
      <c r="C240" s="112">
        <v>30065</v>
      </c>
      <c r="D240" s="113" t="s">
        <v>49</v>
      </c>
      <c r="E240" s="113" t="s">
        <v>396</v>
      </c>
      <c r="F240" s="153">
        <v>3.99</v>
      </c>
      <c r="G240" s="113"/>
      <c r="H240" s="157">
        <v>0.15</v>
      </c>
      <c r="I240" s="157"/>
      <c r="J240" s="156"/>
      <c r="K240" s="113"/>
      <c r="L240" s="113"/>
      <c r="M240" s="157">
        <f t="shared" si="197"/>
        <v>1.0350000000000001</v>
      </c>
      <c r="N240" s="171"/>
      <c r="O240" s="190">
        <f t="shared" si="185"/>
        <v>12109.500000000002</v>
      </c>
      <c r="P240" s="112">
        <v>51987</v>
      </c>
      <c r="Q240" s="169">
        <v>45901</v>
      </c>
      <c r="R240" s="113">
        <f t="shared" si="198"/>
        <v>16</v>
      </c>
      <c r="S240" s="113">
        <v>15</v>
      </c>
      <c r="T240" s="113">
        <v>8</v>
      </c>
      <c r="U240" s="113">
        <f t="shared" si="176"/>
        <v>200</v>
      </c>
      <c r="V240" s="187">
        <f t="shared" si="199"/>
        <v>17</v>
      </c>
      <c r="W240" s="113">
        <v>16</v>
      </c>
      <c r="X240" s="113">
        <v>8</v>
      </c>
      <c r="Y240" s="189"/>
      <c r="Z240" s="153"/>
      <c r="AA240" s="189"/>
      <c r="AB240" s="189"/>
      <c r="AC240" s="177">
        <f t="shared" si="200"/>
        <v>908212.50000000023</v>
      </c>
      <c r="AD240" s="178">
        <f t="shared" si="203"/>
        <v>581256.00000000012</v>
      </c>
      <c r="AE240" s="179">
        <f t="shared" si="204"/>
        <v>290628.00000000006</v>
      </c>
      <c r="AF240" s="180">
        <f t="shared" si="205"/>
        <v>36328.500000000007</v>
      </c>
      <c r="AG240" s="165">
        <f t="shared" si="201"/>
        <v>0</v>
      </c>
      <c r="AH240" s="196">
        <f t="shared" si="183"/>
        <v>908213</v>
      </c>
      <c r="AI240" s="162"/>
      <c r="AJ240" s="197">
        <f t="shared" si="202"/>
        <v>908213</v>
      </c>
    </row>
    <row r="241" spans="1:36" ht="31.2" x14ac:dyDescent="0.25">
      <c r="A241" s="113">
        <v>6</v>
      </c>
      <c r="B241" s="111" t="s">
        <v>835</v>
      </c>
      <c r="C241" s="112">
        <v>29505</v>
      </c>
      <c r="D241" s="113" t="s">
        <v>49</v>
      </c>
      <c r="E241" s="113" t="s">
        <v>427</v>
      </c>
      <c r="F241" s="153">
        <v>3.99</v>
      </c>
      <c r="G241" s="113"/>
      <c r="H241" s="157"/>
      <c r="I241" s="157"/>
      <c r="J241" s="156"/>
      <c r="K241" s="113"/>
      <c r="L241" s="113"/>
      <c r="M241" s="157">
        <f t="shared" si="197"/>
        <v>0.99750000000000005</v>
      </c>
      <c r="N241" s="171"/>
      <c r="O241" s="190">
        <f t="shared" si="185"/>
        <v>11670.750000000002</v>
      </c>
      <c r="P241" s="112">
        <v>51441</v>
      </c>
      <c r="Q241" s="169">
        <v>45901</v>
      </c>
      <c r="R241" s="113">
        <f t="shared" si="198"/>
        <v>20.5</v>
      </c>
      <c r="S241" s="113">
        <v>20</v>
      </c>
      <c r="T241" s="113">
        <v>5</v>
      </c>
      <c r="U241" s="113">
        <f t="shared" si="176"/>
        <v>182</v>
      </c>
      <c r="V241" s="187">
        <f t="shared" si="199"/>
        <v>15.5</v>
      </c>
      <c r="W241" s="113">
        <v>15</v>
      </c>
      <c r="X241" s="113">
        <v>2</v>
      </c>
      <c r="Y241" s="189"/>
      <c r="Z241" s="153"/>
      <c r="AA241" s="189"/>
      <c r="AB241" s="189"/>
      <c r="AC241" s="177">
        <f t="shared" si="200"/>
        <v>954083.81250000023</v>
      </c>
      <c r="AD241" s="178">
        <f t="shared" si="203"/>
        <v>560196.00000000012</v>
      </c>
      <c r="AE241" s="179">
        <f t="shared" si="204"/>
        <v>358875.56250000006</v>
      </c>
      <c r="AF241" s="180">
        <f t="shared" si="205"/>
        <v>35012.250000000007</v>
      </c>
      <c r="AG241" s="165">
        <f t="shared" si="201"/>
        <v>0</v>
      </c>
      <c r="AH241" s="196">
        <f t="shared" si="183"/>
        <v>954084</v>
      </c>
      <c r="AI241" s="162"/>
      <c r="AJ241" s="197">
        <f t="shared" si="202"/>
        <v>954084</v>
      </c>
    </row>
    <row r="242" spans="1:36" ht="31.2" x14ac:dyDescent="0.25">
      <c r="A242" s="113">
        <v>7</v>
      </c>
      <c r="B242" s="111" t="s">
        <v>836</v>
      </c>
      <c r="C242" s="112">
        <v>29229</v>
      </c>
      <c r="D242" s="113" t="s">
        <v>49</v>
      </c>
      <c r="E242" s="113" t="s">
        <v>427</v>
      </c>
      <c r="F242" s="153">
        <v>3.33</v>
      </c>
      <c r="G242" s="113"/>
      <c r="H242" s="157"/>
      <c r="I242" s="157"/>
      <c r="J242" s="156"/>
      <c r="K242" s="113"/>
      <c r="L242" s="113"/>
      <c r="M242" s="157">
        <f t="shared" si="197"/>
        <v>0.83250000000000002</v>
      </c>
      <c r="N242" s="171"/>
      <c r="O242" s="190">
        <f t="shared" si="185"/>
        <v>9740.25</v>
      </c>
      <c r="P242" s="112">
        <v>51167</v>
      </c>
      <c r="Q242" s="169">
        <v>45901</v>
      </c>
      <c r="R242" s="113">
        <f t="shared" si="198"/>
        <v>18.5</v>
      </c>
      <c r="S242" s="113">
        <v>18</v>
      </c>
      <c r="T242" s="113">
        <v>6</v>
      </c>
      <c r="U242" s="113">
        <f t="shared" si="176"/>
        <v>173</v>
      </c>
      <c r="V242" s="187">
        <f t="shared" si="199"/>
        <v>14.5</v>
      </c>
      <c r="W242" s="113">
        <v>14</v>
      </c>
      <c r="X242" s="113">
        <v>5</v>
      </c>
      <c r="Y242" s="189"/>
      <c r="Z242" s="153"/>
      <c r="AA242" s="189"/>
      <c r="AB242" s="189"/>
      <c r="AC242" s="177">
        <f t="shared" si="200"/>
        <v>767044.6875</v>
      </c>
      <c r="AD242" s="178">
        <f t="shared" si="203"/>
        <v>467532</v>
      </c>
      <c r="AE242" s="179">
        <f t="shared" si="204"/>
        <v>270291.9375</v>
      </c>
      <c r="AF242" s="180">
        <f t="shared" si="205"/>
        <v>29220.75</v>
      </c>
      <c r="AG242" s="165">
        <f t="shared" si="201"/>
        <v>0</v>
      </c>
      <c r="AH242" s="196">
        <f t="shared" si="183"/>
        <v>767045</v>
      </c>
      <c r="AI242" s="162"/>
      <c r="AJ242" s="197">
        <f t="shared" si="202"/>
        <v>767045</v>
      </c>
    </row>
    <row r="243" spans="1:36" ht="31.2" x14ac:dyDescent="0.25">
      <c r="A243" s="113">
        <v>8</v>
      </c>
      <c r="B243" s="111" t="s">
        <v>837</v>
      </c>
      <c r="C243" s="112">
        <v>30776</v>
      </c>
      <c r="D243" s="113" t="s">
        <v>49</v>
      </c>
      <c r="E243" s="113" t="s">
        <v>427</v>
      </c>
      <c r="F243" s="153">
        <v>3.33</v>
      </c>
      <c r="G243" s="113"/>
      <c r="H243" s="157"/>
      <c r="I243" s="157"/>
      <c r="J243" s="156"/>
      <c r="K243" s="113"/>
      <c r="L243" s="113"/>
      <c r="M243" s="157">
        <f t="shared" si="197"/>
        <v>0.83250000000000002</v>
      </c>
      <c r="N243" s="171"/>
      <c r="O243" s="190">
        <f t="shared" si="185"/>
        <v>9740.25</v>
      </c>
      <c r="P243" s="112">
        <v>53448</v>
      </c>
      <c r="Q243" s="169">
        <v>45901</v>
      </c>
      <c r="R243" s="113">
        <f t="shared" si="198"/>
        <v>17.5</v>
      </c>
      <c r="S243" s="113">
        <v>17</v>
      </c>
      <c r="T243" s="113">
        <v>3</v>
      </c>
      <c r="U243" s="113">
        <f t="shared" si="176"/>
        <v>248</v>
      </c>
      <c r="V243" s="187">
        <f t="shared" si="199"/>
        <v>21</v>
      </c>
      <c r="W243" s="113">
        <v>20</v>
      </c>
      <c r="X243" s="113">
        <v>8</v>
      </c>
      <c r="Y243" s="189"/>
      <c r="Z243" s="153"/>
      <c r="AA243" s="189"/>
      <c r="AB243" s="189"/>
      <c r="AC243" s="177">
        <f t="shared" si="200"/>
        <v>752434.3125</v>
      </c>
      <c r="AD243" s="178">
        <f t="shared" si="203"/>
        <v>467532</v>
      </c>
      <c r="AE243" s="179">
        <f t="shared" si="204"/>
        <v>255681.5625</v>
      </c>
      <c r="AF243" s="180">
        <f t="shared" si="205"/>
        <v>29220.75</v>
      </c>
      <c r="AG243" s="165">
        <f t="shared" si="201"/>
        <v>0</v>
      </c>
      <c r="AH243" s="196">
        <f t="shared" si="183"/>
        <v>752434</v>
      </c>
      <c r="AI243" s="162"/>
      <c r="AJ243" s="197">
        <f t="shared" si="202"/>
        <v>752434</v>
      </c>
    </row>
    <row r="244" spans="1:36" ht="31.2" x14ac:dyDescent="0.25">
      <c r="A244" s="113">
        <v>9</v>
      </c>
      <c r="B244" s="111" t="s">
        <v>838</v>
      </c>
      <c r="C244" s="112">
        <v>28795</v>
      </c>
      <c r="D244" s="113" t="s">
        <v>49</v>
      </c>
      <c r="E244" s="113" t="s">
        <v>396</v>
      </c>
      <c r="F244" s="153">
        <v>4.32</v>
      </c>
      <c r="G244" s="113"/>
      <c r="H244" s="157"/>
      <c r="I244" s="157"/>
      <c r="J244" s="156"/>
      <c r="K244" s="113"/>
      <c r="L244" s="113"/>
      <c r="M244" s="157">
        <f t="shared" si="197"/>
        <v>1.08</v>
      </c>
      <c r="N244" s="171"/>
      <c r="O244" s="190">
        <f t="shared" si="185"/>
        <v>12636</v>
      </c>
      <c r="P244" s="112">
        <v>50740</v>
      </c>
      <c r="Q244" s="169">
        <v>45901</v>
      </c>
      <c r="R244" s="113">
        <f t="shared" si="198"/>
        <v>26</v>
      </c>
      <c r="S244" s="113">
        <v>26</v>
      </c>
      <c r="T244" s="113">
        <v>0</v>
      </c>
      <c r="U244" s="113">
        <f t="shared" si="176"/>
        <v>159</v>
      </c>
      <c r="V244" s="187">
        <f t="shared" si="199"/>
        <v>13.5</v>
      </c>
      <c r="W244" s="113">
        <v>13</v>
      </c>
      <c r="X244" s="113">
        <v>3</v>
      </c>
      <c r="Y244" s="189"/>
      <c r="Z244" s="153"/>
      <c r="AA244" s="189"/>
      <c r="AB244" s="189"/>
      <c r="AC244" s="177">
        <f t="shared" si="200"/>
        <v>1137240</v>
      </c>
      <c r="AD244" s="178">
        <f t="shared" si="203"/>
        <v>606528</v>
      </c>
      <c r="AE244" s="179">
        <f t="shared" si="204"/>
        <v>492804</v>
      </c>
      <c r="AF244" s="180">
        <f t="shared" si="205"/>
        <v>37908</v>
      </c>
      <c r="AG244" s="165">
        <f t="shared" si="201"/>
        <v>0</v>
      </c>
      <c r="AH244" s="196">
        <f t="shared" si="183"/>
        <v>1137240</v>
      </c>
      <c r="AI244" s="162"/>
      <c r="AJ244" s="197">
        <f t="shared" si="202"/>
        <v>1137240</v>
      </c>
    </row>
    <row r="245" spans="1:36" ht="31.2" x14ac:dyDescent="0.25">
      <c r="A245" s="113">
        <v>10</v>
      </c>
      <c r="B245" s="111" t="s">
        <v>839</v>
      </c>
      <c r="C245" s="112">
        <v>29634</v>
      </c>
      <c r="D245" s="113" t="s">
        <v>49</v>
      </c>
      <c r="E245" s="113" t="s">
        <v>427</v>
      </c>
      <c r="F245" s="153">
        <v>3.99</v>
      </c>
      <c r="G245" s="113"/>
      <c r="H245" s="157"/>
      <c r="I245" s="157"/>
      <c r="J245" s="156"/>
      <c r="K245" s="113"/>
      <c r="L245" s="113"/>
      <c r="M245" s="157">
        <f t="shared" si="197"/>
        <v>0.99750000000000005</v>
      </c>
      <c r="N245" s="171"/>
      <c r="O245" s="190">
        <f t="shared" si="185"/>
        <v>11670.750000000002</v>
      </c>
      <c r="P245" s="112">
        <v>52291</v>
      </c>
      <c r="Q245" s="169">
        <v>45901</v>
      </c>
      <c r="R245" s="113">
        <f t="shared" si="198"/>
        <v>20</v>
      </c>
      <c r="S245" s="113">
        <v>19</v>
      </c>
      <c r="T245" s="113">
        <v>11</v>
      </c>
      <c r="U245" s="113">
        <f t="shared" si="176"/>
        <v>210</v>
      </c>
      <c r="V245" s="187">
        <f t="shared" si="199"/>
        <v>18</v>
      </c>
      <c r="W245" s="113">
        <v>17</v>
      </c>
      <c r="X245" s="113">
        <v>6</v>
      </c>
      <c r="Y245" s="189"/>
      <c r="Z245" s="153"/>
      <c r="AA245" s="189"/>
      <c r="AB245" s="189"/>
      <c r="AC245" s="177">
        <f t="shared" si="200"/>
        <v>945330.75000000023</v>
      </c>
      <c r="AD245" s="178">
        <f t="shared" si="203"/>
        <v>560196.00000000012</v>
      </c>
      <c r="AE245" s="179">
        <f t="shared" si="204"/>
        <v>350122.50000000006</v>
      </c>
      <c r="AF245" s="180">
        <f t="shared" si="205"/>
        <v>35012.250000000007</v>
      </c>
      <c r="AG245" s="165">
        <f t="shared" si="201"/>
        <v>0</v>
      </c>
      <c r="AH245" s="196">
        <f t="shared" si="183"/>
        <v>945331</v>
      </c>
      <c r="AI245" s="162"/>
      <c r="AJ245" s="197">
        <f t="shared" si="202"/>
        <v>945331</v>
      </c>
    </row>
    <row r="246" spans="1:36" ht="28.5" customHeight="1" x14ac:dyDescent="0.25">
      <c r="A246" s="113">
        <v>11</v>
      </c>
      <c r="B246" s="111" t="s">
        <v>840</v>
      </c>
      <c r="C246" s="112">
        <v>27934</v>
      </c>
      <c r="D246" s="113" t="s">
        <v>104</v>
      </c>
      <c r="E246" s="113" t="s">
        <v>841</v>
      </c>
      <c r="F246" s="153">
        <v>3.48</v>
      </c>
      <c r="G246" s="113"/>
      <c r="H246" s="157"/>
      <c r="I246" s="157">
        <f>F246*7%</f>
        <v>0.24360000000000001</v>
      </c>
      <c r="J246" s="156"/>
      <c r="K246" s="113"/>
      <c r="L246" s="113"/>
      <c r="M246" s="157">
        <f t="shared" si="197"/>
        <v>0.93089999999999995</v>
      </c>
      <c r="N246" s="171"/>
      <c r="O246" s="190">
        <f t="shared" si="185"/>
        <v>10891.529999999999</v>
      </c>
      <c r="P246" s="112">
        <v>50587</v>
      </c>
      <c r="Q246" s="169">
        <v>45901</v>
      </c>
      <c r="R246" s="113">
        <f t="shared" si="198"/>
        <v>21.5</v>
      </c>
      <c r="S246" s="113">
        <v>21</v>
      </c>
      <c r="T246" s="113">
        <v>2</v>
      </c>
      <c r="U246" s="113">
        <f t="shared" si="176"/>
        <v>154</v>
      </c>
      <c r="V246" s="187">
        <f t="shared" si="199"/>
        <v>13</v>
      </c>
      <c r="W246" s="113">
        <v>12</v>
      </c>
      <c r="X246" s="113">
        <v>10</v>
      </c>
      <c r="Y246" s="189"/>
      <c r="Z246" s="153"/>
      <c r="AA246" s="189"/>
      <c r="AB246" s="189"/>
      <c r="AC246" s="177">
        <f t="shared" si="200"/>
        <v>874045.28249999997</v>
      </c>
      <c r="AD246" s="178">
        <f t="shared" si="203"/>
        <v>522793.43999999994</v>
      </c>
      <c r="AE246" s="179">
        <f t="shared" si="204"/>
        <v>351251.84249999997</v>
      </c>
      <c r="AF246" s="180"/>
      <c r="AG246" s="165">
        <f t="shared" si="201"/>
        <v>0</v>
      </c>
      <c r="AH246" s="196">
        <f t="shared" si="183"/>
        <v>874045</v>
      </c>
      <c r="AI246" s="162"/>
      <c r="AJ246" s="197">
        <f t="shared" si="202"/>
        <v>874045</v>
      </c>
    </row>
    <row r="247" spans="1:36" ht="31.2" x14ac:dyDescent="0.25">
      <c r="A247" s="188">
        <v>41</v>
      </c>
      <c r="B247" s="239" t="s">
        <v>842</v>
      </c>
      <c r="C247" s="239"/>
      <c r="D247" s="239"/>
      <c r="E247" s="188"/>
      <c r="F247" s="153"/>
      <c r="G247" s="113"/>
      <c r="H247" s="157"/>
      <c r="I247" s="157"/>
      <c r="J247" s="156"/>
      <c r="K247" s="113"/>
      <c r="L247" s="113"/>
      <c r="M247" s="157"/>
      <c r="N247" s="171"/>
      <c r="O247" s="190">
        <f t="shared" si="185"/>
        <v>0</v>
      </c>
      <c r="P247" s="188"/>
      <c r="Q247" s="169"/>
      <c r="R247" s="188"/>
      <c r="S247" s="188"/>
      <c r="T247" s="188"/>
      <c r="U247" s="113">
        <f t="shared" si="176"/>
        <v>0</v>
      </c>
      <c r="V247" s="240"/>
      <c r="W247" s="188"/>
      <c r="X247" s="188"/>
      <c r="Y247" s="242">
        <f t="shared" ref="Y247:AJ247" si="206">SUM(Y248:Y253)</f>
        <v>0</v>
      </c>
      <c r="Z247" s="242">
        <f t="shared" si="206"/>
        <v>0</v>
      </c>
      <c r="AA247" s="242">
        <f t="shared" si="206"/>
        <v>0</v>
      </c>
      <c r="AB247" s="242">
        <f t="shared" si="206"/>
        <v>0</v>
      </c>
      <c r="AC247" s="242">
        <f t="shared" si="206"/>
        <v>5277241.125</v>
      </c>
      <c r="AD247" s="242">
        <f t="shared" si="206"/>
        <v>3164616</v>
      </c>
      <c r="AE247" s="242">
        <f t="shared" si="206"/>
        <v>1914836.625</v>
      </c>
      <c r="AF247" s="242">
        <f t="shared" si="206"/>
        <v>197788.5</v>
      </c>
      <c r="AG247" s="242">
        <f t="shared" si="206"/>
        <v>0</v>
      </c>
      <c r="AH247" s="242">
        <f t="shared" si="206"/>
        <v>5277242</v>
      </c>
      <c r="AI247" s="242">
        <f t="shared" si="206"/>
        <v>0</v>
      </c>
      <c r="AJ247" s="193">
        <f t="shared" si="206"/>
        <v>5277242</v>
      </c>
    </row>
    <row r="248" spans="1:36" ht="54" customHeight="1" x14ac:dyDescent="0.25">
      <c r="A248" s="113">
        <v>1</v>
      </c>
      <c r="B248" s="111" t="s">
        <v>843</v>
      </c>
      <c r="C248" s="169" t="s">
        <v>844</v>
      </c>
      <c r="D248" s="112" t="s">
        <v>845</v>
      </c>
      <c r="E248" s="113" t="s">
        <v>421</v>
      </c>
      <c r="F248" s="153">
        <v>3</v>
      </c>
      <c r="G248" s="113"/>
      <c r="H248" s="157"/>
      <c r="I248" s="157"/>
      <c r="J248" s="156"/>
      <c r="K248" s="113"/>
      <c r="L248" s="113"/>
      <c r="M248" s="157">
        <f t="shared" ref="M248:M253" si="207">(F248+G248+H248+I248)*25%</f>
        <v>0.75</v>
      </c>
      <c r="N248" s="171"/>
      <c r="O248" s="190">
        <f t="shared" si="185"/>
        <v>8775</v>
      </c>
      <c r="P248" s="169" t="s">
        <v>846</v>
      </c>
      <c r="Q248" s="169">
        <v>45901</v>
      </c>
      <c r="R248" s="113">
        <f t="shared" ref="R248:R253" si="208">(S248)+(IF(T248=0,0,IF(T248&lt;7,1/2,1)))</f>
        <v>14</v>
      </c>
      <c r="S248" s="113">
        <v>14</v>
      </c>
      <c r="T248" s="113"/>
      <c r="U248" s="113">
        <f t="shared" si="176"/>
        <v>121</v>
      </c>
      <c r="V248" s="187">
        <f t="shared" ref="V248:V253" si="209">(W248)+(IF(X248=0,0,IF(X248&lt;6,1/2,1)))</f>
        <v>10.5</v>
      </c>
      <c r="W248" s="113">
        <v>10</v>
      </c>
      <c r="X248" s="113">
        <v>1</v>
      </c>
      <c r="Y248" s="189"/>
      <c r="Z248" s="153"/>
      <c r="AA248" s="189"/>
      <c r="AB248" s="189"/>
      <c r="AC248" s="177">
        <f t="shared" ref="AC248:AC253" si="210">AD248+AE248+AF248</f>
        <v>631800</v>
      </c>
      <c r="AD248" s="178">
        <f t="shared" ref="AD248:AD253" si="211">0.8*60*O248</f>
        <v>421200</v>
      </c>
      <c r="AE248" s="179">
        <f t="shared" ref="AE248:AE253" si="212">1.5*O248*R248</f>
        <v>184275</v>
      </c>
      <c r="AF248" s="180">
        <f t="shared" ref="AF248:AF253" si="213">3*O248</f>
        <v>26325</v>
      </c>
      <c r="AG248" s="165">
        <f t="shared" ref="AG248:AG253" si="214">ROUND(Y248+Z248,0)</f>
        <v>0</v>
      </c>
      <c r="AH248" s="196">
        <f t="shared" si="183"/>
        <v>631800</v>
      </c>
      <c r="AI248" s="162"/>
      <c r="AJ248" s="197">
        <f t="shared" ref="AJ248:AJ253" si="215">AG248+AH248+AI248</f>
        <v>631800</v>
      </c>
    </row>
    <row r="249" spans="1:36" ht="39" customHeight="1" x14ac:dyDescent="0.25">
      <c r="A249" s="113">
        <v>2</v>
      </c>
      <c r="B249" s="111" t="s">
        <v>847</v>
      </c>
      <c r="C249" s="169" t="s">
        <v>848</v>
      </c>
      <c r="D249" s="112" t="s">
        <v>849</v>
      </c>
      <c r="E249" s="113" t="s">
        <v>427</v>
      </c>
      <c r="F249" s="153">
        <v>3.33</v>
      </c>
      <c r="G249" s="113"/>
      <c r="H249" s="157"/>
      <c r="I249" s="157"/>
      <c r="J249" s="156"/>
      <c r="K249" s="113"/>
      <c r="L249" s="113"/>
      <c r="M249" s="157">
        <f t="shared" si="207"/>
        <v>0.83250000000000002</v>
      </c>
      <c r="N249" s="171"/>
      <c r="O249" s="190">
        <f t="shared" si="185"/>
        <v>9740.25</v>
      </c>
      <c r="P249" s="169" t="s">
        <v>461</v>
      </c>
      <c r="Q249" s="169">
        <v>45901</v>
      </c>
      <c r="R249" s="113">
        <f t="shared" si="208"/>
        <v>18</v>
      </c>
      <c r="S249" s="113">
        <v>17</v>
      </c>
      <c r="T249" s="113">
        <v>7</v>
      </c>
      <c r="U249" s="113">
        <f t="shared" si="176"/>
        <v>124</v>
      </c>
      <c r="V249" s="187">
        <f t="shared" si="209"/>
        <v>10.5</v>
      </c>
      <c r="W249" s="113">
        <v>10</v>
      </c>
      <c r="X249" s="113">
        <v>4</v>
      </c>
      <c r="Y249" s="189"/>
      <c r="Z249" s="153"/>
      <c r="AA249" s="189"/>
      <c r="AB249" s="189"/>
      <c r="AC249" s="177">
        <f t="shared" si="210"/>
        <v>759739.5</v>
      </c>
      <c r="AD249" s="178">
        <f t="shared" si="211"/>
        <v>467532</v>
      </c>
      <c r="AE249" s="179">
        <f t="shared" si="212"/>
        <v>262986.75</v>
      </c>
      <c r="AF249" s="180">
        <f t="shared" si="213"/>
        <v>29220.75</v>
      </c>
      <c r="AG249" s="165">
        <f t="shared" si="214"/>
        <v>0</v>
      </c>
      <c r="AH249" s="196">
        <f t="shared" si="183"/>
        <v>759740</v>
      </c>
      <c r="AI249" s="162"/>
      <c r="AJ249" s="197">
        <f t="shared" si="215"/>
        <v>759740</v>
      </c>
    </row>
    <row r="250" spans="1:36" ht="37.950000000000003" customHeight="1" x14ac:dyDescent="0.25">
      <c r="A250" s="113">
        <v>3</v>
      </c>
      <c r="B250" s="111" t="s">
        <v>850</v>
      </c>
      <c r="C250" s="169" t="s">
        <v>851</v>
      </c>
      <c r="D250" s="112" t="s">
        <v>852</v>
      </c>
      <c r="E250" s="113" t="s">
        <v>657</v>
      </c>
      <c r="F250" s="153">
        <v>3.33</v>
      </c>
      <c r="G250" s="113"/>
      <c r="H250" s="157"/>
      <c r="I250" s="157"/>
      <c r="J250" s="156"/>
      <c r="K250" s="113"/>
      <c r="L250" s="113"/>
      <c r="M250" s="157">
        <f t="shared" si="207"/>
        <v>0.83250000000000002</v>
      </c>
      <c r="N250" s="171"/>
      <c r="O250" s="190">
        <f t="shared" si="185"/>
        <v>9740.25</v>
      </c>
      <c r="P250" s="169" t="s">
        <v>853</v>
      </c>
      <c r="Q250" s="169">
        <v>45901</v>
      </c>
      <c r="R250" s="113">
        <f t="shared" si="208"/>
        <v>11.5</v>
      </c>
      <c r="S250" s="113">
        <v>11</v>
      </c>
      <c r="T250" s="113">
        <v>4</v>
      </c>
      <c r="U250" s="113">
        <f t="shared" si="176"/>
        <v>324</v>
      </c>
      <c r="V250" s="187">
        <f t="shared" si="209"/>
        <v>27</v>
      </c>
      <c r="W250" s="113">
        <v>27</v>
      </c>
      <c r="X250" s="113">
        <v>0</v>
      </c>
      <c r="Y250" s="189"/>
      <c r="Z250" s="153"/>
      <c r="AA250" s="189"/>
      <c r="AB250" s="189"/>
      <c r="AC250" s="177">
        <f t="shared" si="210"/>
        <v>664772.0625</v>
      </c>
      <c r="AD250" s="178">
        <f t="shared" si="211"/>
        <v>467532</v>
      </c>
      <c r="AE250" s="179">
        <f t="shared" si="212"/>
        <v>168019.3125</v>
      </c>
      <c r="AF250" s="180">
        <f t="shared" si="213"/>
        <v>29220.75</v>
      </c>
      <c r="AG250" s="165">
        <f t="shared" si="214"/>
        <v>0</v>
      </c>
      <c r="AH250" s="196">
        <f t="shared" si="183"/>
        <v>664772</v>
      </c>
      <c r="AI250" s="162"/>
      <c r="AJ250" s="197">
        <f t="shared" si="215"/>
        <v>664772</v>
      </c>
    </row>
    <row r="251" spans="1:36" ht="38.25" customHeight="1" x14ac:dyDescent="0.25">
      <c r="A251" s="113">
        <v>4</v>
      </c>
      <c r="B251" s="111" t="s">
        <v>854</v>
      </c>
      <c r="C251" s="169" t="s">
        <v>855</v>
      </c>
      <c r="D251" s="112" t="s">
        <v>512</v>
      </c>
      <c r="E251" s="113" t="s">
        <v>387</v>
      </c>
      <c r="F251" s="153">
        <v>4.32</v>
      </c>
      <c r="G251" s="113"/>
      <c r="H251" s="157"/>
      <c r="I251" s="157"/>
      <c r="J251" s="156"/>
      <c r="K251" s="113"/>
      <c r="L251" s="113"/>
      <c r="M251" s="157">
        <f t="shared" si="207"/>
        <v>1.08</v>
      </c>
      <c r="N251" s="171"/>
      <c r="O251" s="190">
        <f t="shared" si="185"/>
        <v>12636</v>
      </c>
      <c r="P251" s="169">
        <v>50222</v>
      </c>
      <c r="Q251" s="169">
        <v>45901</v>
      </c>
      <c r="R251" s="113">
        <f t="shared" si="208"/>
        <v>25.5</v>
      </c>
      <c r="S251" s="113">
        <v>25</v>
      </c>
      <c r="T251" s="113">
        <v>6</v>
      </c>
      <c r="U251" s="113">
        <f t="shared" si="176"/>
        <v>142</v>
      </c>
      <c r="V251" s="187">
        <f t="shared" si="209"/>
        <v>12</v>
      </c>
      <c r="W251" s="113">
        <v>11</v>
      </c>
      <c r="X251" s="113">
        <v>10</v>
      </c>
      <c r="Y251" s="189"/>
      <c r="Z251" s="153"/>
      <c r="AA251" s="189"/>
      <c r="AB251" s="189"/>
      <c r="AC251" s="177">
        <f t="shared" si="210"/>
        <v>1127763</v>
      </c>
      <c r="AD251" s="178">
        <f t="shared" si="211"/>
        <v>606528</v>
      </c>
      <c r="AE251" s="179">
        <f t="shared" si="212"/>
        <v>483327</v>
      </c>
      <c r="AF251" s="180">
        <f t="shared" si="213"/>
        <v>37908</v>
      </c>
      <c r="AG251" s="165">
        <f t="shared" si="214"/>
        <v>0</v>
      </c>
      <c r="AH251" s="196">
        <f t="shared" si="183"/>
        <v>1127763</v>
      </c>
      <c r="AI251" s="162"/>
      <c r="AJ251" s="197">
        <f t="shared" si="215"/>
        <v>1127763</v>
      </c>
    </row>
    <row r="252" spans="1:36" ht="38.25" customHeight="1" x14ac:dyDescent="0.25">
      <c r="A252" s="113">
        <v>5</v>
      </c>
      <c r="B252" s="111" t="s">
        <v>856</v>
      </c>
      <c r="C252" s="169" t="s">
        <v>857</v>
      </c>
      <c r="D252" s="112" t="s">
        <v>858</v>
      </c>
      <c r="E252" s="113" t="s">
        <v>387</v>
      </c>
      <c r="F252" s="153">
        <v>3.99</v>
      </c>
      <c r="G252" s="113"/>
      <c r="H252" s="157"/>
      <c r="I252" s="157"/>
      <c r="J252" s="156"/>
      <c r="K252" s="113"/>
      <c r="L252" s="113"/>
      <c r="M252" s="157">
        <f t="shared" si="207"/>
        <v>0.99750000000000005</v>
      </c>
      <c r="N252" s="171"/>
      <c r="O252" s="190">
        <f t="shared" si="185"/>
        <v>11670.750000000002</v>
      </c>
      <c r="P252" s="169" t="s">
        <v>859</v>
      </c>
      <c r="Q252" s="169">
        <v>45901</v>
      </c>
      <c r="R252" s="113">
        <f t="shared" si="208"/>
        <v>22</v>
      </c>
      <c r="S252" s="113">
        <v>22</v>
      </c>
      <c r="T252" s="113">
        <v>0</v>
      </c>
      <c r="U252" s="113">
        <f t="shared" si="176"/>
        <v>196</v>
      </c>
      <c r="V252" s="187">
        <f t="shared" si="209"/>
        <v>16.5</v>
      </c>
      <c r="W252" s="113">
        <v>16</v>
      </c>
      <c r="X252" s="113">
        <v>4</v>
      </c>
      <c r="Y252" s="189"/>
      <c r="Z252" s="153"/>
      <c r="AA252" s="189"/>
      <c r="AB252" s="189"/>
      <c r="AC252" s="177">
        <f t="shared" si="210"/>
        <v>980343.00000000023</v>
      </c>
      <c r="AD252" s="178">
        <f t="shared" si="211"/>
        <v>560196.00000000012</v>
      </c>
      <c r="AE252" s="179">
        <f t="shared" si="212"/>
        <v>385134.75000000006</v>
      </c>
      <c r="AF252" s="180">
        <f t="shared" si="213"/>
        <v>35012.250000000007</v>
      </c>
      <c r="AG252" s="165">
        <f t="shared" si="214"/>
        <v>0</v>
      </c>
      <c r="AH252" s="196">
        <f t="shared" si="183"/>
        <v>980343</v>
      </c>
      <c r="AI252" s="162"/>
      <c r="AJ252" s="197">
        <f t="shared" si="215"/>
        <v>980343</v>
      </c>
    </row>
    <row r="253" spans="1:36" ht="31.5" customHeight="1" x14ac:dyDescent="0.25">
      <c r="A253" s="113">
        <v>6</v>
      </c>
      <c r="B253" s="154" t="s">
        <v>860</v>
      </c>
      <c r="C253" s="169" t="s">
        <v>861</v>
      </c>
      <c r="D253" s="112" t="s">
        <v>391</v>
      </c>
      <c r="E253" s="113" t="s">
        <v>401</v>
      </c>
      <c r="F253" s="153">
        <v>4.32</v>
      </c>
      <c r="G253" s="113"/>
      <c r="H253" s="157">
        <v>0.25</v>
      </c>
      <c r="I253" s="157"/>
      <c r="J253" s="156"/>
      <c r="K253" s="113"/>
      <c r="L253" s="113"/>
      <c r="M253" s="157">
        <f t="shared" si="207"/>
        <v>1.1425000000000001</v>
      </c>
      <c r="N253" s="171"/>
      <c r="O253" s="190">
        <f t="shared" si="185"/>
        <v>13367.25</v>
      </c>
      <c r="P253" s="169" t="s">
        <v>730</v>
      </c>
      <c r="Q253" s="169">
        <v>45901</v>
      </c>
      <c r="R253" s="113">
        <f t="shared" si="208"/>
        <v>21.5</v>
      </c>
      <c r="S253" s="113">
        <v>21</v>
      </c>
      <c r="T253" s="113">
        <v>2</v>
      </c>
      <c r="U253" s="113">
        <f t="shared" si="176"/>
        <v>182</v>
      </c>
      <c r="V253" s="187">
        <f t="shared" si="209"/>
        <v>15.5</v>
      </c>
      <c r="W253" s="113">
        <v>15</v>
      </c>
      <c r="X253" s="113">
        <v>2</v>
      </c>
      <c r="Y253" s="189"/>
      <c r="Z253" s="153"/>
      <c r="AA253" s="189"/>
      <c r="AB253" s="189"/>
      <c r="AC253" s="177">
        <f t="shared" si="210"/>
        <v>1112823.5625</v>
      </c>
      <c r="AD253" s="178">
        <f t="shared" si="211"/>
        <v>641628</v>
      </c>
      <c r="AE253" s="179">
        <f t="shared" si="212"/>
        <v>431093.8125</v>
      </c>
      <c r="AF253" s="180">
        <f t="shared" si="213"/>
        <v>40101.75</v>
      </c>
      <c r="AG253" s="165">
        <f t="shared" si="214"/>
        <v>0</v>
      </c>
      <c r="AH253" s="196">
        <f t="shared" si="183"/>
        <v>1112824</v>
      </c>
      <c r="AI253" s="162"/>
      <c r="AJ253" s="197">
        <f t="shared" si="215"/>
        <v>1112824</v>
      </c>
    </row>
    <row r="254" spans="1:36" ht="31.2" x14ac:dyDescent="0.25">
      <c r="A254" s="188">
        <v>42</v>
      </c>
      <c r="B254" s="239" t="s">
        <v>862</v>
      </c>
      <c r="C254" s="239"/>
      <c r="D254" s="239"/>
      <c r="E254" s="188"/>
      <c r="F254" s="153"/>
      <c r="G254" s="113"/>
      <c r="H254" s="157"/>
      <c r="I254" s="157"/>
      <c r="J254" s="156"/>
      <c r="K254" s="113"/>
      <c r="L254" s="113"/>
      <c r="M254" s="157"/>
      <c r="N254" s="171"/>
      <c r="O254" s="190">
        <f t="shared" si="185"/>
        <v>0</v>
      </c>
      <c r="P254" s="188"/>
      <c r="Q254" s="169"/>
      <c r="R254" s="188"/>
      <c r="S254" s="188"/>
      <c r="T254" s="188"/>
      <c r="U254" s="113"/>
      <c r="V254" s="240"/>
      <c r="W254" s="188"/>
      <c r="X254" s="188"/>
      <c r="Y254" s="192">
        <f>SUM(Y255:Y262)</f>
        <v>682344</v>
      </c>
      <c r="Z254" s="192">
        <f t="shared" ref="Z254:AJ254" si="216">SUM(Z255:Z262)</f>
        <v>628641</v>
      </c>
      <c r="AA254" s="192">
        <f t="shared" si="216"/>
        <v>505440</v>
      </c>
      <c r="AB254" s="192">
        <f t="shared" si="216"/>
        <v>123201</v>
      </c>
      <c r="AC254" s="192">
        <f t="shared" si="216"/>
        <v>6841155.1455000006</v>
      </c>
      <c r="AD254" s="192">
        <f t="shared" si="216"/>
        <v>3893342.5440000002</v>
      </c>
      <c r="AE254" s="192">
        <f t="shared" si="216"/>
        <v>2704478.6924999999</v>
      </c>
      <c r="AF254" s="192">
        <f t="shared" si="216"/>
        <v>243333.90900000001</v>
      </c>
      <c r="AG254" s="192">
        <f t="shared" si="216"/>
        <v>1310985</v>
      </c>
      <c r="AH254" s="192">
        <f t="shared" si="216"/>
        <v>6841156</v>
      </c>
      <c r="AI254" s="192">
        <f t="shared" si="216"/>
        <v>0</v>
      </c>
      <c r="AJ254" s="193">
        <f t="shared" si="216"/>
        <v>8152141</v>
      </c>
    </row>
    <row r="255" spans="1:36" ht="35.4" customHeight="1" x14ac:dyDescent="0.25">
      <c r="A255" s="113">
        <v>1</v>
      </c>
      <c r="B255" s="111" t="s">
        <v>863</v>
      </c>
      <c r="C255" s="112" t="s">
        <v>864</v>
      </c>
      <c r="D255" s="112" t="s">
        <v>805</v>
      </c>
      <c r="E255" s="113" t="s">
        <v>427</v>
      </c>
      <c r="F255" s="153">
        <v>4.32</v>
      </c>
      <c r="G255" s="113"/>
      <c r="H255" s="157"/>
      <c r="I255" s="157"/>
      <c r="J255" s="156"/>
      <c r="K255" s="113"/>
      <c r="L255" s="113"/>
      <c r="M255" s="157">
        <f t="shared" ref="M255:M262" si="217">(F255+G255+H255+I255)*25%</f>
        <v>1.08</v>
      </c>
      <c r="N255" s="171"/>
      <c r="O255" s="190">
        <f t="shared" si="185"/>
        <v>12636</v>
      </c>
      <c r="P255" s="112">
        <v>49553</v>
      </c>
      <c r="Q255" s="195" t="s">
        <v>865</v>
      </c>
      <c r="R255" s="113">
        <f t="shared" ref="R255:R262" si="218">(S255)+(IF(T255=0,0,IF(T255&lt;7,1/2,1)))</f>
        <v>26.5</v>
      </c>
      <c r="S255" s="113">
        <v>26</v>
      </c>
      <c r="T255" s="113">
        <v>5</v>
      </c>
      <c r="U255" s="113">
        <f t="shared" ref="U255:U262" si="219">(W255*12)+X255</f>
        <v>120</v>
      </c>
      <c r="V255" s="187">
        <f t="shared" ref="V255:V262" si="220">(W255)+(IF(X255=0,0,IF(X255&lt;6,1/2,1)))</f>
        <v>10</v>
      </c>
      <c r="W255" s="113">
        <v>10</v>
      </c>
      <c r="X255" s="113">
        <v>0</v>
      </c>
      <c r="Y255" s="160">
        <f>0.9*60*O255</f>
        <v>682344</v>
      </c>
      <c r="Z255" s="161">
        <f>SUM(AA255:AB255)</f>
        <v>628641</v>
      </c>
      <c r="AA255" s="162">
        <f>4*V255*O255</f>
        <v>505440</v>
      </c>
      <c r="AB255" s="163">
        <f>SUM(4*O255)+(0.5*O255*(R255-15))</f>
        <v>123201</v>
      </c>
      <c r="AC255" s="177">
        <f t="shared" ref="AC255:AC262" si="221">AD255+AE255+AF255</f>
        <v>0</v>
      </c>
      <c r="AD255" s="178"/>
      <c r="AE255" s="179"/>
      <c r="AF255" s="180"/>
      <c r="AG255" s="165">
        <f t="shared" ref="AG255:AG262" si="222">ROUND(Y255+Z255,0)</f>
        <v>1310985</v>
      </c>
      <c r="AH255" s="196">
        <f t="shared" si="183"/>
        <v>0</v>
      </c>
      <c r="AI255" s="162"/>
      <c r="AJ255" s="197">
        <f t="shared" ref="AJ255:AJ262" si="223">AG255+AH255+AI255</f>
        <v>1310985</v>
      </c>
    </row>
    <row r="256" spans="1:36" ht="39" customHeight="1" x14ac:dyDescent="0.25">
      <c r="A256" s="113">
        <v>2</v>
      </c>
      <c r="B256" s="111" t="s">
        <v>866</v>
      </c>
      <c r="C256" s="112" t="s">
        <v>867</v>
      </c>
      <c r="D256" s="112" t="s">
        <v>868</v>
      </c>
      <c r="E256" s="113" t="s">
        <v>424</v>
      </c>
      <c r="F256" s="153">
        <v>3.96</v>
      </c>
      <c r="G256" s="113"/>
      <c r="H256" s="157"/>
      <c r="I256" s="157"/>
      <c r="J256" s="156"/>
      <c r="K256" s="113"/>
      <c r="L256" s="113"/>
      <c r="M256" s="157">
        <f t="shared" si="217"/>
        <v>0.99</v>
      </c>
      <c r="N256" s="171"/>
      <c r="O256" s="190">
        <f t="shared" si="185"/>
        <v>11583</v>
      </c>
      <c r="P256" s="112">
        <v>50771</v>
      </c>
      <c r="Q256" s="169">
        <v>45901</v>
      </c>
      <c r="R256" s="113">
        <f t="shared" si="218"/>
        <v>24</v>
      </c>
      <c r="S256" s="113">
        <v>23</v>
      </c>
      <c r="T256" s="113">
        <v>8</v>
      </c>
      <c r="U256" s="113">
        <f t="shared" si="219"/>
        <v>160</v>
      </c>
      <c r="V256" s="187">
        <f t="shared" si="220"/>
        <v>13.5</v>
      </c>
      <c r="W256" s="113">
        <v>13</v>
      </c>
      <c r="X256" s="113">
        <v>4</v>
      </c>
      <c r="Y256" s="189"/>
      <c r="Z256" s="153"/>
      <c r="AA256" s="189"/>
      <c r="AB256" s="189"/>
      <c r="AC256" s="177">
        <f t="shared" si="221"/>
        <v>1007721</v>
      </c>
      <c r="AD256" s="178">
        <f t="shared" ref="AD256:AD262" si="224">0.8*60*O256</f>
        <v>555984</v>
      </c>
      <c r="AE256" s="179">
        <f t="shared" ref="AE256:AE262" si="225">1.5*O256*R256</f>
        <v>416988</v>
      </c>
      <c r="AF256" s="180">
        <f t="shared" ref="AF256:AF262" si="226">3*O256</f>
        <v>34749</v>
      </c>
      <c r="AG256" s="165">
        <f t="shared" si="222"/>
        <v>0</v>
      </c>
      <c r="AH256" s="196">
        <f t="shared" si="183"/>
        <v>1007721</v>
      </c>
      <c r="AI256" s="162"/>
      <c r="AJ256" s="197">
        <f t="shared" si="223"/>
        <v>1007721</v>
      </c>
    </row>
    <row r="257" spans="1:36" ht="35.4" customHeight="1" x14ac:dyDescent="0.25">
      <c r="A257" s="113">
        <v>3</v>
      </c>
      <c r="B257" s="111" t="s">
        <v>869</v>
      </c>
      <c r="C257" s="112" t="s">
        <v>870</v>
      </c>
      <c r="D257" s="112" t="s">
        <v>871</v>
      </c>
      <c r="E257" s="113" t="s">
        <v>424</v>
      </c>
      <c r="F257" s="153">
        <v>4.0599999999999996</v>
      </c>
      <c r="G257" s="113"/>
      <c r="H257" s="157"/>
      <c r="I257" s="157">
        <f>F257*5%</f>
        <v>0.20299999999999999</v>
      </c>
      <c r="J257" s="156"/>
      <c r="K257" s="113"/>
      <c r="L257" s="113"/>
      <c r="M257" s="157">
        <f t="shared" si="217"/>
        <v>1.06575</v>
      </c>
      <c r="N257" s="171"/>
      <c r="O257" s="190">
        <f t="shared" si="185"/>
        <v>12469.274999999998</v>
      </c>
      <c r="P257" s="112">
        <v>50891</v>
      </c>
      <c r="Q257" s="169">
        <v>45901</v>
      </c>
      <c r="R257" s="113">
        <f t="shared" si="218"/>
        <v>26</v>
      </c>
      <c r="S257" s="113">
        <v>25</v>
      </c>
      <c r="T257" s="113">
        <v>8</v>
      </c>
      <c r="U257" s="113">
        <f t="shared" si="219"/>
        <v>164</v>
      </c>
      <c r="V257" s="187">
        <f t="shared" si="220"/>
        <v>14</v>
      </c>
      <c r="W257" s="113">
        <v>13</v>
      </c>
      <c r="X257" s="113">
        <v>8</v>
      </c>
      <c r="Y257" s="189"/>
      <c r="Z257" s="153"/>
      <c r="AA257" s="189"/>
      <c r="AB257" s="189"/>
      <c r="AC257" s="177">
        <f t="shared" si="221"/>
        <v>1122234.7499999998</v>
      </c>
      <c r="AD257" s="178">
        <f t="shared" si="224"/>
        <v>598525.19999999995</v>
      </c>
      <c r="AE257" s="179">
        <f t="shared" si="225"/>
        <v>486301.72499999998</v>
      </c>
      <c r="AF257" s="180">
        <f t="shared" si="226"/>
        <v>37407.824999999997</v>
      </c>
      <c r="AG257" s="165">
        <f t="shared" si="222"/>
        <v>0</v>
      </c>
      <c r="AH257" s="196">
        <f t="shared" si="183"/>
        <v>1122235</v>
      </c>
      <c r="AI257" s="162"/>
      <c r="AJ257" s="197">
        <f t="shared" si="223"/>
        <v>1122235</v>
      </c>
    </row>
    <row r="258" spans="1:36" ht="31.2" x14ac:dyDescent="0.25">
      <c r="A258" s="113">
        <v>4</v>
      </c>
      <c r="B258" s="111" t="s">
        <v>872</v>
      </c>
      <c r="C258" s="112">
        <v>31962</v>
      </c>
      <c r="D258" s="112" t="s">
        <v>873</v>
      </c>
      <c r="E258" s="113" t="s">
        <v>424</v>
      </c>
      <c r="F258" s="153">
        <v>3.66</v>
      </c>
      <c r="G258" s="113"/>
      <c r="H258" s="157"/>
      <c r="I258" s="157"/>
      <c r="J258" s="156"/>
      <c r="K258" s="113"/>
      <c r="L258" s="113"/>
      <c r="M258" s="157">
        <f t="shared" si="217"/>
        <v>0.91500000000000004</v>
      </c>
      <c r="N258" s="171"/>
      <c r="O258" s="190">
        <f t="shared" si="185"/>
        <v>10705.5</v>
      </c>
      <c r="P258" s="112">
        <v>53905</v>
      </c>
      <c r="Q258" s="169">
        <v>45901</v>
      </c>
      <c r="R258" s="113">
        <f t="shared" si="218"/>
        <v>13</v>
      </c>
      <c r="S258" s="113">
        <v>12</v>
      </c>
      <c r="T258" s="113">
        <v>9</v>
      </c>
      <c r="U258" s="113">
        <f t="shared" si="219"/>
        <v>263</v>
      </c>
      <c r="V258" s="187">
        <f t="shared" si="220"/>
        <v>22</v>
      </c>
      <c r="W258" s="113">
        <v>21</v>
      </c>
      <c r="X258" s="113">
        <v>11</v>
      </c>
      <c r="Y258" s="189"/>
      <c r="Z258" s="153"/>
      <c r="AA258" s="189"/>
      <c r="AB258" s="189"/>
      <c r="AC258" s="177">
        <f t="shared" si="221"/>
        <v>754737.75</v>
      </c>
      <c r="AD258" s="178">
        <f t="shared" si="224"/>
        <v>513864</v>
      </c>
      <c r="AE258" s="179">
        <f t="shared" si="225"/>
        <v>208757.25</v>
      </c>
      <c r="AF258" s="180">
        <f t="shared" si="226"/>
        <v>32116.5</v>
      </c>
      <c r="AG258" s="165">
        <f t="shared" si="222"/>
        <v>0</v>
      </c>
      <c r="AH258" s="196">
        <f t="shared" si="183"/>
        <v>754738</v>
      </c>
      <c r="AI258" s="162"/>
      <c r="AJ258" s="197">
        <f t="shared" si="223"/>
        <v>754738</v>
      </c>
    </row>
    <row r="259" spans="1:36" ht="31.2" x14ac:dyDescent="0.25">
      <c r="A259" s="113">
        <v>5</v>
      </c>
      <c r="B259" s="111" t="s">
        <v>279</v>
      </c>
      <c r="C259" s="112" t="s">
        <v>874</v>
      </c>
      <c r="D259" s="112" t="s">
        <v>448</v>
      </c>
      <c r="E259" s="113" t="s">
        <v>424</v>
      </c>
      <c r="F259" s="153">
        <v>3.33</v>
      </c>
      <c r="G259" s="113"/>
      <c r="H259" s="157"/>
      <c r="I259" s="157"/>
      <c r="J259" s="156"/>
      <c r="K259" s="113"/>
      <c r="L259" s="113"/>
      <c r="M259" s="157">
        <f t="shared" si="217"/>
        <v>0.83250000000000002</v>
      </c>
      <c r="N259" s="171"/>
      <c r="O259" s="190">
        <f t="shared" si="185"/>
        <v>9740.25</v>
      </c>
      <c r="P259" s="112">
        <v>52536</v>
      </c>
      <c r="Q259" s="169">
        <v>45901</v>
      </c>
      <c r="R259" s="113">
        <f t="shared" si="218"/>
        <v>18</v>
      </c>
      <c r="S259" s="113">
        <v>17</v>
      </c>
      <c r="T259" s="113">
        <v>8</v>
      </c>
      <c r="U259" s="113">
        <f t="shared" si="219"/>
        <v>218</v>
      </c>
      <c r="V259" s="187">
        <f t="shared" si="220"/>
        <v>18.5</v>
      </c>
      <c r="W259" s="113">
        <v>18</v>
      </c>
      <c r="X259" s="113">
        <v>2</v>
      </c>
      <c r="Y259" s="189"/>
      <c r="Z259" s="153"/>
      <c r="AA259" s="189"/>
      <c r="AB259" s="189"/>
      <c r="AC259" s="177">
        <f t="shared" si="221"/>
        <v>759739.5</v>
      </c>
      <c r="AD259" s="178">
        <f t="shared" si="224"/>
        <v>467532</v>
      </c>
      <c r="AE259" s="179">
        <f t="shared" si="225"/>
        <v>262986.75</v>
      </c>
      <c r="AF259" s="180">
        <f t="shared" si="226"/>
        <v>29220.75</v>
      </c>
      <c r="AG259" s="165">
        <f t="shared" si="222"/>
        <v>0</v>
      </c>
      <c r="AH259" s="196">
        <f t="shared" si="183"/>
        <v>759740</v>
      </c>
      <c r="AI259" s="162"/>
      <c r="AJ259" s="197">
        <f t="shared" si="223"/>
        <v>759740</v>
      </c>
    </row>
    <row r="260" spans="1:36" ht="39" customHeight="1" x14ac:dyDescent="0.25">
      <c r="A260" s="113">
        <v>6</v>
      </c>
      <c r="B260" s="111" t="s">
        <v>875</v>
      </c>
      <c r="C260" s="112" t="s">
        <v>721</v>
      </c>
      <c r="D260" s="112" t="s">
        <v>876</v>
      </c>
      <c r="E260" s="113" t="s">
        <v>396</v>
      </c>
      <c r="F260" s="153">
        <v>3.99</v>
      </c>
      <c r="G260" s="113"/>
      <c r="H260" s="157"/>
      <c r="I260" s="157"/>
      <c r="J260" s="156"/>
      <c r="K260" s="113"/>
      <c r="L260" s="113"/>
      <c r="M260" s="157">
        <f t="shared" si="217"/>
        <v>0.99750000000000005</v>
      </c>
      <c r="N260" s="171"/>
      <c r="O260" s="190">
        <f t="shared" si="185"/>
        <v>11670.750000000002</v>
      </c>
      <c r="P260" s="112">
        <v>51349</v>
      </c>
      <c r="Q260" s="169">
        <v>45901</v>
      </c>
      <c r="R260" s="113">
        <f t="shared" si="218"/>
        <v>21.5</v>
      </c>
      <c r="S260" s="113">
        <v>21</v>
      </c>
      <c r="T260" s="113">
        <v>3</v>
      </c>
      <c r="U260" s="113">
        <f t="shared" si="219"/>
        <v>179</v>
      </c>
      <c r="V260" s="187">
        <f t="shared" si="220"/>
        <v>15</v>
      </c>
      <c r="W260" s="113">
        <v>14</v>
      </c>
      <c r="X260" s="113">
        <v>11</v>
      </c>
      <c r="Y260" s="189"/>
      <c r="Z260" s="153"/>
      <c r="AA260" s="189"/>
      <c r="AB260" s="189"/>
      <c r="AC260" s="177">
        <f t="shared" si="221"/>
        <v>971589.93750000023</v>
      </c>
      <c r="AD260" s="178">
        <f t="shared" si="224"/>
        <v>560196.00000000012</v>
      </c>
      <c r="AE260" s="179">
        <f t="shared" si="225"/>
        <v>376381.68750000006</v>
      </c>
      <c r="AF260" s="180">
        <f t="shared" si="226"/>
        <v>35012.250000000007</v>
      </c>
      <c r="AG260" s="165">
        <f t="shared" si="222"/>
        <v>0</v>
      </c>
      <c r="AH260" s="196">
        <f t="shared" si="183"/>
        <v>971590</v>
      </c>
      <c r="AI260" s="162"/>
      <c r="AJ260" s="197">
        <f t="shared" si="223"/>
        <v>971590</v>
      </c>
    </row>
    <row r="261" spans="1:36" ht="41.4" customHeight="1" x14ac:dyDescent="0.25">
      <c r="A261" s="113">
        <v>7</v>
      </c>
      <c r="B261" s="111" t="s">
        <v>877</v>
      </c>
      <c r="C261" s="112" t="s">
        <v>878</v>
      </c>
      <c r="D261" s="112" t="s">
        <v>420</v>
      </c>
      <c r="E261" s="113" t="s">
        <v>396</v>
      </c>
      <c r="F261" s="153">
        <v>4.32</v>
      </c>
      <c r="G261" s="113"/>
      <c r="H261" s="157"/>
      <c r="I261" s="157"/>
      <c r="J261" s="156"/>
      <c r="K261" s="113"/>
      <c r="L261" s="113"/>
      <c r="M261" s="157">
        <f t="shared" si="217"/>
        <v>1.08</v>
      </c>
      <c r="N261" s="171"/>
      <c r="O261" s="190">
        <f t="shared" si="185"/>
        <v>12636</v>
      </c>
      <c r="P261" s="112">
        <v>51136</v>
      </c>
      <c r="Q261" s="169">
        <v>45901</v>
      </c>
      <c r="R261" s="113">
        <f t="shared" si="218"/>
        <v>23.5</v>
      </c>
      <c r="S261" s="113">
        <v>23</v>
      </c>
      <c r="T261" s="113">
        <v>3</v>
      </c>
      <c r="U261" s="113">
        <f t="shared" si="219"/>
        <v>172</v>
      </c>
      <c r="V261" s="187">
        <f t="shared" si="220"/>
        <v>14.5</v>
      </c>
      <c r="W261" s="113">
        <v>14</v>
      </c>
      <c r="X261" s="113">
        <v>4</v>
      </c>
      <c r="Y261" s="189"/>
      <c r="Z261" s="153"/>
      <c r="AA261" s="189"/>
      <c r="AB261" s="189"/>
      <c r="AC261" s="177">
        <f t="shared" si="221"/>
        <v>1089855</v>
      </c>
      <c r="AD261" s="178">
        <f t="shared" si="224"/>
        <v>606528</v>
      </c>
      <c r="AE261" s="179">
        <f t="shared" si="225"/>
        <v>445419</v>
      </c>
      <c r="AF261" s="180">
        <f t="shared" si="226"/>
        <v>37908</v>
      </c>
      <c r="AG261" s="165">
        <f t="shared" si="222"/>
        <v>0</v>
      </c>
      <c r="AH261" s="196">
        <f t="shared" si="183"/>
        <v>1089855</v>
      </c>
      <c r="AI261" s="162"/>
      <c r="AJ261" s="197">
        <f t="shared" si="223"/>
        <v>1089855</v>
      </c>
    </row>
    <row r="262" spans="1:36" ht="31.2" x14ac:dyDescent="0.25">
      <c r="A262" s="113">
        <v>8</v>
      </c>
      <c r="B262" s="111" t="s">
        <v>879</v>
      </c>
      <c r="C262" s="112">
        <v>27153</v>
      </c>
      <c r="D262" s="112" t="s">
        <v>880</v>
      </c>
      <c r="E262" s="113" t="s">
        <v>881</v>
      </c>
      <c r="F262" s="153">
        <v>3.46</v>
      </c>
      <c r="G262" s="113"/>
      <c r="H262" s="157"/>
      <c r="I262" s="157"/>
      <c r="J262" s="157">
        <f>F262*27%</f>
        <v>0.93420000000000003</v>
      </c>
      <c r="K262" s="113"/>
      <c r="L262" s="113"/>
      <c r="M262" s="157">
        <f t="shared" si="217"/>
        <v>0.86499999999999999</v>
      </c>
      <c r="N262" s="171"/>
      <c r="O262" s="190">
        <f t="shared" si="185"/>
        <v>12306.528</v>
      </c>
      <c r="P262" s="112">
        <v>49827</v>
      </c>
      <c r="Q262" s="169">
        <v>45901</v>
      </c>
      <c r="R262" s="113">
        <f t="shared" si="218"/>
        <v>27.5</v>
      </c>
      <c r="S262" s="113">
        <v>27</v>
      </c>
      <c r="T262" s="113">
        <v>1</v>
      </c>
      <c r="U262" s="113">
        <f t="shared" si="219"/>
        <v>129</v>
      </c>
      <c r="V262" s="187">
        <f t="shared" si="220"/>
        <v>11</v>
      </c>
      <c r="W262" s="113">
        <v>10</v>
      </c>
      <c r="X262" s="113">
        <v>9</v>
      </c>
      <c r="Y262" s="189"/>
      <c r="Z262" s="153"/>
      <c r="AA262" s="189"/>
      <c r="AB262" s="189"/>
      <c r="AC262" s="177">
        <f t="shared" si="221"/>
        <v>1135277.2080000001</v>
      </c>
      <c r="AD262" s="178">
        <f t="shared" si="224"/>
        <v>590713.34400000004</v>
      </c>
      <c r="AE262" s="179">
        <f t="shared" si="225"/>
        <v>507644.28</v>
      </c>
      <c r="AF262" s="180">
        <f t="shared" si="226"/>
        <v>36919.584000000003</v>
      </c>
      <c r="AG262" s="165">
        <f t="shared" si="222"/>
        <v>0</v>
      </c>
      <c r="AH262" s="196">
        <f t="shared" si="183"/>
        <v>1135277</v>
      </c>
      <c r="AI262" s="162"/>
      <c r="AJ262" s="197">
        <f t="shared" si="223"/>
        <v>1135277</v>
      </c>
    </row>
    <row r="263" spans="1:36" ht="31.2" x14ac:dyDescent="0.25">
      <c r="A263" s="188">
        <v>43</v>
      </c>
      <c r="B263" s="239" t="s">
        <v>882</v>
      </c>
      <c r="C263" s="239"/>
      <c r="D263" s="239"/>
      <c r="E263" s="188"/>
      <c r="F263" s="153"/>
      <c r="G263" s="113"/>
      <c r="H263" s="157"/>
      <c r="I263" s="157"/>
      <c r="J263" s="156"/>
      <c r="K263" s="113"/>
      <c r="L263" s="113"/>
      <c r="M263" s="157"/>
      <c r="N263" s="171"/>
      <c r="O263" s="190">
        <f t="shared" si="185"/>
        <v>0</v>
      </c>
      <c r="P263" s="188"/>
      <c r="Q263" s="169"/>
      <c r="R263" s="188"/>
      <c r="S263" s="188"/>
      <c r="T263" s="188"/>
      <c r="U263" s="113"/>
      <c r="V263" s="240"/>
      <c r="W263" s="188"/>
      <c r="X263" s="188"/>
      <c r="Y263" s="434">
        <f>SUM(Y264:Y267)</f>
        <v>0</v>
      </c>
      <c r="Z263" s="434">
        <f>SUM(Z264:Z267)</f>
        <v>0</v>
      </c>
      <c r="AA263" s="434">
        <f t="shared" ref="AA263:AJ263" si="227">SUM(AA264:AA267)</f>
        <v>0</v>
      </c>
      <c r="AB263" s="434">
        <f t="shared" si="227"/>
        <v>0</v>
      </c>
      <c r="AC263" s="434">
        <f t="shared" si="227"/>
        <v>3856283.4375</v>
      </c>
      <c r="AD263" s="434">
        <f t="shared" si="227"/>
        <v>2169180</v>
      </c>
      <c r="AE263" s="434">
        <f t="shared" si="227"/>
        <v>1551529.6875</v>
      </c>
      <c r="AF263" s="434">
        <f t="shared" si="227"/>
        <v>135573.75</v>
      </c>
      <c r="AG263" s="434">
        <f t="shared" si="227"/>
        <v>0</v>
      </c>
      <c r="AH263" s="434">
        <f t="shared" si="227"/>
        <v>3856284</v>
      </c>
      <c r="AI263" s="434">
        <f t="shared" si="227"/>
        <v>0</v>
      </c>
      <c r="AJ263" s="431">
        <f t="shared" si="227"/>
        <v>3856284</v>
      </c>
    </row>
    <row r="264" spans="1:36" ht="37.950000000000003" customHeight="1" x14ac:dyDescent="0.25">
      <c r="A264" s="113">
        <v>1</v>
      </c>
      <c r="B264" s="111" t="s">
        <v>883</v>
      </c>
      <c r="C264" s="112">
        <v>27675</v>
      </c>
      <c r="D264" s="112" t="s">
        <v>154</v>
      </c>
      <c r="E264" s="113" t="s">
        <v>387</v>
      </c>
      <c r="F264" s="153">
        <v>4.32</v>
      </c>
      <c r="G264" s="113"/>
      <c r="H264" s="157"/>
      <c r="I264" s="157"/>
      <c r="J264" s="156"/>
      <c r="K264" s="113"/>
      <c r="L264" s="113"/>
      <c r="M264" s="157">
        <f t="shared" ref="M264:M274" si="228">(F264+G264+H264+I264)*25%</f>
        <v>1.08</v>
      </c>
      <c r="N264" s="171"/>
      <c r="O264" s="190">
        <f t="shared" si="185"/>
        <v>12636</v>
      </c>
      <c r="P264" s="112">
        <v>49614</v>
      </c>
      <c r="Q264" s="169">
        <v>45901</v>
      </c>
      <c r="R264" s="113">
        <f>(S264)+(IF(T264=0,0,IF(T264&lt;7,1/2,1)))</f>
        <v>26</v>
      </c>
      <c r="S264" s="113">
        <v>25</v>
      </c>
      <c r="T264" s="113">
        <v>8</v>
      </c>
      <c r="U264" s="113">
        <f t="shared" ref="U264:U274" si="229">(W264*12)+X264</f>
        <v>122</v>
      </c>
      <c r="V264" s="187">
        <f>(W264)+(IF(X264=0,0,IF(X264&lt;6,1/2,1)))</f>
        <v>10.5</v>
      </c>
      <c r="W264" s="113">
        <v>10</v>
      </c>
      <c r="X264" s="113">
        <v>2</v>
      </c>
      <c r="Y264" s="189"/>
      <c r="Z264" s="153"/>
      <c r="AA264" s="189"/>
      <c r="AB264" s="189"/>
      <c r="AC264" s="177">
        <f>AD264+AE264+AF264</f>
        <v>1137240</v>
      </c>
      <c r="AD264" s="178">
        <f>0.8*60*O264</f>
        <v>606528</v>
      </c>
      <c r="AE264" s="179">
        <f>1.5*O264*R264</f>
        <v>492804</v>
      </c>
      <c r="AF264" s="180">
        <f>3*O264</f>
        <v>37908</v>
      </c>
      <c r="AG264" s="165">
        <f>ROUND(Y264+Z264,0)</f>
        <v>0</v>
      </c>
      <c r="AH264" s="196">
        <f t="shared" si="183"/>
        <v>1137240</v>
      </c>
      <c r="AI264" s="162"/>
      <c r="AJ264" s="197">
        <f>AG264+AH264+AI264</f>
        <v>1137240</v>
      </c>
    </row>
    <row r="265" spans="1:36" ht="34.200000000000003" customHeight="1" x14ac:dyDescent="0.25">
      <c r="A265" s="113">
        <v>2</v>
      </c>
      <c r="B265" s="111" t="s">
        <v>884</v>
      </c>
      <c r="C265" s="112">
        <v>27966</v>
      </c>
      <c r="D265" s="112" t="s">
        <v>49</v>
      </c>
      <c r="E265" s="113" t="s">
        <v>387</v>
      </c>
      <c r="F265" s="153">
        <v>4.6500000000000004</v>
      </c>
      <c r="G265" s="113"/>
      <c r="H265" s="157"/>
      <c r="I265" s="157"/>
      <c r="J265" s="156"/>
      <c r="K265" s="113"/>
      <c r="L265" s="113"/>
      <c r="M265" s="157">
        <f t="shared" si="228"/>
        <v>1.1625000000000001</v>
      </c>
      <c r="N265" s="171"/>
      <c r="O265" s="190">
        <f t="shared" si="185"/>
        <v>13601.25</v>
      </c>
      <c r="P265" s="112">
        <v>49888</v>
      </c>
      <c r="Q265" s="169">
        <v>45901</v>
      </c>
      <c r="R265" s="113">
        <f>(S265)+(IF(T265=0,0,IF(T265&lt;7,1/2,1)))</f>
        <v>24.5</v>
      </c>
      <c r="S265" s="113">
        <v>24</v>
      </c>
      <c r="T265" s="113">
        <v>5</v>
      </c>
      <c r="U265" s="113">
        <f t="shared" si="229"/>
        <v>131</v>
      </c>
      <c r="V265" s="187">
        <f>(W265)+(IF(X265=0,0,IF(X265&lt;6,1/2,1)))</f>
        <v>11</v>
      </c>
      <c r="W265" s="113">
        <v>10</v>
      </c>
      <c r="X265" s="113">
        <v>11</v>
      </c>
      <c r="Y265" s="189"/>
      <c r="Z265" s="153"/>
      <c r="AA265" s="189"/>
      <c r="AB265" s="189"/>
      <c r="AC265" s="177">
        <f>AD265+AE265+AF265</f>
        <v>1193509.6875</v>
      </c>
      <c r="AD265" s="178">
        <f>0.8*60*O265</f>
        <v>652860</v>
      </c>
      <c r="AE265" s="179">
        <f>1.5*O265*R265</f>
        <v>499845.9375</v>
      </c>
      <c r="AF265" s="180">
        <f>3*O265</f>
        <v>40803.75</v>
      </c>
      <c r="AG265" s="165">
        <f>ROUND(Y265+Z265,0)</f>
        <v>0</v>
      </c>
      <c r="AH265" s="196">
        <f t="shared" si="183"/>
        <v>1193510</v>
      </c>
      <c r="AI265" s="162"/>
      <c r="AJ265" s="197">
        <f>AG265+AH265+AI265</f>
        <v>1193510</v>
      </c>
    </row>
    <row r="266" spans="1:36" ht="39" customHeight="1" x14ac:dyDescent="0.25">
      <c r="A266" s="113">
        <v>3</v>
      </c>
      <c r="B266" s="111" t="s">
        <v>885</v>
      </c>
      <c r="C266" s="112">
        <v>26911</v>
      </c>
      <c r="D266" s="112" t="s">
        <v>49</v>
      </c>
      <c r="E266" s="113" t="s">
        <v>396</v>
      </c>
      <c r="F266" s="153">
        <v>2.34</v>
      </c>
      <c r="G266" s="113">
        <v>0.15</v>
      </c>
      <c r="H266" s="157"/>
      <c r="I266" s="157"/>
      <c r="J266" s="156"/>
      <c r="K266" s="113"/>
      <c r="L266" s="113"/>
      <c r="M266" s="157">
        <f t="shared" si="228"/>
        <v>0.62249999999999994</v>
      </c>
      <c r="N266" s="171"/>
      <c r="O266" s="190">
        <f t="shared" si="185"/>
        <v>7283.25</v>
      </c>
      <c r="P266" s="112">
        <v>49583</v>
      </c>
      <c r="Q266" s="169">
        <v>45901</v>
      </c>
      <c r="R266" s="113">
        <f>(S266)+(IF(T266=0,0,IF(T266&lt;7,1/2,1)))</f>
        <v>13.5</v>
      </c>
      <c r="S266" s="113">
        <v>13</v>
      </c>
      <c r="T266" s="113">
        <v>1</v>
      </c>
      <c r="U266" s="113">
        <f t="shared" si="229"/>
        <v>121</v>
      </c>
      <c r="V266" s="187">
        <f>(W266)+(IF(X266=0,0,IF(X266&lt;6,1/2,1)))</f>
        <v>10.5</v>
      </c>
      <c r="W266" s="113">
        <v>10</v>
      </c>
      <c r="X266" s="113">
        <v>1</v>
      </c>
      <c r="Y266" s="189"/>
      <c r="Z266" s="153"/>
      <c r="AA266" s="189"/>
      <c r="AB266" s="189"/>
      <c r="AC266" s="177">
        <f>AD266+AE266+AF266</f>
        <v>518931.5625</v>
      </c>
      <c r="AD266" s="178">
        <f>0.8*60*O266</f>
        <v>349596</v>
      </c>
      <c r="AE266" s="179">
        <f>1.5*O266*R266</f>
        <v>147485.8125</v>
      </c>
      <c r="AF266" s="180">
        <f>3*O266</f>
        <v>21849.75</v>
      </c>
      <c r="AG266" s="165">
        <f>ROUND(Y266+Z266,0)</f>
        <v>0</v>
      </c>
      <c r="AH266" s="196">
        <f t="shared" si="183"/>
        <v>518932</v>
      </c>
      <c r="AI266" s="162"/>
      <c r="AJ266" s="197">
        <f>AG266+AH266+AI266</f>
        <v>518932</v>
      </c>
    </row>
    <row r="267" spans="1:36" ht="40.950000000000003" customHeight="1" x14ac:dyDescent="0.25">
      <c r="A267" s="113">
        <v>4</v>
      </c>
      <c r="B267" s="111" t="s">
        <v>886</v>
      </c>
      <c r="C267" s="112">
        <v>29269</v>
      </c>
      <c r="D267" s="112" t="s">
        <v>49</v>
      </c>
      <c r="E267" s="113" t="s">
        <v>427</v>
      </c>
      <c r="F267" s="153">
        <v>3.99</v>
      </c>
      <c r="G267" s="113"/>
      <c r="H267" s="157"/>
      <c r="I267" s="157"/>
      <c r="J267" s="156"/>
      <c r="K267" s="113"/>
      <c r="L267" s="113"/>
      <c r="M267" s="157">
        <f t="shared" si="228"/>
        <v>0.99750000000000005</v>
      </c>
      <c r="N267" s="171"/>
      <c r="O267" s="190">
        <f t="shared" si="185"/>
        <v>11670.750000000002</v>
      </c>
      <c r="P267" s="112">
        <v>51196</v>
      </c>
      <c r="Q267" s="169">
        <v>45901</v>
      </c>
      <c r="R267" s="113">
        <f>(S267)+(IF(T267=0,0,IF(T267&lt;7,1/2,1)))</f>
        <v>23.5</v>
      </c>
      <c r="S267" s="113">
        <v>23</v>
      </c>
      <c r="T267" s="113">
        <v>5</v>
      </c>
      <c r="U267" s="113">
        <f t="shared" si="229"/>
        <v>174</v>
      </c>
      <c r="V267" s="187">
        <f>(W267)+(IF(X267=0,0,IF(X267&lt;6,1/2,1)))</f>
        <v>15</v>
      </c>
      <c r="W267" s="113">
        <v>14</v>
      </c>
      <c r="X267" s="113">
        <v>6</v>
      </c>
      <c r="Y267" s="189"/>
      <c r="Z267" s="153"/>
      <c r="AA267" s="189"/>
      <c r="AB267" s="189"/>
      <c r="AC267" s="177">
        <f>AD267+AE267+AF267</f>
        <v>1006602.1875000002</v>
      </c>
      <c r="AD267" s="178">
        <f>0.8*60*O267</f>
        <v>560196.00000000012</v>
      </c>
      <c r="AE267" s="179">
        <f>1.5*O267*R267</f>
        <v>411393.93750000006</v>
      </c>
      <c r="AF267" s="180">
        <f>3*O267</f>
        <v>35012.250000000007</v>
      </c>
      <c r="AG267" s="165">
        <f>ROUND(Y267+Z267,0)</f>
        <v>0</v>
      </c>
      <c r="AH267" s="196">
        <f t="shared" si="183"/>
        <v>1006602</v>
      </c>
      <c r="AI267" s="162"/>
      <c r="AJ267" s="197">
        <f>AG267+AH267+AI267</f>
        <v>1006602</v>
      </c>
    </row>
    <row r="268" spans="1:36" ht="31.2" x14ac:dyDescent="0.25">
      <c r="A268" s="188">
        <v>44</v>
      </c>
      <c r="B268" s="239" t="s">
        <v>887</v>
      </c>
      <c r="C268" s="239"/>
      <c r="D268" s="111"/>
      <c r="E268" s="113"/>
      <c r="F268" s="153"/>
      <c r="G268" s="113"/>
      <c r="H268" s="157"/>
      <c r="I268" s="157"/>
      <c r="J268" s="156"/>
      <c r="K268" s="113"/>
      <c r="L268" s="113"/>
      <c r="M268" s="157">
        <f t="shared" si="228"/>
        <v>0</v>
      </c>
      <c r="N268" s="171"/>
      <c r="O268" s="190">
        <f t="shared" si="185"/>
        <v>0</v>
      </c>
      <c r="P268" s="113"/>
      <c r="Q268" s="435"/>
      <c r="R268" s="113"/>
      <c r="S268" s="113"/>
      <c r="T268" s="113"/>
      <c r="U268" s="113">
        <f t="shared" si="229"/>
        <v>0</v>
      </c>
      <c r="V268" s="187"/>
      <c r="W268" s="113"/>
      <c r="X268" s="113"/>
      <c r="Y268" s="434">
        <f t="shared" ref="Y268:AJ268" si="230">SUM(Y269:Y271)</f>
        <v>0</v>
      </c>
      <c r="Z268" s="434">
        <f t="shared" si="230"/>
        <v>0</v>
      </c>
      <c r="AA268" s="434">
        <f t="shared" si="230"/>
        <v>0</v>
      </c>
      <c r="AB268" s="434">
        <f t="shared" si="230"/>
        <v>0</v>
      </c>
      <c r="AC268" s="434">
        <f t="shared" si="230"/>
        <v>2605604.625</v>
      </c>
      <c r="AD268" s="434">
        <f t="shared" si="230"/>
        <v>1558440</v>
      </c>
      <c r="AE268" s="434">
        <f t="shared" si="230"/>
        <v>949762.125</v>
      </c>
      <c r="AF268" s="434">
        <f t="shared" si="230"/>
        <v>97402.5</v>
      </c>
      <c r="AG268" s="434">
        <f t="shared" si="230"/>
        <v>0</v>
      </c>
      <c r="AH268" s="434">
        <f t="shared" si="230"/>
        <v>2605605</v>
      </c>
      <c r="AI268" s="434">
        <f t="shared" si="230"/>
        <v>0</v>
      </c>
      <c r="AJ268" s="431">
        <f t="shared" si="230"/>
        <v>2605605</v>
      </c>
    </row>
    <row r="269" spans="1:36" ht="45.6" customHeight="1" x14ac:dyDescent="0.25">
      <c r="A269" s="113">
        <v>1</v>
      </c>
      <c r="B269" s="111" t="s">
        <v>888</v>
      </c>
      <c r="C269" s="112" t="s">
        <v>889</v>
      </c>
      <c r="D269" s="112" t="s">
        <v>890</v>
      </c>
      <c r="E269" s="113" t="s">
        <v>435</v>
      </c>
      <c r="F269" s="153">
        <v>3.99</v>
      </c>
      <c r="G269" s="113"/>
      <c r="H269" s="157">
        <v>0.2</v>
      </c>
      <c r="I269" s="157"/>
      <c r="J269" s="156"/>
      <c r="K269" s="113"/>
      <c r="L269" s="113"/>
      <c r="M269" s="157">
        <f t="shared" si="228"/>
        <v>1.0475000000000001</v>
      </c>
      <c r="N269" s="171"/>
      <c r="O269" s="190">
        <f t="shared" si="185"/>
        <v>12255.750000000002</v>
      </c>
      <c r="P269" s="112">
        <v>52810</v>
      </c>
      <c r="Q269" s="169">
        <v>45901</v>
      </c>
      <c r="R269" s="113">
        <f t="shared" ref="R269:R274" si="231">(S269)+(IF(T269=0,0,IF(T269&lt;7,1/2,1)))</f>
        <v>21.5</v>
      </c>
      <c r="S269" s="113">
        <v>21</v>
      </c>
      <c r="T269" s="113">
        <v>1</v>
      </c>
      <c r="U269" s="113">
        <f t="shared" si="229"/>
        <v>227</v>
      </c>
      <c r="V269" s="187">
        <f t="shared" ref="V269:V274" si="232">(W269)+(IF(X269=0,0,IF(X269&lt;6,1/2,1)))</f>
        <v>19</v>
      </c>
      <c r="W269" s="113">
        <v>18</v>
      </c>
      <c r="X269" s="113">
        <v>11</v>
      </c>
      <c r="Y269" s="189"/>
      <c r="Z269" s="153"/>
      <c r="AA269" s="189"/>
      <c r="AB269" s="189"/>
      <c r="AC269" s="177">
        <f>AD269+AE269+AF269</f>
        <v>1020291.1875000002</v>
      </c>
      <c r="AD269" s="178">
        <f>0.8*60*O269</f>
        <v>588276.00000000012</v>
      </c>
      <c r="AE269" s="179">
        <f>1.5*O269*R269</f>
        <v>395247.93750000006</v>
      </c>
      <c r="AF269" s="180">
        <f>3*O269</f>
        <v>36767.250000000007</v>
      </c>
      <c r="AG269" s="165">
        <f>ROUND(Y269+Z269,0)</f>
        <v>0</v>
      </c>
      <c r="AH269" s="196">
        <f t="shared" si="183"/>
        <v>1020291</v>
      </c>
      <c r="AI269" s="162"/>
      <c r="AJ269" s="197">
        <f>AG269+AH269+AI269</f>
        <v>1020291</v>
      </c>
    </row>
    <row r="270" spans="1:36" ht="45" customHeight="1" x14ac:dyDescent="0.25">
      <c r="A270" s="113">
        <v>2</v>
      </c>
      <c r="B270" s="111" t="s">
        <v>891</v>
      </c>
      <c r="C270" s="112">
        <v>29038</v>
      </c>
      <c r="D270" s="112" t="s">
        <v>892</v>
      </c>
      <c r="E270" s="113" t="s">
        <v>424</v>
      </c>
      <c r="F270" s="153">
        <v>3</v>
      </c>
      <c r="G270" s="113"/>
      <c r="H270" s="157"/>
      <c r="I270" s="157"/>
      <c r="J270" s="156"/>
      <c r="K270" s="113"/>
      <c r="L270" s="113"/>
      <c r="M270" s="157">
        <f t="shared" si="228"/>
        <v>0.75</v>
      </c>
      <c r="N270" s="171"/>
      <c r="O270" s="190">
        <f t="shared" si="185"/>
        <v>8775</v>
      </c>
      <c r="P270" s="112">
        <v>51714</v>
      </c>
      <c r="Q270" s="169">
        <v>45901</v>
      </c>
      <c r="R270" s="113">
        <f t="shared" si="231"/>
        <v>11.5</v>
      </c>
      <c r="S270" s="113">
        <v>11</v>
      </c>
      <c r="T270" s="113">
        <v>6</v>
      </c>
      <c r="U270" s="113">
        <f t="shared" si="229"/>
        <v>191</v>
      </c>
      <c r="V270" s="187">
        <f t="shared" si="232"/>
        <v>16</v>
      </c>
      <c r="W270" s="113">
        <v>15</v>
      </c>
      <c r="X270" s="113">
        <v>11</v>
      </c>
      <c r="Y270" s="189"/>
      <c r="Z270" s="153"/>
      <c r="AA270" s="189"/>
      <c r="AB270" s="189"/>
      <c r="AC270" s="177">
        <f>AD270+AE270+AF270</f>
        <v>598893.75</v>
      </c>
      <c r="AD270" s="178">
        <f>0.8*60*O270</f>
        <v>421200</v>
      </c>
      <c r="AE270" s="179">
        <f>1.5*O270*R270</f>
        <v>151368.75</v>
      </c>
      <c r="AF270" s="180">
        <f>3*O270</f>
        <v>26325</v>
      </c>
      <c r="AG270" s="165">
        <f>ROUND(Y270+Z270,0)</f>
        <v>0</v>
      </c>
      <c r="AH270" s="196">
        <f t="shared" si="183"/>
        <v>598894</v>
      </c>
      <c r="AI270" s="162"/>
      <c r="AJ270" s="197">
        <f>AG270+AH270+AI270</f>
        <v>598894</v>
      </c>
    </row>
    <row r="271" spans="1:36" ht="45" customHeight="1" x14ac:dyDescent="0.25">
      <c r="A271" s="113">
        <v>3</v>
      </c>
      <c r="B271" s="111" t="s">
        <v>893</v>
      </c>
      <c r="C271" s="112">
        <v>28413</v>
      </c>
      <c r="D271" s="112" t="s">
        <v>49</v>
      </c>
      <c r="E271" s="113" t="s">
        <v>894</v>
      </c>
      <c r="F271" s="153">
        <v>3.66</v>
      </c>
      <c r="G271" s="113"/>
      <c r="H271" s="157">
        <v>0.25</v>
      </c>
      <c r="I271" s="157"/>
      <c r="J271" s="156"/>
      <c r="K271" s="113"/>
      <c r="L271" s="113"/>
      <c r="M271" s="157">
        <f t="shared" si="228"/>
        <v>0.97750000000000004</v>
      </c>
      <c r="N271" s="171"/>
      <c r="O271" s="190">
        <f t="shared" si="185"/>
        <v>11436.75</v>
      </c>
      <c r="P271" s="112">
        <v>51075</v>
      </c>
      <c r="Q271" s="169">
        <v>45901</v>
      </c>
      <c r="R271" s="113">
        <f t="shared" si="231"/>
        <v>23.5</v>
      </c>
      <c r="S271" s="113">
        <v>23</v>
      </c>
      <c r="T271" s="113">
        <v>2</v>
      </c>
      <c r="U271" s="113">
        <f t="shared" si="229"/>
        <v>170</v>
      </c>
      <c r="V271" s="187">
        <f t="shared" si="232"/>
        <v>14.5</v>
      </c>
      <c r="W271" s="113">
        <v>14</v>
      </c>
      <c r="X271" s="113">
        <v>2</v>
      </c>
      <c r="Y271" s="189"/>
      <c r="Z271" s="153"/>
      <c r="AA271" s="189"/>
      <c r="AB271" s="189"/>
      <c r="AC271" s="177">
        <f>AD271+AE271+AF271</f>
        <v>986419.6875</v>
      </c>
      <c r="AD271" s="178">
        <f>0.8*60*O271</f>
        <v>548964</v>
      </c>
      <c r="AE271" s="179">
        <f>1.5*O271*R271</f>
        <v>403145.4375</v>
      </c>
      <c r="AF271" s="180">
        <f>3*O271</f>
        <v>34310.25</v>
      </c>
      <c r="AG271" s="165">
        <f>ROUND(Y271+Z271,0)</f>
        <v>0</v>
      </c>
      <c r="AH271" s="196">
        <f t="shared" si="183"/>
        <v>986420</v>
      </c>
      <c r="AI271" s="162"/>
      <c r="AJ271" s="197">
        <f>AG271+AH271+AI271</f>
        <v>986420</v>
      </c>
    </row>
    <row r="272" spans="1:36" ht="15.6" x14ac:dyDescent="0.25">
      <c r="A272" s="188">
        <v>45</v>
      </c>
      <c r="B272" s="239" t="s">
        <v>895</v>
      </c>
      <c r="C272" s="239"/>
      <c r="D272" s="239"/>
      <c r="E272" s="188"/>
      <c r="F272" s="153"/>
      <c r="G272" s="113"/>
      <c r="H272" s="157"/>
      <c r="I272" s="157"/>
      <c r="J272" s="156"/>
      <c r="K272" s="113"/>
      <c r="L272" s="113"/>
      <c r="M272" s="157">
        <f t="shared" si="228"/>
        <v>0</v>
      </c>
      <c r="N272" s="171"/>
      <c r="O272" s="190">
        <f t="shared" si="185"/>
        <v>0</v>
      </c>
      <c r="P272" s="188"/>
      <c r="Q272" s="169">
        <v>45901</v>
      </c>
      <c r="R272" s="188">
        <f t="shared" si="231"/>
        <v>0</v>
      </c>
      <c r="S272" s="188"/>
      <c r="T272" s="188"/>
      <c r="U272" s="113">
        <f t="shared" si="229"/>
        <v>0</v>
      </c>
      <c r="V272" s="240">
        <f t="shared" si="232"/>
        <v>0</v>
      </c>
      <c r="W272" s="188"/>
      <c r="X272" s="188"/>
      <c r="Y272" s="245">
        <f>Y273+Y274</f>
        <v>682344</v>
      </c>
      <c r="Z272" s="245">
        <f t="shared" ref="Z272:AJ272" si="233">Z273+Z274</f>
        <v>574938</v>
      </c>
      <c r="AA272" s="245">
        <f t="shared" si="233"/>
        <v>454896</v>
      </c>
      <c r="AB272" s="245">
        <f t="shared" si="233"/>
        <v>120042</v>
      </c>
      <c r="AC272" s="245">
        <f t="shared" si="233"/>
        <v>907291.125</v>
      </c>
      <c r="AD272" s="245">
        <f t="shared" si="233"/>
        <v>513864</v>
      </c>
      <c r="AE272" s="245">
        <f t="shared" si="233"/>
        <v>361310.625</v>
      </c>
      <c r="AF272" s="245">
        <f t="shared" si="233"/>
        <v>32116.5</v>
      </c>
      <c r="AG272" s="245">
        <f t="shared" si="233"/>
        <v>1257282</v>
      </c>
      <c r="AH272" s="245">
        <f t="shared" si="233"/>
        <v>907291</v>
      </c>
      <c r="AI272" s="245">
        <f t="shared" si="233"/>
        <v>0</v>
      </c>
      <c r="AJ272" s="246">
        <f t="shared" si="233"/>
        <v>2164573</v>
      </c>
    </row>
    <row r="273" spans="1:36" ht="31.2" x14ac:dyDescent="0.25">
      <c r="A273" s="113">
        <v>1</v>
      </c>
      <c r="B273" s="111" t="s">
        <v>896</v>
      </c>
      <c r="C273" s="112">
        <v>27321</v>
      </c>
      <c r="D273" s="112" t="s">
        <v>49</v>
      </c>
      <c r="E273" s="113" t="s">
        <v>897</v>
      </c>
      <c r="F273" s="153">
        <v>4.32</v>
      </c>
      <c r="G273" s="113"/>
      <c r="H273" s="157"/>
      <c r="I273" s="157"/>
      <c r="J273" s="156"/>
      <c r="K273" s="113"/>
      <c r="L273" s="113"/>
      <c r="M273" s="157">
        <f t="shared" si="228"/>
        <v>1.08</v>
      </c>
      <c r="N273" s="171"/>
      <c r="O273" s="190">
        <f t="shared" si="185"/>
        <v>12636</v>
      </c>
      <c r="P273" s="112">
        <v>49126</v>
      </c>
      <c r="Q273" s="169">
        <v>45901</v>
      </c>
      <c r="R273" s="113">
        <f t="shared" si="231"/>
        <v>26</v>
      </c>
      <c r="S273" s="113">
        <v>25</v>
      </c>
      <c r="T273" s="113">
        <v>8</v>
      </c>
      <c r="U273" s="113">
        <f t="shared" si="229"/>
        <v>106</v>
      </c>
      <c r="V273" s="187">
        <f t="shared" si="232"/>
        <v>9</v>
      </c>
      <c r="W273" s="113">
        <v>8</v>
      </c>
      <c r="X273" s="113">
        <v>10</v>
      </c>
      <c r="Y273" s="160">
        <f>0.9*60*O273</f>
        <v>682344</v>
      </c>
      <c r="Z273" s="161">
        <f>SUM(AA273:AB273)</f>
        <v>574938</v>
      </c>
      <c r="AA273" s="162">
        <f>4*V273*O273</f>
        <v>454896</v>
      </c>
      <c r="AB273" s="163">
        <f>SUM(4*O273)+(0.5*O273*(R273-15))</f>
        <v>120042</v>
      </c>
      <c r="AC273" s="177">
        <f>AD273+AE273+AF273</f>
        <v>0</v>
      </c>
      <c r="AD273" s="178"/>
      <c r="AE273" s="179"/>
      <c r="AF273" s="180"/>
      <c r="AG273" s="165">
        <f>ROUND(Y273+Z273,0)</f>
        <v>1257282</v>
      </c>
      <c r="AH273" s="196">
        <f t="shared" si="183"/>
        <v>0</v>
      </c>
      <c r="AI273" s="162"/>
      <c r="AJ273" s="197">
        <f>AG273+AH273+AI273</f>
        <v>1257282</v>
      </c>
    </row>
    <row r="274" spans="1:36" ht="31.2" x14ac:dyDescent="0.25">
      <c r="A274" s="113">
        <v>2</v>
      </c>
      <c r="B274" s="111" t="s">
        <v>898</v>
      </c>
      <c r="C274" s="112">
        <v>28956</v>
      </c>
      <c r="D274" s="112" t="s">
        <v>49</v>
      </c>
      <c r="E274" s="113" t="s">
        <v>899</v>
      </c>
      <c r="F274" s="153">
        <v>3.66</v>
      </c>
      <c r="G274" s="113"/>
      <c r="H274" s="157"/>
      <c r="I274" s="157"/>
      <c r="J274" s="156"/>
      <c r="K274" s="113"/>
      <c r="L274" s="113"/>
      <c r="M274" s="157">
        <f t="shared" si="228"/>
        <v>0.91500000000000004</v>
      </c>
      <c r="N274" s="171"/>
      <c r="O274" s="190">
        <f t="shared" si="185"/>
        <v>10705.5</v>
      </c>
      <c r="P274" s="112">
        <v>51014</v>
      </c>
      <c r="Q274" s="169">
        <v>45901</v>
      </c>
      <c r="R274" s="113">
        <f t="shared" si="231"/>
        <v>22.5</v>
      </c>
      <c r="S274" s="113">
        <v>22</v>
      </c>
      <c r="T274" s="113">
        <v>2</v>
      </c>
      <c r="U274" s="113">
        <f t="shared" si="229"/>
        <v>164</v>
      </c>
      <c r="V274" s="187">
        <f t="shared" si="232"/>
        <v>14</v>
      </c>
      <c r="W274" s="113">
        <v>13</v>
      </c>
      <c r="X274" s="113">
        <v>8</v>
      </c>
      <c r="Y274" s="189"/>
      <c r="Z274" s="153"/>
      <c r="AA274" s="189"/>
      <c r="AB274" s="189"/>
      <c r="AC274" s="177">
        <f>AD274+AE274+AF274</f>
        <v>907291.125</v>
      </c>
      <c r="AD274" s="178">
        <f>0.8*60*O274</f>
        <v>513864</v>
      </c>
      <c r="AE274" s="179">
        <f>1.5*O274*R274</f>
        <v>361310.625</v>
      </c>
      <c r="AF274" s="180">
        <f>3*O274</f>
        <v>32116.5</v>
      </c>
      <c r="AG274" s="165">
        <f>ROUND(Y274+Z274,0)</f>
        <v>0</v>
      </c>
      <c r="AH274" s="196">
        <f t="shared" si="183"/>
        <v>907291</v>
      </c>
      <c r="AI274" s="162"/>
      <c r="AJ274" s="197">
        <f>AG274+AH274+AI274</f>
        <v>907291</v>
      </c>
    </row>
    <row r="275" spans="1:36" s="146" customFormat="1" ht="32.25" customHeight="1" x14ac:dyDescent="0.25">
      <c r="A275" s="147">
        <v>46</v>
      </c>
      <c r="B275" s="147" t="s">
        <v>900</v>
      </c>
      <c r="C275" s="149"/>
      <c r="D275" s="149"/>
      <c r="E275" s="150"/>
      <c r="F275" s="151"/>
      <c r="G275" s="149"/>
      <c r="H275" s="149"/>
      <c r="I275" s="149"/>
      <c r="J275" s="151"/>
      <c r="K275" s="149"/>
      <c r="L275" s="149"/>
      <c r="M275" s="151"/>
      <c r="N275" s="151"/>
      <c r="O275" s="190">
        <f t="shared" si="185"/>
        <v>0</v>
      </c>
      <c r="P275" s="149"/>
      <c r="Q275" s="151"/>
      <c r="R275" s="149"/>
      <c r="S275" s="149"/>
      <c r="T275" s="151"/>
      <c r="U275" s="149"/>
      <c r="V275" s="149"/>
      <c r="W275" s="149"/>
      <c r="X275" s="149"/>
      <c r="Y275" s="147">
        <f>SUM(Y276:Y281)</f>
        <v>0</v>
      </c>
      <c r="Z275" s="147">
        <f t="shared" ref="Z275:AJ275" si="234">SUM(Z276:Z281)</f>
        <v>0</v>
      </c>
      <c r="AA275" s="147">
        <f t="shared" si="234"/>
        <v>0</v>
      </c>
      <c r="AB275" s="147">
        <f t="shared" si="234"/>
        <v>0</v>
      </c>
      <c r="AC275" s="147">
        <f t="shared" si="234"/>
        <v>4528031.625</v>
      </c>
      <c r="AD275" s="147">
        <f t="shared" si="234"/>
        <v>2900664</v>
      </c>
      <c r="AE275" s="147">
        <f t="shared" si="234"/>
        <v>1446076.125</v>
      </c>
      <c r="AF275" s="147">
        <f t="shared" si="234"/>
        <v>181291.5</v>
      </c>
      <c r="AG275" s="147">
        <f t="shared" si="234"/>
        <v>0</v>
      </c>
      <c r="AH275" s="147">
        <f t="shared" si="234"/>
        <v>4528032</v>
      </c>
      <c r="AI275" s="147">
        <f t="shared" si="234"/>
        <v>0</v>
      </c>
      <c r="AJ275" s="152">
        <f t="shared" si="234"/>
        <v>4528032</v>
      </c>
    </row>
    <row r="276" spans="1:36" s="132" customFormat="1" ht="39" customHeight="1" x14ac:dyDescent="0.25">
      <c r="A276" s="153">
        <v>1</v>
      </c>
      <c r="B276" s="154" t="s">
        <v>901</v>
      </c>
      <c r="C276" s="169" t="s">
        <v>902</v>
      </c>
      <c r="D276" s="243" t="s">
        <v>49</v>
      </c>
      <c r="E276" s="243" t="s">
        <v>424</v>
      </c>
      <c r="F276" s="155">
        <v>3.66</v>
      </c>
      <c r="G276" s="113"/>
      <c r="H276" s="113"/>
      <c r="I276" s="156"/>
      <c r="J276" s="156"/>
      <c r="K276" s="157"/>
      <c r="L276" s="157"/>
      <c r="M276" s="157">
        <f>(F276+G276+H276+I276)*25%</f>
        <v>0.91500000000000004</v>
      </c>
      <c r="N276" s="157"/>
      <c r="O276" s="190">
        <f t="shared" si="185"/>
        <v>10705.5</v>
      </c>
      <c r="P276" s="112">
        <v>51806</v>
      </c>
      <c r="Q276" s="112"/>
      <c r="R276" s="113">
        <f t="shared" ref="R276:R281" si="235">(S276)+(IF(T276=0,0,IF(T276&lt;7,1/2,1)))</f>
        <v>18</v>
      </c>
      <c r="S276" s="432" t="s">
        <v>37</v>
      </c>
      <c r="T276" s="113">
        <v>8</v>
      </c>
      <c r="U276" s="113">
        <f t="shared" ref="U276:U281" si="236">(W276*12)+X276</f>
        <v>194</v>
      </c>
      <c r="V276" s="159">
        <f>(W276)+(IF(X276=0,0,IF(X276&lt;7,1/2,1)))</f>
        <v>16.5</v>
      </c>
      <c r="W276" s="113">
        <v>16</v>
      </c>
      <c r="X276" s="113">
        <v>2</v>
      </c>
      <c r="Y276" s="160"/>
      <c r="Z276" s="161"/>
      <c r="AA276" s="162"/>
      <c r="AB276" s="163"/>
      <c r="AC276" s="177">
        <f t="shared" ref="AC276:AC281" si="237">AD276+AE276+AF276</f>
        <v>835029</v>
      </c>
      <c r="AD276" s="178">
        <f t="shared" ref="AD276:AD281" si="238">0.8*60*O276</f>
        <v>513864</v>
      </c>
      <c r="AE276" s="179">
        <f t="shared" ref="AE276:AE281" si="239">1.5*O276*R276</f>
        <v>289048.5</v>
      </c>
      <c r="AF276" s="180">
        <f t="shared" ref="AF276:AF281" si="240">3*O276</f>
        <v>32116.5</v>
      </c>
      <c r="AG276" s="165">
        <f>ROUND(Y276+Z276,0)</f>
        <v>0</v>
      </c>
      <c r="AH276" s="165">
        <f t="shared" ref="AH276:AH281" si="241">ROUND(AC276,0)</f>
        <v>835029</v>
      </c>
      <c r="AI276" s="166"/>
      <c r="AJ276" s="167">
        <f t="shared" ref="AJ276:AJ281" si="242">AG276+AH276+AI276</f>
        <v>835029</v>
      </c>
    </row>
    <row r="277" spans="1:36" s="119" customFormat="1" ht="39" customHeight="1" x14ac:dyDescent="0.25">
      <c r="A277" s="153">
        <v>2</v>
      </c>
      <c r="B277" s="168" t="s">
        <v>903</v>
      </c>
      <c r="C277" s="169">
        <v>30542</v>
      </c>
      <c r="D277" s="243" t="s">
        <v>49</v>
      </c>
      <c r="E277" s="442" t="s">
        <v>424</v>
      </c>
      <c r="F277" s="113">
        <v>3.66</v>
      </c>
      <c r="G277" s="157"/>
      <c r="H277" s="157"/>
      <c r="I277" s="156"/>
      <c r="J277" s="156"/>
      <c r="K277" s="157"/>
      <c r="L277" s="171"/>
      <c r="M277" s="157">
        <f>(F277+G277+H277)*25%</f>
        <v>0.91500000000000004</v>
      </c>
      <c r="N277" s="172"/>
      <c r="O277" s="190">
        <f t="shared" si="185"/>
        <v>10705.5</v>
      </c>
      <c r="P277" s="112">
        <v>52475</v>
      </c>
      <c r="Q277" s="174"/>
      <c r="R277" s="113">
        <f t="shared" si="235"/>
        <v>17.5</v>
      </c>
      <c r="S277" s="113">
        <v>17</v>
      </c>
      <c r="T277" s="113">
        <v>2</v>
      </c>
      <c r="U277" s="113">
        <f t="shared" si="236"/>
        <v>216</v>
      </c>
      <c r="V277" s="175">
        <f>(W277)+(IF(X277=0,0,IF(X277&lt;6,1/2,1)))</f>
        <v>18</v>
      </c>
      <c r="W277" s="113">
        <v>18</v>
      </c>
      <c r="X277" s="113">
        <v>0</v>
      </c>
      <c r="Y277" s="160"/>
      <c r="Z277" s="161"/>
      <c r="AA277" s="176"/>
      <c r="AB277" s="176"/>
      <c r="AC277" s="177">
        <f t="shared" si="237"/>
        <v>826999.875</v>
      </c>
      <c r="AD277" s="178">
        <f t="shared" si="238"/>
        <v>513864</v>
      </c>
      <c r="AE277" s="179">
        <f t="shared" si="239"/>
        <v>281019.375</v>
      </c>
      <c r="AF277" s="180">
        <f t="shared" si="240"/>
        <v>32116.5</v>
      </c>
      <c r="AG277" s="165">
        <f>ROUND(Y277+Z277,0)</f>
        <v>0</v>
      </c>
      <c r="AH277" s="165">
        <f t="shared" si="241"/>
        <v>827000</v>
      </c>
      <c r="AI277" s="165"/>
      <c r="AJ277" s="167">
        <f t="shared" si="242"/>
        <v>827000</v>
      </c>
    </row>
    <row r="278" spans="1:36" s="119" customFormat="1" ht="39" customHeight="1" x14ac:dyDescent="0.25">
      <c r="A278" s="153">
        <v>3</v>
      </c>
      <c r="B278" s="168" t="s">
        <v>904</v>
      </c>
      <c r="C278" s="169" t="s">
        <v>905</v>
      </c>
      <c r="D278" s="243" t="s">
        <v>49</v>
      </c>
      <c r="E278" s="442" t="s">
        <v>387</v>
      </c>
      <c r="F278" s="113">
        <v>4.32</v>
      </c>
      <c r="G278" s="157"/>
      <c r="H278" s="157"/>
      <c r="I278" s="156"/>
      <c r="J278" s="156"/>
      <c r="K278" s="157"/>
      <c r="L278" s="171"/>
      <c r="M278" s="157">
        <f>(F278+G278+H278)*25%</f>
        <v>1.08</v>
      </c>
      <c r="N278" s="172"/>
      <c r="O278" s="190">
        <f t="shared" si="185"/>
        <v>12636</v>
      </c>
      <c r="P278" s="112">
        <v>52110</v>
      </c>
      <c r="Q278" s="174"/>
      <c r="R278" s="113">
        <f t="shared" si="235"/>
        <v>23</v>
      </c>
      <c r="S278" s="113">
        <v>22</v>
      </c>
      <c r="T278" s="113">
        <v>8</v>
      </c>
      <c r="U278" s="113">
        <f t="shared" si="236"/>
        <v>204</v>
      </c>
      <c r="V278" s="175">
        <f>(W278)+(IF(X278=0,0,IF(X278&lt;6,1/2,1)))</f>
        <v>17</v>
      </c>
      <c r="W278" s="113">
        <v>17</v>
      </c>
      <c r="X278" s="113">
        <v>0</v>
      </c>
      <c r="Y278" s="160"/>
      <c r="Z278" s="161"/>
      <c r="AA278" s="176"/>
      <c r="AB278" s="176"/>
      <c r="AC278" s="177">
        <f t="shared" si="237"/>
        <v>1080378</v>
      </c>
      <c r="AD278" s="178">
        <f t="shared" si="238"/>
        <v>606528</v>
      </c>
      <c r="AE278" s="179">
        <f t="shared" si="239"/>
        <v>435942</v>
      </c>
      <c r="AF278" s="180">
        <f t="shared" si="240"/>
        <v>37908</v>
      </c>
      <c r="AG278" s="165"/>
      <c r="AH278" s="165">
        <f t="shared" si="241"/>
        <v>1080378</v>
      </c>
      <c r="AI278" s="165"/>
      <c r="AJ278" s="167">
        <f t="shared" si="242"/>
        <v>1080378</v>
      </c>
    </row>
    <row r="279" spans="1:36" s="119" customFormat="1" ht="39" customHeight="1" x14ac:dyDescent="0.25">
      <c r="A279" s="153">
        <v>4</v>
      </c>
      <c r="B279" s="168" t="s">
        <v>906</v>
      </c>
      <c r="C279" s="169" t="s">
        <v>907</v>
      </c>
      <c r="D279" s="243" t="s">
        <v>49</v>
      </c>
      <c r="E279" s="442" t="s">
        <v>414</v>
      </c>
      <c r="F279" s="113">
        <v>3</v>
      </c>
      <c r="G279" s="157"/>
      <c r="H279" s="157">
        <v>0.2</v>
      </c>
      <c r="I279" s="156"/>
      <c r="J279" s="156"/>
      <c r="K279" s="157"/>
      <c r="L279" s="171"/>
      <c r="M279" s="157">
        <f>(F279+G279+H279)*25%</f>
        <v>0.8</v>
      </c>
      <c r="N279" s="172"/>
      <c r="O279" s="190">
        <f t="shared" si="185"/>
        <v>9360</v>
      </c>
      <c r="P279" s="112">
        <v>54483</v>
      </c>
      <c r="Q279" s="174"/>
      <c r="R279" s="113">
        <f t="shared" si="235"/>
        <v>8</v>
      </c>
      <c r="S279" s="113">
        <v>7</v>
      </c>
      <c r="T279" s="113">
        <v>8</v>
      </c>
      <c r="U279" s="113">
        <f t="shared" si="236"/>
        <v>282</v>
      </c>
      <c r="V279" s="175">
        <f>(W279)+(IF(X279=0,0,IF(X279&lt;6,1/2,1)))</f>
        <v>24</v>
      </c>
      <c r="W279" s="113">
        <v>23</v>
      </c>
      <c r="X279" s="113">
        <v>6</v>
      </c>
      <c r="Y279" s="160"/>
      <c r="Z279" s="161"/>
      <c r="AA279" s="176"/>
      <c r="AB279" s="176"/>
      <c r="AC279" s="177">
        <f t="shared" si="237"/>
        <v>589680</v>
      </c>
      <c r="AD279" s="178">
        <f t="shared" si="238"/>
        <v>449280</v>
      </c>
      <c r="AE279" s="179">
        <f t="shared" si="239"/>
        <v>112320</v>
      </c>
      <c r="AF279" s="180">
        <f t="shared" si="240"/>
        <v>28080</v>
      </c>
      <c r="AG279" s="165"/>
      <c r="AH279" s="165">
        <f t="shared" si="241"/>
        <v>589680</v>
      </c>
      <c r="AI279" s="165"/>
      <c r="AJ279" s="167">
        <f t="shared" si="242"/>
        <v>589680</v>
      </c>
    </row>
    <row r="280" spans="1:36" s="119" customFormat="1" ht="39" customHeight="1" x14ac:dyDescent="0.25">
      <c r="A280" s="153">
        <v>5</v>
      </c>
      <c r="B280" s="168" t="s">
        <v>908</v>
      </c>
      <c r="C280" s="169" t="s">
        <v>909</v>
      </c>
      <c r="D280" s="243" t="s">
        <v>49</v>
      </c>
      <c r="E280" s="442" t="s">
        <v>396</v>
      </c>
      <c r="F280" s="113">
        <v>3</v>
      </c>
      <c r="G280" s="157"/>
      <c r="H280" s="157"/>
      <c r="I280" s="156"/>
      <c r="J280" s="156"/>
      <c r="K280" s="157"/>
      <c r="L280" s="171"/>
      <c r="M280" s="157">
        <f>(F280+G280+H280)*25%</f>
        <v>0.75</v>
      </c>
      <c r="N280" s="172"/>
      <c r="O280" s="190">
        <f t="shared" si="185"/>
        <v>8775</v>
      </c>
      <c r="P280" s="112">
        <v>52171</v>
      </c>
      <c r="Q280" s="174"/>
      <c r="R280" s="113">
        <f t="shared" si="235"/>
        <v>15.5</v>
      </c>
      <c r="S280" s="113">
        <v>15</v>
      </c>
      <c r="T280" s="113">
        <v>1</v>
      </c>
      <c r="U280" s="113">
        <f t="shared" si="236"/>
        <v>206</v>
      </c>
      <c r="V280" s="175">
        <f>(W280)+(IF(X280=0,0,IF(X280&lt;6,1/2,1)))</f>
        <v>17.5</v>
      </c>
      <c r="W280" s="113">
        <v>17</v>
      </c>
      <c r="X280" s="113">
        <v>2</v>
      </c>
      <c r="Y280" s="160"/>
      <c r="Z280" s="161"/>
      <c r="AA280" s="176"/>
      <c r="AB280" s="176"/>
      <c r="AC280" s="165">
        <f t="shared" si="237"/>
        <v>651543.75</v>
      </c>
      <c r="AD280" s="178">
        <f t="shared" si="238"/>
        <v>421200</v>
      </c>
      <c r="AE280" s="179">
        <f t="shared" si="239"/>
        <v>204018.75</v>
      </c>
      <c r="AF280" s="180">
        <f t="shared" si="240"/>
        <v>26325</v>
      </c>
      <c r="AG280" s="165"/>
      <c r="AH280" s="165">
        <f t="shared" si="241"/>
        <v>651544</v>
      </c>
      <c r="AI280" s="165"/>
      <c r="AJ280" s="167">
        <f t="shared" si="242"/>
        <v>651544</v>
      </c>
    </row>
    <row r="281" spans="1:36" s="119" customFormat="1" ht="39" customHeight="1" x14ac:dyDescent="0.25">
      <c r="A281" s="153">
        <v>6</v>
      </c>
      <c r="B281" s="168" t="s">
        <v>910</v>
      </c>
      <c r="C281" s="169" t="s">
        <v>911</v>
      </c>
      <c r="D281" s="169" t="s">
        <v>49</v>
      </c>
      <c r="E281" s="442" t="s">
        <v>912</v>
      </c>
      <c r="F281" s="113">
        <v>2.67</v>
      </c>
      <c r="G281" s="157"/>
      <c r="H281" s="157">
        <v>0.15</v>
      </c>
      <c r="I281" s="156"/>
      <c r="J281" s="156"/>
      <c r="K281" s="157"/>
      <c r="L281" s="171"/>
      <c r="M281" s="157">
        <f>(F281+G281+H281)*25%</f>
        <v>0.70499999999999996</v>
      </c>
      <c r="N281" s="172"/>
      <c r="O281" s="190">
        <f t="shared" si="185"/>
        <v>8248.5</v>
      </c>
      <c r="P281" s="112">
        <v>54483</v>
      </c>
      <c r="Q281" s="174"/>
      <c r="R281" s="113">
        <f t="shared" si="235"/>
        <v>10</v>
      </c>
      <c r="S281" s="113">
        <v>9</v>
      </c>
      <c r="T281" s="113">
        <v>8</v>
      </c>
      <c r="U281" s="113">
        <f t="shared" si="236"/>
        <v>282</v>
      </c>
      <c r="V281" s="175">
        <f>(W281)+(IF(X281=0,0,IF(X281&lt;6,1/2,1)))</f>
        <v>24</v>
      </c>
      <c r="W281" s="113">
        <v>23</v>
      </c>
      <c r="X281" s="113">
        <v>6</v>
      </c>
      <c r="Y281" s="160"/>
      <c r="Z281" s="161"/>
      <c r="AA281" s="176"/>
      <c r="AB281" s="176"/>
      <c r="AC281" s="203">
        <f t="shared" si="237"/>
        <v>544401</v>
      </c>
      <c r="AD281" s="178">
        <f t="shared" si="238"/>
        <v>395928</v>
      </c>
      <c r="AE281" s="179">
        <f t="shared" si="239"/>
        <v>123727.5</v>
      </c>
      <c r="AF281" s="180">
        <f t="shared" si="240"/>
        <v>24745.5</v>
      </c>
      <c r="AG281" s="165">
        <f>ROUND(Y281+Z281,0)</f>
        <v>0</v>
      </c>
      <c r="AH281" s="165">
        <f t="shared" si="241"/>
        <v>544401</v>
      </c>
      <c r="AI281" s="165"/>
      <c r="AJ281" s="167">
        <f t="shared" si="242"/>
        <v>544401</v>
      </c>
    </row>
    <row r="282" spans="1:36" s="146" customFormat="1" ht="47.25" customHeight="1" x14ac:dyDescent="0.25">
      <c r="A282" s="181">
        <v>47</v>
      </c>
      <c r="B282" s="182" t="s">
        <v>913</v>
      </c>
      <c r="C282" s="183"/>
      <c r="D282" s="183"/>
      <c r="E282" s="184"/>
      <c r="F282" s="185"/>
      <c r="G282" s="183"/>
      <c r="H282" s="183"/>
      <c r="I282" s="183"/>
      <c r="J282" s="185"/>
      <c r="K282" s="183"/>
      <c r="L282" s="183"/>
      <c r="M282" s="185"/>
      <c r="N282" s="185"/>
      <c r="O282" s="190">
        <f t="shared" si="185"/>
        <v>0</v>
      </c>
      <c r="P282" s="183"/>
      <c r="Q282" s="185"/>
      <c r="R282" s="183"/>
      <c r="S282" s="183"/>
      <c r="T282" s="185"/>
      <c r="U282" s="183"/>
      <c r="V282" s="183"/>
      <c r="W282" s="183"/>
      <c r="X282" s="183"/>
      <c r="Y282" s="181">
        <f>SUM(Y283:Y286)</f>
        <v>682344</v>
      </c>
      <c r="Z282" s="181">
        <f t="shared" ref="Z282:AJ282" si="243">SUM(Z283:Z286)</f>
        <v>647595</v>
      </c>
      <c r="AA282" s="181">
        <f t="shared" si="243"/>
        <v>505440</v>
      </c>
      <c r="AB282" s="181">
        <f t="shared" si="243"/>
        <v>142155</v>
      </c>
      <c r="AC282" s="181">
        <f t="shared" si="243"/>
        <v>3042424.125</v>
      </c>
      <c r="AD282" s="181">
        <f t="shared" si="243"/>
        <v>1755000</v>
      </c>
      <c r="AE282" s="181">
        <f t="shared" si="243"/>
        <v>1177736.625</v>
      </c>
      <c r="AF282" s="181">
        <f t="shared" si="243"/>
        <v>109687.5</v>
      </c>
      <c r="AG282" s="181">
        <f t="shared" si="243"/>
        <v>1329939</v>
      </c>
      <c r="AH282" s="181">
        <f t="shared" si="243"/>
        <v>3042424</v>
      </c>
      <c r="AI282" s="181">
        <f t="shared" si="243"/>
        <v>0</v>
      </c>
      <c r="AJ282" s="186">
        <f t="shared" si="243"/>
        <v>4372363</v>
      </c>
    </row>
    <row r="283" spans="1:36" s="119" customFormat="1" ht="39" customHeight="1" x14ac:dyDescent="0.25">
      <c r="A283" s="153">
        <v>1</v>
      </c>
      <c r="B283" s="168" t="s">
        <v>914</v>
      </c>
      <c r="C283" s="169" t="s">
        <v>915</v>
      </c>
      <c r="D283" s="112" t="s">
        <v>916</v>
      </c>
      <c r="E283" s="423" t="s">
        <v>427</v>
      </c>
      <c r="F283" s="113">
        <v>4.32</v>
      </c>
      <c r="G283" s="157"/>
      <c r="H283" s="157"/>
      <c r="I283" s="156"/>
      <c r="J283" s="156"/>
      <c r="K283" s="157"/>
      <c r="L283" s="171"/>
      <c r="M283" s="157">
        <f>(F283+G283+H283)*25%</f>
        <v>1.08</v>
      </c>
      <c r="N283" s="172"/>
      <c r="O283" s="190">
        <f t="shared" ref="O283:O346" si="244">SUM(F283:N283)*2340</f>
        <v>12636</v>
      </c>
      <c r="P283" s="112">
        <v>49400</v>
      </c>
      <c r="Q283" s="174">
        <v>45901</v>
      </c>
      <c r="R283" s="113">
        <f>(S283)+(IF(T283=0,0,IF(T283&lt;7,1/2,1)))</f>
        <v>29.5</v>
      </c>
      <c r="S283" s="113">
        <v>29</v>
      </c>
      <c r="T283" s="113">
        <v>3</v>
      </c>
      <c r="U283" s="113">
        <f>(W283*12)+X283</f>
        <v>115</v>
      </c>
      <c r="V283" s="187">
        <f>(W283)+(IF(X283=0,0,IF(X283&lt;6,1/2,1)))</f>
        <v>10</v>
      </c>
      <c r="W283" s="113">
        <v>9</v>
      </c>
      <c r="X283" s="113">
        <v>7</v>
      </c>
      <c r="Y283" s="160">
        <f>0.9*60*O283</f>
        <v>682344</v>
      </c>
      <c r="Z283" s="161">
        <f>SUM(AA283:AB283)</f>
        <v>647595</v>
      </c>
      <c r="AA283" s="162">
        <f>4*V283*O283</f>
        <v>505440</v>
      </c>
      <c r="AB283" s="163">
        <f>SUM(4*O283)+(0.5*(R283-15)*O283)</f>
        <v>142155</v>
      </c>
      <c r="AC283" s="164"/>
      <c r="AD283" s="178"/>
      <c r="AE283" s="179"/>
      <c r="AF283" s="180"/>
      <c r="AG283" s="165">
        <f>ROUND(Y283+Z283,0)</f>
        <v>1329939</v>
      </c>
      <c r="AH283" s="165">
        <f>ROUND(AC283,0)</f>
        <v>0</v>
      </c>
      <c r="AI283" s="165"/>
      <c r="AJ283" s="167">
        <f>AG283+AH283+AI283</f>
        <v>1329939</v>
      </c>
    </row>
    <row r="284" spans="1:36" s="119" customFormat="1" ht="39" customHeight="1" x14ac:dyDescent="0.25">
      <c r="A284" s="153">
        <v>2</v>
      </c>
      <c r="B284" s="168" t="s">
        <v>917</v>
      </c>
      <c r="C284" s="169" t="s">
        <v>918</v>
      </c>
      <c r="D284" s="112" t="s">
        <v>919</v>
      </c>
      <c r="E284" s="442" t="s">
        <v>920</v>
      </c>
      <c r="F284" s="113">
        <v>3.66</v>
      </c>
      <c r="G284" s="157"/>
      <c r="H284" s="157">
        <v>0.2</v>
      </c>
      <c r="I284" s="156"/>
      <c r="J284" s="156"/>
      <c r="K284" s="157"/>
      <c r="L284" s="171"/>
      <c r="M284" s="157">
        <f>(F284+G284+H284)*25%</f>
        <v>0.96500000000000008</v>
      </c>
      <c r="N284" s="172"/>
      <c r="O284" s="190">
        <f t="shared" si="244"/>
        <v>11290.5</v>
      </c>
      <c r="P284" s="112">
        <v>52994</v>
      </c>
      <c r="Q284" s="174"/>
      <c r="R284" s="113">
        <f>(S284)+(IF(T284=0,0,IF(T284&lt;7,1/2,1)))</f>
        <v>17.5</v>
      </c>
      <c r="S284" s="113">
        <v>17</v>
      </c>
      <c r="T284" s="113">
        <v>4</v>
      </c>
      <c r="U284" s="113">
        <f>(W284*12)+X284</f>
        <v>233</v>
      </c>
      <c r="V284" s="187">
        <f>(W284)+(IF(X284=0,0,IF(X284&lt;6,1/2,1)))</f>
        <v>19.5</v>
      </c>
      <c r="W284" s="113">
        <v>19</v>
      </c>
      <c r="X284" s="113">
        <v>5</v>
      </c>
      <c r="Y284" s="160"/>
      <c r="Z284" s="161"/>
      <c r="AA284" s="176"/>
      <c r="AB284" s="176"/>
      <c r="AC284" s="203">
        <f>AD284+AE284+AF284</f>
        <v>872191.125</v>
      </c>
      <c r="AD284" s="178">
        <f>0.8*60*O284</f>
        <v>541944</v>
      </c>
      <c r="AE284" s="179">
        <f>1.5*O284*R284</f>
        <v>296375.625</v>
      </c>
      <c r="AF284" s="180">
        <f>3*O284</f>
        <v>33871.5</v>
      </c>
      <c r="AG284" s="165">
        <f>ROUND(Y284+Z284,0)</f>
        <v>0</v>
      </c>
      <c r="AH284" s="165">
        <f>ROUND(AC284,0)</f>
        <v>872191</v>
      </c>
      <c r="AI284" s="165"/>
      <c r="AJ284" s="167">
        <f>AG284+AH284+AI284</f>
        <v>872191</v>
      </c>
    </row>
    <row r="285" spans="1:36" s="119" customFormat="1" ht="39" customHeight="1" x14ac:dyDescent="0.25">
      <c r="A285" s="153">
        <v>3</v>
      </c>
      <c r="B285" s="168" t="s">
        <v>921</v>
      </c>
      <c r="C285" s="169" t="s">
        <v>922</v>
      </c>
      <c r="D285" s="112" t="s">
        <v>919</v>
      </c>
      <c r="E285" s="423" t="s">
        <v>923</v>
      </c>
      <c r="F285" s="113">
        <v>4.32</v>
      </c>
      <c r="G285" s="157"/>
      <c r="H285" s="157"/>
      <c r="I285" s="156"/>
      <c r="J285" s="156"/>
      <c r="K285" s="157"/>
      <c r="L285" s="171"/>
      <c r="M285" s="157">
        <f>(F285+G285+H285)*25%</f>
        <v>1.08</v>
      </c>
      <c r="N285" s="172"/>
      <c r="O285" s="190">
        <f t="shared" si="244"/>
        <v>12636</v>
      </c>
      <c r="P285" s="112">
        <v>50072</v>
      </c>
      <c r="Q285" s="174"/>
      <c r="R285" s="113">
        <f>(S285)+(IF(T285=0,0,IF(T285&lt;7,1/2,1)))</f>
        <v>23.5</v>
      </c>
      <c r="S285" s="113">
        <v>23</v>
      </c>
      <c r="T285" s="113">
        <v>1</v>
      </c>
      <c r="U285" s="113">
        <f>(W285*12)+X285</f>
        <v>137</v>
      </c>
      <c r="V285" s="187">
        <f>(W285)+(IF(X285=0,0,IF(X285&lt;6,1/2,1)))</f>
        <v>11.5</v>
      </c>
      <c r="W285" s="113">
        <v>11</v>
      </c>
      <c r="X285" s="113">
        <v>5</v>
      </c>
      <c r="Y285" s="160"/>
      <c r="Z285" s="161"/>
      <c r="AA285" s="176"/>
      <c r="AB285" s="176"/>
      <c r="AC285" s="177">
        <f>AD285+AE285+AF285</f>
        <v>1089855</v>
      </c>
      <c r="AD285" s="178">
        <f>0.8*60*O285</f>
        <v>606528</v>
      </c>
      <c r="AE285" s="179">
        <f>1.5*O285*R285</f>
        <v>445419</v>
      </c>
      <c r="AF285" s="180">
        <f>3*O285</f>
        <v>37908</v>
      </c>
      <c r="AG285" s="165">
        <f>ROUND(Y285+Z285,0)</f>
        <v>0</v>
      </c>
      <c r="AH285" s="165">
        <f>ROUND(AC285,0)</f>
        <v>1089855</v>
      </c>
      <c r="AI285" s="165"/>
      <c r="AJ285" s="167">
        <f>AG285+AH285+AI285</f>
        <v>1089855</v>
      </c>
    </row>
    <row r="286" spans="1:36" s="119" customFormat="1" ht="45" customHeight="1" x14ac:dyDescent="0.25">
      <c r="A286" s="153">
        <v>4</v>
      </c>
      <c r="B286" s="168" t="s">
        <v>924</v>
      </c>
      <c r="C286" s="169">
        <v>29133</v>
      </c>
      <c r="D286" s="112" t="s">
        <v>925</v>
      </c>
      <c r="E286" s="423" t="s">
        <v>655</v>
      </c>
      <c r="F286" s="113">
        <v>4.32</v>
      </c>
      <c r="G286" s="157"/>
      <c r="H286" s="157"/>
      <c r="I286" s="156"/>
      <c r="J286" s="156"/>
      <c r="K286" s="157"/>
      <c r="L286" s="171"/>
      <c r="M286" s="157">
        <f>(F286+G286+H286)*25%</f>
        <v>1.08</v>
      </c>
      <c r="N286" s="172"/>
      <c r="O286" s="190">
        <f t="shared" si="244"/>
        <v>12636</v>
      </c>
      <c r="P286" s="112">
        <v>51075</v>
      </c>
      <c r="Q286" s="174"/>
      <c r="R286" s="113">
        <f>(S286)+(IF(T286=0,0,IF(T286&lt;7,1/2,1)))</f>
        <v>23</v>
      </c>
      <c r="S286" s="113">
        <v>22</v>
      </c>
      <c r="T286" s="113">
        <v>8</v>
      </c>
      <c r="U286" s="113">
        <f>(W286*12)+X286</f>
        <v>170</v>
      </c>
      <c r="V286" s="187">
        <f>(W286)+(IF(X286=0,0,IF(X286&lt;6,1/2,1)))</f>
        <v>14.5</v>
      </c>
      <c r="W286" s="113">
        <v>14</v>
      </c>
      <c r="X286" s="113">
        <v>2</v>
      </c>
      <c r="Y286" s="160"/>
      <c r="Z286" s="161"/>
      <c r="AA286" s="176"/>
      <c r="AB286" s="176"/>
      <c r="AC286" s="177">
        <f>AD286+AE286+AF286</f>
        <v>1080378</v>
      </c>
      <c r="AD286" s="178">
        <f>0.8*60*O286</f>
        <v>606528</v>
      </c>
      <c r="AE286" s="179">
        <f>1.5*O286*R286</f>
        <v>435942</v>
      </c>
      <c r="AF286" s="180">
        <f>3*O286</f>
        <v>37908</v>
      </c>
      <c r="AG286" s="165"/>
      <c r="AH286" s="165">
        <f>ROUND(AC286,0)</f>
        <v>1080378</v>
      </c>
      <c r="AI286" s="165"/>
      <c r="AJ286" s="167">
        <f>AG286+AH286+AI286</f>
        <v>1080378</v>
      </c>
    </row>
    <row r="287" spans="1:36" s="119" customFormat="1" ht="39" customHeight="1" x14ac:dyDescent="0.25">
      <c r="A287" s="206">
        <v>48</v>
      </c>
      <c r="B287" s="249" t="s">
        <v>926</v>
      </c>
      <c r="C287" s="169"/>
      <c r="D287" s="112"/>
      <c r="E287" s="170"/>
      <c r="F287" s="113"/>
      <c r="G287" s="157"/>
      <c r="H287" s="157"/>
      <c r="I287" s="156"/>
      <c r="J287" s="156"/>
      <c r="K287" s="157"/>
      <c r="L287" s="171"/>
      <c r="M287" s="157"/>
      <c r="N287" s="172"/>
      <c r="O287" s="190">
        <f t="shared" si="244"/>
        <v>0</v>
      </c>
      <c r="P287" s="112"/>
      <c r="Q287" s="174"/>
      <c r="R287" s="113"/>
      <c r="S287" s="113"/>
      <c r="T287" s="113"/>
      <c r="U287" s="113"/>
      <c r="V287" s="187"/>
      <c r="W287" s="113"/>
      <c r="X287" s="113"/>
      <c r="Y287" s="210">
        <f>SUM(Y288:Y290)</f>
        <v>0</v>
      </c>
      <c r="Z287" s="210">
        <f t="shared" ref="Z287:AJ287" si="245">SUM(Z288:Z290)</f>
        <v>0</v>
      </c>
      <c r="AA287" s="210">
        <f t="shared" si="245"/>
        <v>0</v>
      </c>
      <c r="AB287" s="210">
        <f t="shared" si="245"/>
        <v>0</v>
      </c>
      <c r="AC287" s="210">
        <f t="shared" si="245"/>
        <v>2671592.625</v>
      </c>
      <c r="AD287" s="210">
        <f t="shared" si="245"/>
        <v>1587924</v>
      </c>
      <c r="AE287" s="210">
        <f t="shared" si="245"/>
        <v>984423.375</v>
      </c>
      <c r="AF287" s="210">
        <f t="shared" si="245"/>
        <v>99245.25</v>
      </c>
      <c r="AG287" s="210">
        <f t="shared" si="245"/>
        <v>0</v>
      </c>
      <c r="AH287" s="210">
        <f t="shared" si="245"/>
        <v>2671593</v>
      </c>
      <c r="AI287" s="210">
        <f t="shared" si="245"/>
        <v>0</v>
      </c>
      <c r="AJ287" s="211">
        <f t="shared" si="245"/>
        <v>2671593</v>
      </c>
    </row>
    <row r="288" spans="1:36" s="119" customFormat="1" ht="39" customHeight="1" x14ac:dyDescent="0.25">
      <c r="A288" s="153">
        <v>1</v>
      </c>
      <c r="B288" s="168" t="s">
        <v>927</v>
      </c>
      <c r="C288" s="169">
        <v>29012</v>
      </c>
      <c r="D288" s="112" t="s">
        <v>391</v>
      </c>
      <c r="E288" s="423" t="s">
        <v>928</v>
      </c>
      <c r="F288" s="113">
        <v>3.66</v>
      </c>
      <c r="G288" s="157"/>
      <c r="H288" s="157"/>
      <c r="I288" s="156"/>
      <c r="J288" s="156"/>
      <c r="K288" s="157"/>
      <c r="L288" s="171"/>
      <c r="M288" s="157">
        <f>(F288+G288+H288)*25%</f>
        <v>0.91500000000000004</v>
      </c>
      <c r="N288" s="172"/>
      <c r="O288" s="190">
        <f t="shared" si="244"/>
        <v>10705.5</v>
      </c>
      <c r="P288" s="112">
        <v>51683</v>
      </c>
      <c r="Q288" s="174"/>
      <c r="R288" s="113">
        <f>(S288)+(IF(T288=0,0,IF(T288&lt;7,1/2,1)))</f>
        <v>18</v>
      </c>
      <c r="S288" s="113">
        <v>18</v>
      </c>
      <c r="T288" s="113">
        <v>0</v>
      </c>
      <c r="U288" s="113">
        <f>(W288*12)+X288</f>
        <v>190</v>
      </c>
      <c r="V288" s="187">
        <f>(W288)+(IF(X288=0,0,IF(X288&lt;6,1/2,1)))</f>
        <v>16</v>
      </c>
      <c r="W288" s="113">
        <v>15</v>
      </c>
      <c r="X288" s="113">
        <v>10</v>
      </c>
      <c r="Y288" s="160"/>
      <c r="Z288" s="161"/>
      <c r="AA288" s="176"/>
      <c r="AB288" s="176"/>
      <c r="AC288" s="203">
        <f>AD288+AE288+AF288</f>
        <v>835029</v>
      </c>
      <c r="AD288" s="178">
        <f>0.8*60*O288</f>
        <v>513864</v>
      </c>
      <c r="AE288" s="179">
        <f>1.5*O288*R288</f>
        <v>289048.5</v>
      </c>
      <c r="AF288" s="180">
        <f>3*O288</f>
        <v>32116.5</v>
      </c>
      <c r="AG288" s="165"/>
      <c r="AH288" s="165">
        <f>ROUND(AC288,0)</f>
        <v>835029</v>
      </c>
      <c r="AI288" s="165"/>
      <c r="AJ288" s="167">
        <f>AG288+AH288+AI288</f>
        <v>835029</v>
      </c>
    </row>
    <row r="289" spans="1:36" s="119" customFormat="1" ht="39" customHeight="1" x14ac:dyDescent="0.25">
      <c r="A289" s="153">
        <v>2</v>
      </c>
      <c r="B289" s="250" t="s">
        <v>929</v>
      </c>
      <c r="C289" s="169">
        <v>29551</v>
      </c>
      <c r="D289" s="112" t="s">
        <v>432</v>
      </c>
      <c r="E289" s="423" t="s">
        <v>396</v>
      </c>
      <c r="F289" s="113">
        <v>3.66</v>
      </c>
      <c r="G289" s="157"/>
      <c r="H289" s="157"/>
      <c r="I289" s="156"/>
      <c r="J289" s="156"/>
      <c r="K289" s="157"/>
      <c r="L289" s="171"/>
      <c r="M289" s="157">
        <f>(F289+G289+H289)*25%</f>
        <v>0.91500000000000004</v>
      </c>
      <c r="N289" s="172"/>
      <c r="O289" s="190">
        <f t="shared" si="244"/>
        <v>10705.5</v>
      </c>
      <c r="P289" s="112">
        <v>51471</v>
      </c>
      <c r="Q289" s="174"/>
      <c r="R289" s="113">
        <f>(S289)+(IF(T289=0,0,IF(T289&lt;7,1/2,1)))</f>
        <v>21.5</v>
      </c>
      <c r="S289" s="113">
        <v>21</v>
      </c>
      <c r="T289" s="113">
        <v>2</v>
      </c>
      <c r="U289" s="113">
        <f>(W289*12)+X289</f>
        <v>183</v>
      </c>
      <c r="V289" s="187">
        <f>(W289)+(IF(X289=0,0,IF(X289&lt;6,1/2,1)))</f>
        <v>15.5</v>
      </c>
      <c r="W289" s="113">
        <v>15</v>
      </c>
      <c r="X289" s="113">
        <v>3</v>
      </c>
      <c r="Y289" s="160"/>
      <c r="Z289" s="161"/>
      <c r="AA289" s="176"/>
      <c r="AB289" s="176"/>
      <c r="AC289" s="203">
        <f>AD289+AE289+AF289</f>
        <v>891232.875</v>
      </c>
      <c r="AD289" s="178">
        <f>0.8*60*O289</f>
        <v>513864</v>
      </c>
      <c r="AE289" s="179">
        <f>1.5*O289*R289</f>
        <v>345252.375</v>
      </c>
      <c r="AF289" s="180">
        <f>3*O289</f>
        <v>32116.5</v>
      </c>
      <c r="AG289" s="165"/>
      <c r="AH289" s="165">
        <f>ROUND(AC289,0)</f>
        <v>891233</v>
      </c>
      <c r="AI289" s="165"/>
      <c r="AJ289" s="167">
        <f>AG289+AH289+AI289</f>
        <v>891233</v>
      </c>
    </row>
    <row r="290" spans="1:36" s="119" customFormat="1" ht="39" customHeight="1" x14ac:dyDescent="0.25">
      <c r="A290" s="153">
        <v>3</v>
      </c>
      <c r="B290" s="168" t="s">
        <v>930</v>
      </c>
      <c r="C290" s="169">
        <v>28790</v>
      </c>
      <c r="D290" s="112" t="s">
        <v>603</v>
      </c>
      <c r="E290" s="423" t="s">
        <v>427</v>
      </c>
      <c r="F290" s="113">
        <v>3.99</v>
      </c>
      <c r="G290" s="157"/>
      <c r="H290" s="157"/>
      <c r="I290" s="156"/>
      <c r="J290" s="156"/>
      <c r="K290" s="157"/>
      <c r="L290" s="171"/>
      <c r="M290" s="157">
        <f>(F290+G290+H290)*25%</f>
        <v>0.99750000000000005</v>
      </c>
      <c r="N290" s="172"/>
      <c r="O290" s="190">
        <f t="shared" si="244"/>
        <v>11670.750000000002</v>
      </c>
      <c r="P290" s="112">
        <v>51441</v>
      </c>
      <c r="Q290" s="174"/>
      <c r="R290" s="113">
        <f>(S290)+(IF(T290=0,0,IF(T290&lt;7,1/2,1)))</f>
        <v>20</v>
      </c>
      <c r="S290" s="113">
        <v>19</v>
      </c>
      <c r="T290" s="113">
        <v>11</v>
      </c>
      <c r="U290" s="113">
        <f>(W290*12)+X290</f>
        <v>182</v>
      </c>
      <c r="V290" s="187">
        <f>(W290)+(IF(X290=0,0,IF(X290&lt;6,1/2,1)))</f>
        <v>15.5</v>
      </c>
      <c r="W290" s="113">
        <v>15</v>
      </c>
      <c r="X290" s="113">
        <v>2</v>
      </c>
      <c r="Y290" s="160"/>
      <c r="Z290" s="161"/>
      <c r="AA290" s="176"/>
      <c r="AB290" s="176"/>
      <c r="AC290" s="177">
        <f>AD290+AE290+AF290</f>
        <v>945330.75000000023</v>
      </c>
      <c r="AD290" s="178">
        <f>0.8*60*O290</f>
        <v>560196.00000000012</v>
      </c>
      <c r="AE290" s="179">
        <f>1.5*O290*R290</f>
        <v>350122.50000000006</v>
      </c>
      <c r="AF290" s="180">
        <f>3*O290</f>
        <v>35012.250000000007</v>
      </c>
      <c r="AG290" s="165">
        <f>ROUND(Y290+Z290,0)</f>
        <v>0</v>
      </c>
      <c r="AH290" s="165">
        <f>ROUND(AC290,0)</f>
        <v>945331</v>
      </c>
      <c r="AI290" s="165"/>
      <c r="AJ290" s="167">
        <f>AG290+AH290+AI290</f>
        <v>945331</v>
      </c>
    </row>
    <row r="291" spans="1:36" s="146" customFormat="1" ht="32.25" customHeight="1" x14ac:dyDescent="0.25">
      <c r="A291" s="181">
        <v>49</v>
      </c>
      <c r="B291" s="182" t="s">
        <v>931</v>
      </c>
      <c r="C291" s="183"/>
      <c r="D291" s="183"/>
      <c r="E291" s="183"/>
      <c r="F291" s="185"/>
      <c r="G291" s="183"/>
      <c r="H291" s="183"/>
      <c r="I291" s="183"/>
      <c r="J291" s="185"/>
      <c r="K291" s="183"/>
      <c r="L291" s="183"/>
      <c r="M291" s="185"/>
      <c r="N291" s="185"/>
      <c r="O291" s="190">
        <f t="shared" si="244"/>
        <v>0</v>
      </c>
      <c r="P291" s="183"/>
      <c r="Q291" s="185"/>
      <c r="R291" s="183"/>
      <c r="S291" s="183"/>
      <c r="T291" s="185"/>
      <c r="U291" s="183"/>
      <c r="V291" s="183"/>
      <c r="W291" s="183"/>
      <c r="X291" s="183"/>
      <c r="Y291" s="181">
        <f>SUM(Y292:Y300)</f>
        <v>682344</v>
      </c>
      <c r="Z291" s="181">
        <f t="shared" ref="Z291:AJ291" si="246">SUM(Z292:Z300)</f>
        <v>533871</v>
      </c>
      <c r="AA291" s="181">
        <f t="shared" si="246"/>
        <v>404352</v>
      </c>
      <c r="AB291" s="181">
        <f t="shared" si="246"/>
        <v>129519</v>
      </c>
      <c r="AC291" s="181">
        <f t="shared" si="246"/>
        <v>6503218.3125</v>
      </c>
      <c r="AD291" s="181">
        <f t="shared" si="246"/>
        <v>3970512</v>
      </c>
      <c r="AE291" s="181">
        <f t="shared" si="246"/>
        <v>2284549.3125</v>
      </c>
      <c r="AF291" s="181">
        <f t="shared" si="246"/>
        <v>248157</v>
      </c>
      <c r="AG291" s="181">
        <f t="shared" si="246"/>
        <v>1216215</v>
      </c>
      <c r="AH291" s="181">
        <f t="shared" si="246"/>
        <v>6503218</v>
      </c>
      <c r="AI291" s="181">
        <f t="shared" si="246"/>
        <v>0</v>
      </c>
      <c r="AJ291" s="186">
        <f t="shared" si="246"/>
        <v>7719433</v>
      </c>
    </row>
    <row r="292" spans="1:36" s="119" customFormat="1" ht="40.5" customHeight="1" x14ac:dyDescent="0.25">
      <c r="A292" s="153">
        <v>1</v>
      </c>
      <c r="B292" s="168" t="s">
        <v>932</v>
      </c>
      <c r="C292" s="169" t="s">
        <v>933</v>
      </c>
      <c r="D292" s="112" t="s">
        <v>49</v>
      </c>
      <c r="E292" s="423" t="s">
        <v>655</v>
      </c>
      <c r="F292" s="113">
        <v>4.32</v>
      </c>
      <c r="G292" s="157"/>
      <c r="H292" s="157"/>
      <c r="I292" s="156"/>
      <c r="J292" s="156"/>
      <c r="K292" s="157"/>
      <c r="L292" s="171"/>
      <c r="M292" s="157">
        <f t="shared" ref="M292:M300" si="247">(F292+G292+H292)*25%</f>
        <v>1.08</v>
      </c>
      <c r="N292" s="172"/>
      <c r="O292" s="190">
        <f t="shared" si="244"/>
        <v>12636</v>
      </c>
      <c r="P292" s="112">
        <v>48792</v>
      </c>
      <c r="Q292" s="174">
        <v>45901</v>
      </c>
      <c r="R292" s="113">
        <f t="shared" ref="R292:R300" si="248">(S292)+(IF(T292=0,0,IF(T292&lt;7,1/2,1)))</f>
        <v>27.5</v>
      </c>
      <c r="S292" s="113">
        <v>27</v>
      </c>
      <c r="T292" s="113">
        <v>4</v>
      </c>
      <c r="U292" s="113">
        <f t="shared" ref="U292:U300" si="249">(W292*12)+X292</f>
        <v>95</v>
      </c>
      <c r="V292" s="187">
        <f t="shared" ref="V292:V300" si="250">(W292)+(IF(X292=0,0,IF(X292&lt;6,1/2,1)))</f>
        <v>8</v>
      </c>
      <c r="W292" s="113">
        <v>7</v>
      </c>
      <c r="X292" s="113">
        <v>11</v>
      </c>
      <c r="Y292" s="252">
        <f>0.9*60*O292</f>
        <v>682344</v>
      </c>
      <c r="Z292" s="253">
        <f>SUM(AA292:AB292)</f>
        <v>533871</v>
      </c>
      <c r="AA292" s="162">
        <f>4*V292*O292</f>
        <v>404352</v>
      </c>
      <c r="AB292" s="163">
        <f>SUM(4*O292)+(0.5*(R292-15)*O292)</f>
        <v>129519</v>
      </c>
      <c r="AC292" s="177"/>
      <c r="AD292" s="178"/>
      <c r="AE292" s="179"/>
      <c r="AF292" s="180"/>
      <c r="AG292" s="200">
        <f>ROUND(Y292+Z292,0)</f>
        <v>1216215</v>
      </c>
      <c r="AH292" s="165">
        <f t="shared" ref="AH292:AH300" si="251">ROUND(AC292,0)</f>
        <v>0</v>
      </c>
      <c r="AI292" s="165"/>
      <c r="AJ292" s="167">
        <f t="shared" ref="AJ292:AJ300" si="252">AG292+AH292+AI292</f>
        <v>1216215</v>
      </c>
    </row>
    <row r="293" spans="1:36" s="119" customFormat="1" ht="40.5" customHeight="1" x14ac:dyDescent="0.25">
      <c r="A293" s="153">
        <v>2</v>
      </c>
      <c r="B293" s="168" t="s">
        <v>934</v>
      </c>
      <c r="C293" s="169" t="s">
        <v>935</v>
      </c>
      <c r="D293" s="112" t="s">
        <v>49</v>
      </c>
      <c r="E293" s="423" t="s">
        <v>439</v>
      </c>
      <c r="F293" s="113">
        <v>3.33</v>
      </c>
      <c r="G293" s="157"/>
      <c r="H293" s="157">
        <v>0.25</v>
      </c>
      <c r="I293" s="156"/>
      <c r="J293" s="156"/>
      <c r="K293" s="157"/>
      <c r="L293" s="171"/>
      <c r="M293" s="157">
        <f t="shared" si="247"/>
        <v>0.89500000000000002</v>
      </c>
      <c r="N293" s="172"/>
      <c r="O293" s="190">
        <f t="shared" si="244"/>
        <v>10471.5</v>
      </c>
      <c r="P293" s="112">
        <v>49614</v>
      </c>
      <c r="Q293" s="174"/>
      <c r="R293" s="113">
        <f t="shared" si="248"/>
        <v>24</v>
      </c>
      <c r="S293" s="113">
        <v>23</v>
      </c>
      <c r="T293" s="113">
        <v>10</v>
      </c>
      <c r="U293" s="113">
        <f t="shared" si="249"/>
        <v>122</v>
      </c>
      <c r="V293" s="187">
        <f t="shared" si="250"/>
        <v>10.5</v>
      </c>
      <c r="W293" s="113">
        <v>10</v>
      </c>
      <c r="X293" s="113">
        <v>2</v>
      </c>
      <c r="Y293" s="252"/>
      <c r="Z293" s="253"/>
      <c r="AA293" s="162"/>
      <c r="AB293" s="163"/>
      <c r="AC293" s="177">
        <f t="shared" ref="AC293:AC300" si="253">AD293+AE293+AF293</f>
        <v>911020.5</v>
      </c>
      <c r="AD293" s="178">
        <f t="shared" ref="AD293:AD300" si="254">0.8*60*O293</f>
        <v>502632</v>
      </c>
      <c r="AE293" s="179">
        <f t="shared" ref="AE293:AE300" si="255">1.5*O293*R293</f>
        <v>376974</v>
      </c>
      <c r="AF293" s="180">
        <f t="shared" ref="AF293:AF300" si="256">3*O293</f>
        <v>31414.5</v>
      </c>
      <c r="AG293" s="200">
        <f>ROUND(Y293+Z293,0)</f>
        <v>0</v>
      </c>
      <c r="AH293" s="165">
        <f t="shared" si="251"/>
        <v>911021</v>
      </c>
      <c r="AI293" s="165"/>
      <c r="AJ293" s="167">
        <f t="shared" si="252"/>
        <v>911021</v>
      </c>
    </row>
    <row r="294" spans="1:36" s="119" customFormat="1" ht="40.5" customHeight="1" x14ac:dyDescent="0.25">
      <c r="A294" s="153">
        <v>3</v>
      </c>
      <c r="B294" s="168" t="s">
        <v>936</v>
      </c>
      <c r="C294" s="169" t="s">
        <v>937</v>
      </c>
      <c r="D294" s="112" t="s">
        <v>49</v>
      </c>
      <c r="E294" s="423" t="s">
        <v>938</v>
      </c>
      <c r="F294" s="113">
        <v>3.66</v>
      </c>
      <c r="G294" s="157"/>
      <c r="H294" s="157"/>
      <c r="I294" s="156"/>
      <c r="J294" s="156"/>
      <c r="K294" s="157"/>
      <c r="L294" s="171"/>
      <c r="M294" s="157">
        <f t="shared" si="247"/>
        <v>0.91500000000000004</v>
      </c>
      <c r="N294" s="172"/>
      <c r="O294" s="190">
        <f t="shared" si="244"/>
        <v>10705.5</v>
      </c>
      <c r="P294" s="112">
        <v>52871</v>
      </c>
      <c r="Q294" s="174"/>
      <c r="R294" s="113">
        <f t="shared" si="248"/>
        <v>18</v>
      </c>
      <c r="S294" s="113">
        <v>17</v>
      </c>
      <c r="T294" s="113">
        <v>8</v>
      </c>
      <c r="U294" s="113">
        <f t="shared" si="249"/>
        <v>229</v>
      </c>
      <c r="V294" s="187">
        <f t="shared" si="250"/>
        <v>19.5</v>
      </c>
      <c r="W294" s="113">
        <v>19</v>
      </c>
      <c r="X294" s="113">
        <v>1</v>
      </c>
      <c r="Y294" s="160"/>
      <c r="Z294" s="161"/>
      <c r="AA294" s="176"/>
      <c r="AB294" s="176"/>
      <c r="AC294" s="177">
        <f t="shared" si="253"/>
        <v>835029</v>
      </c>
      <c r="AD294" s="178">
        <f t="shared" si="254"/>
        <v>513864</v>
      </c>
      <c r="AE294" s="179">
        <f t="shared" si="255"/>
        <v>289048.5</v>
      </c>
      <c r="AF294" s="180">
        <f t="shared" si="256"/>
        <v>32116.5</v>
      </c>
      <c r="AG294" s="165"/>
      <c r="AH294" s="165">
        <f t="shared" si="251"/>
        <v>835029</v>
      </c>
      <c r="AI294" s="165"/>
      <c r="AJ294" s="167">
        <f t="shared" si="252"/>
        <v>835029</v>
      </c>
    </row>
    <row r="295" spans="1:36" s="119" customFormat="1" ht="40.5" customHeight="1" x14ac:dyDescent="0.25">
      <c r="A295" s="153">
        <v>4</v>
      </c>
      <c r="B295" s="168" t="s">
        <v>939</v>
      </c>
      <c r="C295" s="169" t="s">
        <v>940</v>
      </c>
      <c r="D295" s="112" t="s">
        <v>49</v>
      </c>
      <c r="E295" s="423" t="s">
        <v>421</v>
      </c>
      <c r="F295" s="113">
        <v>3.66</v>
      </c>
      <c r="G295" s="157"/>
      <c r="H295" s="157"/>
      <c r="I295" s="156"/>
      <c r="J295" s="156"/>
      <c r="K295" s="157"/>
      <c r="L295" s="171"/>
      <c r="M295" s="157">
        <f t="shared" si="247"/>
        <v>0.91500000000000004</v>
      </c>
      <c r="N295" s="172"/>
      <c r="O295" s="190">
        <f t="shared" si="244"/>
        <v>10705.5</v>
      </c>
      <c r="P295" s="112">
        <v>50345</v>
      </c>
      <c r="Q295" s="174"/>
      <c r="R295" s="113">
        <f t="shared" si="248"/>
        <v>19.5</v>
      </c>
      <c r="S295" s="113">
        <v>19</v>
      </c>
      <c r="T295" s="113">
        <v>4</v>
      </c>
      <c r="U295" s="113">
        <f t="shared" si="249"/>
        <v>146</v>
      </c>
      <c r="V295" s="187">
        <f t="shared" si="250"/>
        <v>12.5</v>
      </c>
      <c r="W295" s="113">
        <v>12</v>
      </c>
      <c r="X295" s="113">
        <v>2</v>
      </c>
      <c r="Y295" s="160"/>
      <c r="Z295" s="161"/>
      <c r="AA295" s="176"/>
      <c r="AB295" s="176"/>
      <c r="AC295" s="203">
        <f t="shared" si="253"/>
        <v>859116.375</v>
      </c>
      <c r="AD295" s="178">
        <f t="shared" si="254"/>
        <v>513864</v>
      </c>
      <c r="AE295" s="179">
        <f t="shared" si="255"/>
        <v>313135.875</v>
      </c>
      <c r="AF295" s="180">
        <f t="shared" si="256"/>
        <v>32116.5</v>
      </c>
      <c r="AG295" s="165"/>
      <c r="AH295" s="165">
        <f t="shared" si="251"/>
        <v>859116</v>
      </c>
      <c r="AI295" s="165"/>
      <c r="AJ295" s="167">
        <f t="shared" si="252"/>
        <v>859116</v>
      </c>
    </row>
    <row r="296" spans="1:36" s="119" customFormat="1" ht="40.5" customHeight="1" x14ac:dyDescent="0.25">
      <c r="A296" s="153">
        <v>5</v>
      </c>
      <c r="B296" s="168" t="s">
        <v>941</v>
      </c>
      <c r="C296" s="169" t="s">
        <v>942</v>
      </c>
      <c r="D296" s="112" t="s">
        <v>49</v>
      </c>
      <c r="E296" s="423" t="s">
        <v>421</v>
      </c>
      <c r="F296" s="113">
        <v>4.32</v>
      </c>
      <c r="G296" s="157"/>
      <c r="H296" s="157"/>
      <c r="I296" s="156"/>
      <c r="J296" s="156"/>
      <c r="K296" s="157"/>
      <c r="L296" s="171"/>
      <c r="M296" s="157">
        <f t="shared" si="247"/>
        <v>1.08</v>
      </c>
      <c r="N296" s="172"/>
      <c r="O296" s="190">
        <f t="shared" si="244"/>
        <v>12636</v>
      </c>
      <c r="P296" s="112">
        <v>50345</v>
      </c>
      <c r="Q296" s="174"/>
      <c r="R296" s="113">
        <f t="shared" si="248"/>
        <v>23</v>
      </c>
      <c r="S296" s="113">
        <v>22</v>
      </c>
      <c r="T296" s="113">
        <v>8</v>
      </c>
      <c r="U296" s="113">
        <f t="shared" si="249"/>
        <v>146</v>
      </c>
      <c r="V296" s="187">
        <f t="shared" si="250"/>
        <v>12.5</v>
      </c>
      <c r="W296" s="113">
        <v>12</v>
      </c>
      <c r="X296" s="113">
        <v>2</v>
      </c>
      <c r="Y296" s="160"/>
      <c r="Z296" s="161"/>
      <c r="AA296" s="176"/>
      <c r="AB296" s="176"/>
      <c r="AC296" s="177">
        <f t="shared" si="253"/>
        <v>1080378</v>
      </c>
      <c r="AD296" s="178">
        <f t="shared" si="254"/>
        <v>606528</v>
      </c>
      <c r="AE296" s="179">
        <f t="shared" si="255"/>
        <v>435942</v>
      </c>
      <c r="AF296" s="180">
        <f t="shared" si="256"/>
        <v>37908</v>
      </c>
      <c r="AG296" s="165"/>
      <c r="AH296" s="165">
        <f t="shared" si="251"/>
        <v>1080378</v>
      </c>
      <c r="AI296" s="165"/>
      <c r="AJ296" s="167">
        <f t="shared" si="252"/>
        <v>1080378</v>
      </c>
    </row>
    <row r="297" spans="1:36" s="119" customFormat="1" ht="40.5" customHeight="1" x14ac:dyDescent="0.25">
      <c r="A297" s="153">
        <v>6</v>
      </c>
      <c r="B297" s="168" t="s">
        <v>943</v>
      </c>
      <c r="C297" s="169" t="s">
        <v>944</v>
      </c>
      <c r="D297" s="112" t="s">
        <v>49</v>
      </c>
      <c r="E297" s="423" t="s">
        <v>396</v>
      </c>
      <c r="F297" s="113">
        <v>2.67</v>
      </c>
      <c r="G297" s="157"/>
      <c r="H297" s="157"/>
      <c r="I297" s="156"/>
      <c r="J297" s="156"/>
      <c r="K297" s="157"/>
      <c r="L297" s="171"/>
      <c r="M297" s="157">
        <f t="shared" si="247"/>
        <v>0.66749999999999998</v>
      </c>
      <c r="N297" s="172"/>
      <c r="O297" s="190">
        <f t="shared" si="244"/>
        <v>7809.75</v>
      </c>
      <c r="P297" s="112">
        <v>53175</v>
      </c>
      <c r="Q297" s="174"/>
      <c r="R297" s="113">
        <f t="shared" si="248"/>
        <v>10.5</v>
      </c>
      <c r="S297" s="113">
        <v>10</v>
      </c>
      <c r="T297" s="113">
        <v>6</v>
      </c>
      <c r="U297" s="113">
        <f t="shared" si="249"/>
        <v>239</v>
      </c>
      <c r="V297" s="187">
        <f t="shared" si="250"/>
        <v>20</v>
      </c>
      <c r="W297" s="113">
        <v>19</v>
      </c>
      <c r="X297" s="113">
        <v>11</v>
      </c>
      <c r="Y297" s="160"/>
      <c r="Z297" s="161"/>
      <c r="AA297" s="176"/>
      <c r="AB297" s="176"/>
      <c r="AC297" s="203">
        <f t="shared" si="253"/>
        <v>521300.8125</v>
      </c>
      <c r="AD297" s="178">
        <f t="shared" si="254"/>
        <v>374868</v>
      </c>
      <c r="AE297" s="179">
        <f t="shared" si="255"/>
        <v>123003.5625</v>
      </c>
      <c r="AF297" s="180">
        <f t="shared" si="256"/>
        <v>23429.25</v>
      </c>
      <c r="AG297" s="165"/>
      <c r="AH297" s="165">
        <f t="shared" si="251"/>
        <v>521301</v>
      </c>
      <c r="AI297" s="165"/>
      <c r="AJ297" s="167">
        <f t="shared" si="252"/>
        <v>521301</v>
      </c>
    </row>
    <row r="298" spans="1:36" s="119" customFormat="1" ht="40.5" customHeight="1" x14ac:dyDescent="0.25">
      <c r="A298" s="153">
        <v>7</v>
      </c>
      <c r="B298" s="168" t="s">
        <v>945</v>
      </c>
      <c r="C298" s="169" t="s">
        <v>946</v>
      </c>
      <c r="D298" s="112" t="s">
        <v>49</v>
      </c>
      <c r="E298" s="423" t="s">
        <v>396</v>
      </c>
      <c r="F298" s="113">
        <v>4.32</v>
      </c>
      <c r="G298" s="157"/>
      <c r="H298" s="157"/>
      <c r="I298" s="156"/>
      <c r="J298" s="156"/>
      <c r="K298" s="157"/>
      <c r="L298" s="171"/>
      <c r="M298" s="157">
        <f t="shared" si="247"/>
        <v>1.08</v>
      </c>
      <c r="N298" s="172"/>
      <c r="O298" s="190">
        <f t="shared" si="244"/>
        <v>12636</v>
      </c>
      <c r="P298" s="112">
        <v>50131</v>
      </c>
      <c r="Q298" s="174"/>
      <c r="R298" s="113">
        <f t="shared" si="248"/>
        <v>23.5</v>
      </c>
      <c r="S298" s="113">
        <v>23</v>
      </c>
      <c r="T298" s="113">
        <v>6</v>
      </c>
      <c r="U298" s="113">
        <f t="shared" si="249"/>
        <v>139</v>
      </c>
      <c r="V298" s="187">
        <f t="shared" si="250"/>
        <v>12</v>
      </c>
      <c r="W298" s="113">
        <v>11</v>
      </c>
      <c r="X298" s="113">
        <v>7</v>
      </c>
      <c r="Y298" s="160"/>
      <c r="Z298" s="161"/>
      <c r="AA298" s="176"/>
      <c r="AB298" s="176"/>
      <c r="AC298" s="177">
        <f t="shared" si="253"/>
        <v>1089855</v>
      </c>
      <c r="AD298" s="178">
        <f t="shared" si="254"/>
        <v>606528</v>
      </c>
      <c r="AE298" s="179">
        <f t="shared" si="255"/>
        <v>445419</v>
      </c>
      <c r="AF298" s="180">
        <f t="shared" si="256"/>
        <v>37908</v>
      </c>
      <c r="AG298" s="165"/>
      <c r="AH298" s="165">
        <f t="shared" si="251"/>
        <v>1089855</v>
      </c>
      <c r="AI298" s="165"/>
      <c r="AJ298" s="167">
        <f t="shared" si="252"/>
        <v>1089855</v>
      </c>
    </row>
    <row r="299" spans="1:36" s="119" customFormat="1" ht="40.5" customHeight="1" x14ac:dyDescent="0.25">
      <c r="A299" s="153">
        <v>8</v>
      </c>
      <c r="B299" s="168" t="s">
        <v>947</v>
      </c>
      <c r="C299" s="169" t="s">
        <v>948</v>
      </c>
      <c r="D299" s="112" t="s">
        <v>49</v>
      </c>
      <c r="E299" s="423" t="s">
        <v>414</v>
      </c>
      <c r="F299" s="113">
        <v>3</v>
      </c>
      <c r="G299" s="157"/>
      <c r="H299" s="157">
        <v>0.25</v>
      </c>
      <c r="I299" s="156"/>
      <c r="J299" s="156"/>
      <c r="K299" s="157"/>
      <c r="L299" s="171"/>
      <c r="M299" s="157">
        <f t="shared" si="247"/>
        <v>0.8125</v>
      </c>
      <c r="N299" s="172"/>
      <c r="O299" s="190">
        <f t="shared" si="244"/>
        <v>9506.25</v>
      </c>
      <c r="P299" s="112">
        <v>50314</v>
      </c>
      <c r="Q299" s="174"/>
      <c r="R299" s="113">
        <f t="shared" si="248"/>
        <v>12</v>
      </c>
      <c r="S299" s="113">
        <v>11</v>
      </c>
      <c r="T299" s="113">
        <v>7</v>
      </c>
      <c r="U299" s="113">
        <f t="shared" si="249"/>
        <v>145</v>
      </c>
      <c r="V299" s="187">
        <f t="shared" si="250"/>
        <v>12.5</v>
      </c>
      <c r="W299" s="113">
        <v>12</v>
      </c>
      <c r="X299" s="113">
        <v>1</v>
      </c>
      <c r="Y299" s="160"/>
      <c r="Z299" s="161"/>
      <c r="AA299" s="176"/>
      <c r="AB299" s="176"/>
      <c r="AC299" s="203">
        <f t="shared" si="253"/>
        <v>655931.25</v>
      </c>
      <c r="AD299" s="178">
        <f t="shared" si="254"/>
        <v>456300</v>
      </c>
      <c r="AE299" s="179">
        <f t="shared" si="255"/>
        <v>171112.5</v>
      </c>
      <c r="AF299" s="180">
        <f t="shared" si="256"/>
        <v>28518.75</v>
      </c>
      <c r="AG299" s="165"/>
      <c r="AH299" s="165">
        <f t="shared" si="251"/>
        <v>655931</v>
      </c>
      <c r="AI299" s="165"/>
      <c r="AJ299" s="167">
        <f t="shared" si="252"/>
        <v>655931</v>
      </c>
    </row>
    <row r="300" spans="1:36" s="119" customFormat="1" ht="40.5" customHeight="1" x14ac:dyDescent="0.25">
      <c r="A300" s="153">
        <v>9</v>
      </c>
      <c r="B300" s="168" t="s">
        <v>949</v>
      </c>
      <c r="C300" s="169" t="s">
        <v>950</v>
      </c>
      <c r="D300" s="112" t="s">
        <v>49</v>
      </c>
      <c r="E300" s="423" t="s">
        <v>392</v>
      </c>
      <c r="F300" s="113">
        <v>2.67</v>
      </c>
      <c r="G300" s="157"/>
      <c r="H300" s="157">
        <v>0.15</v>
      </c>
      <c r="I300" s="156"/>
      <c r="J300" s="156"/>
      <c r="K300" s="157"/>
      <c r="L300" s="171"/>
      <c r="M300" s="157">
        <f t="shared" si="247"/>
        <v>0.70499999999999996</v>
      </c>
      <c r="N300" s="172"/>
      <c r="O300" s="190">
        <f t="shared" si="244"/>
        <v>8248.5</v>
      </c>
      <c r="P300" s="112">
        <v>53418</v>
      </c>
      <c r="Q300" s="174"/>
      <c r="R300" s="113">
        <f t="shared" si="248"/>
        <v>10.5</v>
      </c>
      <c r="S300" s="113">
        <v>10</v>
      </c>
      <c r="T300" s="113">
        <v>5</v>
      </c>
      <c r="U300" s="113">
        <f t="shared" si="249"/>
        <v>247</v>
      </c>
      <c r="V300" s="187">
        <f t="shared" si="250"/>
        <v>21</v>
      </c>
      <c r="W300" s="113">
        <v>20</v>
      </c>
      <c r="X300" s="113">
        <v>7</v>
      </c>
      <c r="Y300" s="160"/>
      <c r="Z300" s="161"/>
      <c r="AA300" s="176"/>
      <c r="AB300" s="176"/>
      <c r="AC300" s="203">
        <f t="shared" si="253"/>
        <v>550587.375</v>
      </c>
      <c r="AD300" s="178">
        <f t="shared" si="254"/>
        <v>395928</v>
      </c>
      <c r="AE300" s="179">
        <f t="shared" si="255"/>
        <v>129913.875</v>
      </c>
      <c r="AF300" s="180">
        <f t="shared" si="256"/>
        <v>24745.5</v>
      </c>
      <c r="AG300" s="165"/>
      <c r="AH300" s="165">
        <f t="shared" si="251"/>
        <v>550587</v>
      </c>
      <c r="AI300" s="165"/>
      <c r="AJ300" s="167">
        <f t="shared" si="252"/>
        <v>550587</v>
      </c>
    </row>
    <row r="301" spans="1:36" s="146" customFormat="1" ht="32.25" customHeight="1" x14ac:dyDescent="0.25">
      <c r="A301" s="181">
        <v>50</v>
      </c>
      <c r="B301" s="182" t="s">
        <v>951</v>
      </c>
      <c r="C301" s="183"/>
      <c r="D301" s="183"/>
      <c r="E301" s="183"/>
      <c r="F301" s="185"/>
      <c r="G301" s="183"/>
      <c r="H301" s="183"/>
      <c r="I301" s="183"/>
      <c r="J301" s="185"/>
      <c r="K301" s="183"/>
      <c r="L301" s="183"/>
      <c r="M301" s="185"/>
      <c r="N301" s="185"/>
      <c r="O301" s="190">
        <f t="shared" si="244"/>
        <v>0</v>
      </c>
      <c r="P301" s="183"/>
      <c r="Q301" s="185"/>
      <c r="R301" s="183"/>
      <c r="S301" s="183"/>
      <c r="T301" s="185"/>
      <c r="U301" s="183"/>
      <c r="V301" s="183"/>
      <c r="W301" s="183"/>
      <c r="X301" s="183"/>
      <c r="Y301" s="181">
        <f>Y302</f>
        <v>0</v>
      </c>
      <c r="Z301" s="181">
        <f t="shared" ref="Z301:AJ301" si="257">Z302</f>
        <v>0</v>
      </c>
      <c r="AA301" s="181">
        <f t="shared" si="257"/>
        <v>0</v>
      </c>
      <c r="AB301" s="181">
        <f t="shared" si="257"/>
        <v>0</v>
      </c>
      <c r="AC301" s="181">
        <f t="shared" si="257"/>
        <v>687960</v>
      </c>
      <c r="AD301" s="181">
        <f t="shared" si="257"/>
        <v>449280</v>
      </c>
      <c r="AE301" s="181">
        <f t="shared" si="257"/>
        <v>210600</v>
      </c>
      <c r="AF301" s="181">
        <f t="shared" si="257"/>
        <v>28080</v>
      </c>
      <c r="AG301" s="181">
        <f t="shared" si="257"/>
        <v>0</v>
      </c>
      <c r="AH301" s="181">
        <f t="shared" si="257"/>
        <v>687960</v>
      </c>
      <c r="AI301" s="181">
        <f t="shared" si="257"/>
        <v>0</v>
      </c>
      <c r="AJ301" s="186">
        <f t="shared" si="257"/>
        <v>687960</v>
      </c>
    </row>
    <row r="302" spans="1:36" s="119" customFormat="1" ht="50.25" customHeight="1" x14ac:dyDescent="0.25">
      <c r="A302" s="153">
        <v>1</v>
      </c>
      <c r="B302" s="168" t="s">
        <v>399</v>
      </c>
      <c r="C302" s="169" t="s">
        <v>952</v>
      </c>
      <c r="D302" s="112" t="s">
        <v>432</v>
      </c>
      <c r="E302" s="423" t="s">
        <v>953</v>
      </c>
      <c r="F302" s="113">
        <v>3</v>
      </c>
      <c r="G302" s="157"/>
      <c r="H302" s="157">
        <v>0.2</v>
      </c>
      <c r="I302" s="156"/>
      <c r="J302" s="156"/>
      <c r="K302" s="157"/>
      <c r="L302" s="171"/>
      <c r="M302" s="157">
        <f>(F302+G302+H302)*25%</f>
        <v>0.8</v>
      </c>
      <c r="N302" s="172"/>
      <c r="O302" s="190">
        <f t="shared" si="244"/>
        <v>9360</v>
      </c>
      <c r="P302" s="112">
        <v>52536</v>
      </c>
      <c r="Q302" s="174"/>
      <c r="R302" s="113">
        <f>(S302)+(IF(T302=0,0,IF(T302&lt;7,1/2,1)))</f>
        <v>15</v>
      </c>
      <c r="S302" s="113">
        <v>15</v>
      </c>
      <c r="T302" s="113">
        <v>0</v>
      </c>
      <c r="U302" s="113">
        <f>(W302*12)+X302</f>
        <v>218</v>
      </c>
      <c r="V302" s="187">
        <f>(W302)+(IF(X302=0,0,IF(X302&lt;6,1/2,1)))</f>
        <v>18.5</v>
      </c>
      <c r="W302" s="113">
        <v>18</v>
      </c>
      <c r="X302" s="113">
        <v>2</v>
      </c>
      <c r="Y302" s="160"/>
      <c r="Z302" s="161"/>
      <c r="AA302" s="176"/>
      <c r="AB302" s="176"/>
      <c r="AC302" s="177">
        <f>AD302+AE302+AF302</f>
        <v>687960</v>
      </c>
      <c r="AD302" s="178">
        <f>0.8*60*O302</f>
        <v>449280</v>
      </c>
      <c r="AE302" s="179">
        <f>1.5*O302*R302</f>
        <v>210600</v>
      </c>
      <c r="AF302" s="180">
        <f>3*O302</f>
        <v>28080</v>
      </c>
      <c r="AG302" s="165">
        <f>ROUND(Y302+Z302,0)</f>
        <v>0</v>
      </c>
      <c r="AH302" s="165">
        <f>ROUND(AC302,0)</f>
        <v>687960</v>
      </c>
      <c r="AI302" s="165"/>
      <c r="AJ302" s="167">
        <f>AG302+AH302+AI302</f>
        <v>687960</v>
      </c>
    </row>
    <row r="303" spans="1:36" s="146" customFormat="1" ht="32.25" customHeight="1" x14ac:dyDescent="0.25">
      <c r="A303" s="181">
        <v>51</v>
      </c>
      <c r="B303" s="181" t="s">
        <v>954</v>
      </c>
      <c r="C303" s="183"/>
      <c r="D303" s="183"/>
      <c r="E303" s="183"/>
      <c r="F303" s="185"/>
      <c r="G303" s="183"/>
      <c r="H303" s="183"/>
      <c r="I303" s="183"/>
      <c r="J303" s="185"/>
      <c r="K303" s="183"/>
      <c r="L303" s="183"/>
      <c r="M303" s="185"/>
      <c r="N303" s="185"/>
      <c r="O303" s="190">
        <f t="shared" si="244"/>
        <v>0</v>
      </c>
      <c r="P303" s="183"/>
      <c r="Q303" s="185"/>
      <c r="R303" s="183"/>
      <c r="S303" s="183"/>
      <c r="T303" s="185"/>
      <c r="U303" s="183"/>
      <c r="V303" s="183"/>
      <c r="W303" s="183"/>
      <c r="X303" s="183"/>
      <c r="Y303" s="181">
        <f t="shared" ref="Y303:AJ303" si="258">SUM(Y304:Y309)</f>
        <v>0</v>
      </c>
      <c r="Z303" s="181">
        <f t="shared" si="258"/>
        <v>0</v>
      </c>
      <c r="AA303" s="181">
        <f t="shared" si="258"/>
        <v>0</v>
      </c>
      <c r="AB303" s="181">
        <f t="shared" si="258"/>
        <v>0</v>
      </c>
      <c r="AC303" s="181">
        <f t="shared" si="258"/>
        <v>5050341.5625</v>
      </c>
      <c r="AD303" s="181">
        <f t="shared" si="258"/>
        <v>3123900</v>
      </c>
      <c r="AE303" s="181">
        <f t="shared" si="258"/>
        <v>1731197.8125</v>
      </c>
      <c r="AF303" s="181">
        <f t="shared" si="258"/>
        <v>195243.75</v>
      </c>
      <c r="AG303" s="181">
        <f t="shared" si="258"/>
        <v>0</v>
      </c>
      <c r="AH303" s="181">
        <f t="shared" si="258"/>
        <v>5050341</v>
      </c>
      <c r="AI303" s="181">
        <f t="shared" si="258"/>
        <v>0</v>
      </c>
      <c r="AJ303" s="186">
        <f t="shared" si="258"/>
        <v>5050341</v>
      </c>
    </row>
    <row r="304" spans="1:36" s="132" customFormat="1" ht="39" customHeight="1" x14ac:dyDescent="0.25">
      <c r="A304" s="153">
        <v>1</v>
      </c>
      <c r="B304" s="201" t="s">
        <v>955</v>
      </c>
      <c r="C304" s="251">
        <v>27121</v>
      </c>
      <c r="D304" s="199" t="s">
        <v>49</v>
      </c>
      <c r="E304" s="202" t="s">
        <v>956</v>
      </c>
      <c r="F304" s="155">
        <v>3</v>
      </c>
      <c r="G304" s="113"/>
      <c r="H304" s="113">
        <v>0.2</v>
      </c>
      <c r="I304" s="156"/>
      <c r="J304" s="156"/>
      <c r="K304" s="157"/>
      <c r="L304" s="157"/>
      <c r="M304" s="157">
        <f t="shared" ref="M304:M309" si="259">(F304+G304+H304+I304)*25%</f>
        <v>0.8</v>
      </c>
      <c r="N304" s="157"/>
      <c r="O304" s="190">
        <f t="shared" si="244"/>
        <v>9360</v>
      </c>
      <c r="P304" s="251">
        <v>48823</v>
      </c>
      <c r="Q304" s="174"/>
      <c r="R304" s="113">
        <f t="shared" ref="R304:R309" si="260">(S304)+(IF(T304=0,0,IF(T304&lt;7,1/2,1)))</f>
        <v>13.5</v>
      </c>
      <c r="S304" s="113">
        <v>13</v>
      </c>
      <c r="T304" s="113">
        <v>2</v>
      </c>
      <c r="U304" s="113">
        <f t="shared" ref="U304:U309" si="261">(W304*12)+X304</f>
        <v>96</v>
      </c>
      <c r="V304" s="187">
        <f t="shared" ref="V304:V309" si="262">(W304)+(IF(X304=0,0,IF(X304&lt;6,1/2,1)))</f>
        <v>8</v>
      </c>
      <c r="W304" s="113">
        <v>8</v>
      </c>
      <c r="X304" s="113">
        <v>0</v>
      </c>
      <c r="Y304" s="160"/>
      <c r="Z304" s="161"/>
      <c r="AA304" s="162"/>
      <c r="AB304" s="163"/>
      <c r="AC304" s="177">
        <f t="shared" ref="AC304:AC309" si="263">AD304+AE304+AF304</f>
        <v>666900</v>
      </c>
      <c r="AD304" s="178">
        <f t="shared" ref="AD304:AD309" si="264">0.8*60*O304</f>
        <v>449280</v>
      </c>
      <c r="AE304" s="179">
        <f t="shared" ref="AE304:AE309" si="265">1.5*O304*R304</f>
        <v>189540</v>
      </c>
      <c r="AF304" s="180">
        <f t="shared" ref="AF304:AF309" si="266">3*O304</f>
        <v>28080</v>
      </c>
      <c r="AG304" s="165">
        <f t="shared" ref="AG304:AG309" si="267">ROUND(Y304+Z304,0)</f>
        <v>0</v>
      </c>
      <c r="AH304" s="165">
        <f t="shared" ref="AH304:AH309" si="268">ROUND(AC304,0)</f>
        <v>666900</v>
      </c>
      <c r="AI304" s="166"/>
      <c r="AJ304" s="167">
        <f t="shared" ref="AJ304:AJ309" si="269">AG304+AH304+AI304</f>
        <v>666900</v>
      </c>
    </row>
    <row r="305" spans="1:36" s="132" customFormat="1" ht="39" customHeight="1" x14ac:dyDescent="0.25">
      <c r="A305" s="153">
        <v>2</v>
      </c>
      <c r="B305" s="201" t="s">
        <v>957</v>
      </c>
      <c r="C305" s="251">
        <v>30732</v>
      </c>
      <c r="D305" s="199" t="s">
        <v>104</v>
      </c>
      <c r="E305" s="202" t="s">
        <v>958</v>
      </c>
      <c r="F305" s="155">
        <v>3.66</v>
      </c>
      <c r="G305" s="113"/>
      <c r="H305" s="113"/>
      <c r="I305" s="156"/>
      <c r="J305" s="156"/>
      <c r="K305" s="157"/>
      <c r="L305" s="157"/>
      <c r="M305" s="157">
        <f t="shared" si="259"/>
        <v>0.91500000000000004</v>
      </c>
      <c r="N305" s="157"/>
      <c r="O305" s="190">
        <f t="shared" si="244"/>
        <v>10705.5</v>
      </c>
      <c r="P305" s="251">
        <v>52657</v>
      </c>
      <c r="Q305" s="174"/>
      <c r="R305" s="113">
        <f t="shared" si="260"/>
        <v>19.5</v>
      </c>
      <c r="S305" s="113">
        <v>19</v>
      </c>
      <c r="T305" s="113">
        <v>3</v>
      </c>
      <c r="U305" s="113">
        <f t="shared" si="261"/>
        <v>222</v>
      </c>
      <c r="V305" s="187">
        <f t="shared" si="262"/>
        <v>19</v>
      </c>
      <c r="W305" s="113">
        <v>18</v>
      </c>
      <c r="X305" s="113">
        <v>6</v>
      </c>
      <c r="Y305" s="160"/>
      <c r="Z305" s="161"/>
      <c r="AA305" s="162"/>
      <c r="AB305" s="163"/>
      <c r="AC305" s="203">
        <f t="shared" si="263"/>
        <v>859116.375</v>
      </c>
      <c r="AD305" s="178">
        <f t="shared" si="264"/>
        <v>513864</v>
      </c>
      <c r="AE305" s="179">
        <f t="shared" si="265"/>
        <v>313135.875</v>
      </c>
      <c r="AF305" s="180">
        <f t="shared" si="266"/>
        <v>32116.5</v>
      </c>
      <c r="AG305" s="165">
        <f t="shared" si="267"/>
        <v>0</v>
      </c>
      <c r="AH305" s="165">
        <f t="shared" si="268"/>
        <v>859116</v>
      </c>
      <c r="AI305" s="166"/>
      <c r="AJ305" s="167">
        <f t="shared" si="269"/>
        <v>859116</v>
      </c>
    </row>
    <row r="306" spans="1:36" s="132" customFormat="1" ht="39" customHeight="1" x14ac:dyDescent="0.25">
      <c r="A306" s="153">
        <v>3</v>
      </c>
      <c r="B306" s="201" t="s">
        <v>959</v>
      </c>
      <c r="C306" s="251">
        <v>29239</v>
      </c>
      <c r="D306" s="199" t="s">
        <v>49</v>
      </c>
      <c r="E306" s="202" t="s">
        <v>387</v>
      </c>
      <c r="F306" s="155">
        <v>4.74</v>
      </c>
      <c r="G306" s="113"/>
      <c r="H306" s="113"/>
      <c r="I306" s="156"/>
      <c r="J306" s="156"/>
      <c r="K306" s="157"/>
      <c r="L306" s="157"/>
      <c r="M306" s="157">
        <f t="shared" si="259"/>
        <v>1.1850000000000001</v>
      </c>
      <c r="N306" s="157"/>
      <c r="O306" s="190">
        <f t="shared" si="244"/>
        <v>13864.500000000002</v>
      </c>
      <c r="P306" s="251">
        <v>51898</v>
      </c>
      <c r="Q306" s="174"/>
      <c r="R306" s="113">
        <f t="shared" si="260"/>
        <v>17</v>
      </c>
      <c r="S306" s="113">
        <v>16</v>
      </c>
      <c r="T306" s="113">
        <v>10</v>
      </c>
      <c r="U306" s="113">
        <f t="shared" si="261"/>
        <v>197</v>
      </c>
      <c r="V306" s="187">
        <f t="shared" si="262"/>
        <v>16.5</v>
      </c>
      <c r="W306" s="113">
        <v>16</v>
      </c>
      <c r="X306" s="113">
        <v>5</v>
      </c>
      <c r="Y306" s="160"/>
      <c r="Z306" s="161"/>
      <c r="AA306" s="162"/>
      <c r="AB306" s="163"/>
      <c r="AC306" s="200">
        <f t="shared" si="263"/>
        <v>1060634.2500000002</v>
      </c>
      <c r="AD306" s="178">
        <f t="shared" si="264"/>
        <v>665496.00000000012</v>
      </c>
      <c r="AE306" s="179">
        <f t="shared" si="265"/>
        <v>353544.75000000006</v>
      </c>
      <c r="AF306" s="180">
        <f t="shared" si="266"/>
        <v>41593.500000000007</v>
      </c>
      <c r="AG306" s="165">
        <f t="shared" si="267"/>
        <v>0</v>
      </c>
      <c r="AH306" s="165">
        <f t="shared" si="268"/>
        <v>1060634</v>
      </c>
      <c r="AI306" s="166"/>
      <c r="AJ306" s="167">
        <f t="shared" si="269"/>
        <v>1060634</v>
      </c>
    </row>
    <row r="307" spans="1:36" s="132" customFormat="1" ht="39" customHeight="1" x14ac:dyDescent="0.25">
      <c r="A307" s="153">
        <v>4</v>
      </c>
      <c r="B307" s="201" t="s">
        <v>960</v>
      </c>
      <c r="C307" s="251">
        <v>27199</v>
      </c>
      <c r="D307" s="199" t="s">
        <v>49</v>
      </c>
      <c r="E307" s="202" t="s">
        <v>396</v>
      </c>
      <c r="F307" s="155">
        <v>3.66</v>
      </c>
      <c r="G307" s="113"/>
      <c r="H307" s="113"/>
      <c r="I307" s="156"/>
      <c r="J307" s="156"/>
      <c r="K307" s="157"/>
      <c r="L307" s="157"/>
      <c r="M307" s="157">
        <f t="shared" si="259"/>
        <v>0.91500000000000004</v>
      </c>
      <c r="N307" s="157"/>
      <c r="O307" s="190">
        <f t="shared" si="244"/>
        <v>10705.5</v>
      </c>
      <c r="P307" s="251" t="s">
        <v>961</v>
      </c>
      <c r="Q307" s="174"/>
      <c r="R307" s="113">
        <f t="shared" si="260"/>
        <v>18.5</v>
      </c>
      <c r="S307" s="113">
        <v>18</v>
      </c>
      <c r="T307" s="113">
        <v>5</v>
      </c>
      <c r="U307" s="113">
        <f t="shared" si="261"/>
        <v>130</v>
      </c>
      <c r="V307" s="187">
        <f t="shared" si="262"/>
        <v>11</v>
      </c>
      <c r="W307" s="113">
        <v>10</v>
      </c>
      <c r="X307" s="113">
        <v>10</v>
      </c>
      <c r="Y307" s="160"/>
      <c r="Z307" s="161"/>
      <c r="AA307" s="162"/>
      <c r="AB307" s="163"/>
      <c r="AC307" s="203">
        <f t="shared" si="263"/>
        <v>843058.125</v>
      </c>
      <c r="AD307" s="178">
        <f t="shared" si="264"/>
        <v>513864</v>
      </c>
      <c r="AE307" s="179">
        <f t="shared" si="265"/>
        <v>297077.625</v>
      </c>
      <c r="AF307" s="180">
        <f t="shared" si="266"/>
        <v>32116.5</v>
      </c>
      <c r="AG307" s="165">
        <f t="shared" si="267"/>
        <v>0</v>
      </c>
      <c r="AH307" s="165">
        <f t="shared" si="268"/>
        <v>843058</v>
      </c>
      <c r="AI307" s="166"/>
      <c r="AJ307" s="167">
        <f t="shared" si="269"/>
        <v>843058</v>
      </c>
    </row>
    <row r="308" spans="1:36" s="132" customFormat="1" ht="39" customHeight="1" x14ac:dyDescent="0.25">
      <c r="A308" s="153">
        <v>5</v>
      </c>
      <c r="B308" s="201" t="s">
        <v>962</v>
      </c>
      <c r="C308" s="251">
        <v>30398</v>
      </c>
      <c r="D308" s="199" t="s">
        <v>49</v>
      </c>
      <c r="E308" s="202" t="s">
        <v>424</v>
      </c>
      <c r="F308" s="155">
        <v>2.67</v>
      </c>
      <c r="G308" s="113"/>
      <c r="H308" s="113"/>
      <c r="I308" s="156"/>
      <c r="J308" s="156"/>
      <c r="K308" s="157"/>
      <c r="L308" s="157"/>
      <c r="M308" s="157">
        <f t="shared" si="259"/>
        <v>0.66749999999999998</v>
      </c>
      <c r="N308" s="157"/>
      <c r="O308" s="190">
        <f t="shared" si="244"/>
        <v>7809.75</v>
      </c>
      <c r="P308" s="251">
        <v>53053</v>
      </c>
      <c r="Q308" s="174"/>
      <c r="R308" s="113">
        <f t="shared" si="260"/>
        <v>10.5</v>
      </c>
      <c r="S308" s="113">
        <v>10</v>
      </c>
      <c r="T308" s="113">
        <v>5</v>
      </c>
      <c r="U308" s="113">
        <f t="shared" si="261"/>
        <v>235</v>
      </c>
      <c r="V308" s="187">
        <f t="shared" si="262"/>
        <v>20</v>
      </c>
      <c r="W308" s="113">
        <v>19</v>
      </c>
      <c r="X308" s="113">
        <v>7</v>
      </c>
      <c r="Y308" s="160"/>
      <c r="Z308" s="161"/>
      <c r="AA308" s="162"/>
      <c r="AB308" s="163"/>
      <c r="AC308" s="203">
        <f t="shared" si="263"/>
        <v>521300.8125</v>
      </c>
      <c r="AD308" s="178">
        <f t="shared" si="264"/>
        <v>374868</v>
      </c>
      <c r="AE308" s="179">
        <f t="shared" si="265"/>
        <v>123003.5625</v>
      </c>
      <c r="AF308" s="180">
        <f t="shared" si="266"/>
        <v>23429.25</v>
      </c>
      <c r="AG308" s="165">
        <f t="shared" si="267"/>
        <v>0</v>
      </c>
      <c r="AH308" s="165">
        <f t="shared" si="268"/>
        <v>521301</v>
      </c>
      <c r="AI308" s="166"/>
      <c r="AJ308" s="167">
        <f t="shared" si="269"/>
        <v>521301</v>
      </c>
    </row>
    <row r="309" spans="1:36" s="132" customFormat="1" ht="39" customHeight="1" x14ac:dyDescent="0.25">
      <c r="A309" s="153">
        <v>6</v>
      </c>
      <c r="B309" s="201" t="s">
        <v>963</v>
      </c>
      <c r="C309" s="251">
        <v>28937</v>
      </c>
      <c r="D309" s="199" t="s">
        <v>49</v>
      </c>
      <c r="E309" s="202" t="s">
        <v>439</v>
      </c>
      <c r="F309" s="155">
        <v>4.32</v>
      </c>
      <c r="G309" s="113"/>
      <c r="H309" s="113"/>
      <c r="I309" s="156"/>
      <c r="J309" s="156"/>
      <c r="K309" s="157"/>
      <c r="L309" s="157"/>
      <c r="M309" s="157">
        <f t="shared" si="259"/>
        <v>1.08</v>
      </c>
      <c r="N309" s="157"/>
      <c r="O309" s="190">
        <f t="shared" si="244"/>
        <v>12636</v>
      </c>
      <c r="P309" s="251">
        <v>50861</v>
      </c>
      <c r="Q309" s="174"/>
      <c r="R309" s="113">
        <f t="shared" si="260"/>
        <v>24</v>
      </c>
      <c r="S309" s="113">
        <v>23</v>
      </c>
      <c r="T309" s="113">
        <v>8</v>
      </c>
      <c r="U309" s="113">
        <f t="shared" si="261"/>
        <v>163</v>
      </c>
      <c r="V309" s="187">
        <f t="shared" si="262"/>
        <v>14</v>
      </c>
      <c r="W309" s="113">
        <v>13</v>
      </c>
      <c r="X309" s="113">
        <v>7</v>
      </c>
      <c r="Y309" s="160"/>
      <c r="Z309" s="161"/>
      <c r="AA309" s="162"/>
      <c r="AB309" s="163"/>
      <c r="AC309" s="165">
        <f t="shared" si="263"/>
        <v>1099332</v>
      </c>
      <c r="AD309" s="178">
        <f t="shared" si="264"/>
        <v>606528</v>
      </c>
      <c r="AE309" s="179">
        <f t="shared" si="265"/>
        <v>454896</v>
      </c>
      <c r="AF309" s="180">
        <f t="shared" si="266"/>
        <v>37908</v>
      </c>
      <c r="AG309" s="165">
        <f t="shared" si="267"/>
        <v>0</v>
      </c>
      <c r="AH309" s="165">
        <f t="shared" si="268"/>
        <v>1099332</v>
      </c>
      <c r="AI309" s="166"/>
      <c r="AJ309" s="167">
        <f t="shared" si="269"/>
        <v>1099332</v>
      </c>
    </row>
    <row r="310" spans="1:36" s="146" customFormat="1" ht="32.25" customHeight="1" x14ac:dyDescent="0.25">
      <c r="A310" s="181">
        <v>52</v>
      </c>
      <c r="B310" s="181" t="s">
        <v>964</v>
      </c>
      <c r="C310" s="183"/>
      <c r="D310" s="183"/>
      <c r="E310" s="183"/>
      <c r="F310" s="185"/>
      <c r="G310" s="183"/>
      <c r="H310" s="183"/>
      <c r="I310" s="183"/>
      <c r="J310" s="185"/>
      <c r="K310" s="183"/>
      <c r="L310" s="183"/>
      <c r="M310" s="185"/>
      <c r="N310" s="185"/>
      <c r="O310" s="190">
        <f t="shared" si="244"/>
        <v>0</v>
      </c>
      <c r="P310" s="183"/>
      <c r="Q310" s="185"/>
      <c r="R310" s="183"/>
      <c r="S310" s="183"/>
      <c r="T310" s="185"/>
      <c r="U310" s="183"/>
      <c r="V310" s="183"/>
      <c r="W310" s="183"/>
      <c r="X310" s="183"/>
      <c r="Y310" s="181">
        <f>Y311</f>
        <v>0</v>
      </c>
      <c r="Z310" s="181">
        <f t="shared" ref="Z310:AJ310" si="270">Z311</f>
        <v>0</v>
      </c>
      <c r="AA310" s="181">
        <f t="shared" si="270"/>
        <v>0</v>
      </c>
      <c r="AB310" s="181">
        <f t="shared" si="270"/>
        <v>0</v>
      </c>
      <c r="AC310" s="181">
        <f t="shared" si="270"/>
        <v>1112882.79375</v>
      </c>
      <c r="AD310" s="181">
        <f t="shared" si="270"/>
        <v>598525.19999999995</v>
      </c>
      <c r="AE310" s="181">
        <f t="shared" si="270"/>
        <v>476949.76874999999</v>
      </c>
      <c r="AF310" s="181">
        <f t="shared" si="270"/>
        <v>37407.824999999997</v>
      </c>
      <c r="AG310" s="181">
        <f t="shared" si="270"/>
        <v>0</v>
      </c>
      <c r="AH310" s="181">
        <f t="shared" si="270"/>
        <v>1112883</v>
      </c>
      <c r="AI310" s="181">
        <f t="shared" si="270"/>
        <v>0</v>
      </c>
      <c r="AJ310" s="186">
        <f t="shared" si="270"/>
        <v>1112883</v>
      </c>
    </row>
    <row r="311" spans="1:36" s="119" customFormat="1" ht="61.95" customHeight="1" x14ac:dyDescent="0.25">
      <c r="A311" s="153">
        <v>1</v>
      </c>
      <c r="B311" s="168" t="s">
        <v>965</v>
      </c>
      <c r="C311" s="169">
        <v>27167</v>
      </c>
      <c r="D311" s="251" t="s">
        <v>104</v>
      </c>
      <c r="E311" s="423" t="s">
        <v>966</v>
      </c>
      <c r="F311" s="113">
        <v>4.0599999999999996</v>
      </c>
      <c r="G311" s="157"/>
      <c r="H311" s="157"/>
      <c r="I311" s="205">
        <f>F311*5%</f>
        <v>0.20299999999999999</v>
      </c>
      <c r="J311" s="156"/>
      <c r="K311" s="157"/>
      <c r="L311" s="171"/>
      <c r="M311" s="157">
        <f>(F311+G311+H311+I311)*25%</f>
        <v>1.06575</v>
      </c>
      <c r="N311" s="172"/>
      <c r="O311" s="190">
        <f t="shared" si="244"/>
        <v>12469.274999999998</v>
      </c>
      <c r="P311" s="112">
        <v>49827</v>
      </c>
      <c r="Q311" s="174"/>
      <c r="R311" s="113">
        <f>(S311)+(IF(T311=0,0,IF(T311&lt;7,1/2,1)))</f>
        <v>25.5</v>
      </c>
      <c r="S311" s="113">
        <v>25</v>
      </c>
      <c r="T311" s="113">
        <v>5</v>
      </c>
      <c r="U311" s="113">
        <f>(W311*12)+X311</f>
        <v>129</v>
      </c>
      <c r="V311" s="187">
        <f>(W311)+(IF(X311=0,0,IF(X311&lt;6,1/2,1)))</f>
        <v>11</v>
      </c>
      <c r="W311" s="113">
        <v>10</v>
      </c>
      <c r="X311" s="113">
        <v>9</v>
      </c>
      <c r="Y311" s="160"/>
      <c r="Z311" s="161"/>
      <c r="AA311" s="176"/>
      <c r="AB311" s="176"/>
      <c r="AC311" s="200">
        <f>AD311+AE311+AF311</f>
        <v>1112882.79375</v>
      </c>
      <c r="AD311" s="178">
        <f>0.8*60*O311</f>
        <v>598525.19999999995</v>
      </c>
      <c r="AE311" s="179">
        <f>1.5*O311*R311</f>
        <v>476949.76874999999</v>
      </c>
      <c r="AF311" s="180">
        <f>3*O311</f>
        <v>37407.824999999997</v>
      </c>
      <c r="AG311" s="165">
        <f>ROUND(Y311+Z311,0)</f>
        <v>0</v>
      </c>
      <c r="AH311" s="165">
        <f>ROUND(AC311,0)</f>
        <v>1112883</v>
      </c>
      <c r="AI311" s="165"/>
      <c r="AJ311" s="167">
        <f>AG311+AH311+AI311</f>
        <v>1112883</v>
      </c>
    </row>
    <row r="312" spans="1:36" s="146" customFormat="1" ht="40.200000000000003" customHeight="1" x14ac:dyDescent="0.25">
      <c r="A312" s="181">
        <v>53</v>
      </c>
      <c r="B312" s="182" t="s">
        <v>967</v>
      </c>
      <c r="C312" s="183"/>
      <c r="D312" s="183"/>
      <c r="E312" s="183"/>
      <c r="F312" s="185"/>
      <c r="G312" s="183"/>
      <c r="H312" s="183"/>
      <c r="I312" s="183"/>
      <c r="J312" s="185"/>
      <c r="K312" s="183"/>
      <c r="L312" s="183"/>
      <c r="M312" s="185"/>
      <c r="N312" s="185"/>
      <c r="O312" s="190">
        <f t="shared" si="244"/>
        <v>0</v>
      </c>
      <c r="P312" s="183"/>
      <c r="Q312" s="185"/>
      <c r="R312" s="183"/>
      <c r="S312" s="183"/>
      <c r="T312" s="185"/>
      <c r="U312" s="183"/>
      <c r="V312" s="183"/>
      <c r="W312" s="183"/>
      <c r="X312" s="183"/>
      <c r="Y312" s="181">
        <f>SUM(Y313:Y316)</f>
        <v>682344</v>
      </c>
      <c r="Z312" s="181">
        <f t="shared" ref="Z312:AJ312" si="271">SUM(Z313:Z316)</f>
        <v>574938</v>
      </c>
      <c r="AA312" s="181">
        <f t="shared" si="271"/>
        <v>480168</v>
      </c>
      <c r="AB312" s="181">
        <f t="shared" si="271"/>
        <v>94770</v>
      </c>
      <c r="AC312" s="181">
        <f t="shared" si="271"/>
        <v>2567214.0000000005</v>
      </c>
      <c r="AD312" s="181">
        <f t="shared" si="271"/>
        <v>1565460.0000000002</v>
      </c>
      <c r="AE312" s="181">
        <f t="shared" si="271"/>
        <v>903912.75000000012</v>
      </c>
      <c r="AF312" s="181">
        <f t="shared" si="271"/>
        <v>97841.250000000015</v>
      </c>
      <c r="AG312" s="181">
        <f t="shared" si="271"/>
        <v>1257282</v>
      </c>
      <c r="AH312" s="181">
        <f t="shared" si="271"/>
        <v>2567214</v>
      </c>
      <c r="AI312" s="181">
        <f t="shared" si="271"/>
        <v>0</v>
      </c>
      <c r="AJ312" s="186">
        <f t="shared" si="271"/>
        <v>3824496</v>
      </c>
    </row>
    <row r="313" spans="1:36" s="132" customFormat="1" ht="39" customHeight="1" x14ac:dyDescent="0.25">
      <c r="A313" s="153">
        <v>1</v>
      </c>
      <c r="B313" s="201" t="s">
        <v>968</v>
      </c>
      <c r="C313" s="251">
        <v>26662</v>
      </c>
      <c r="D313" s="199" t="s">
        <v>49</v>
      </c>
      <c r="E313" s="202" t="s">
        <v>969</v>
      </c>
      <c r="F313" s="155">
        <v>4.32</v>
      </c>
      <c r="G313" s="113"/>
      <c r="H313" s="113"/>
      <c r="I313" s="156"/>
      <c r="J313" s="156"/>
      <c r="K313" s="157"/>
      <c r="L313" s="157"/>
      <c r="M313" s="157">
        <f>(F313+G313+H313+I313)*25%</f>
        <v>1.08</v>
      </c>
      <c r="N313" s="157"/>
      <c r="O313" s="190">
        <f t="shared" si="244"/>
        <v>12636</v>
      </c>
      <c r="P313" s="199">
        <v>49310</v>
      </c>
      <c r="Q313" s="174" t="s">
        <v>865</v>
      </c>
      <c r="R313" s="113">
        <f t="shared" ref="R313:R318" si="272">(S313)+(IF(T313=0,0,IF(T313&lt;7,1/2,1)))</f>
        <v>22</v>
      </c>
      <c r="S313" s="113">
        <v>22</v>
      </c>
      <c r="T313" s="113">
        <v>0</v>
      </c>
      <c r="U313" s="113">
        <f>(W313*12)+X313</f>
        <v>112</v>
      </c>
      <c r="V313" s="187">
        <f>(W313)+(IF(X313=0,0,IF(X313&lt;6,1/2,1)))</f>
        <v>9.5</v>
      </c>
      <c r="W313" s="113">
        <v>9</v>
      </c>
      <c r="X313" s="113">
        <v>4</v>
      </c>
      <c r="Y313" s="252">
        <f>0.9*60*O313</f>
        <v>682344</v>
      </c>
      <c r="Z313" s="253">
        <f>SUM(AA313:AB313)</f>
        <v>574938</v>
      </c>
      <c r="AA313" s="162">
        <f>4*V313*O313</f>
        <v>480168</v>
      </c>
      <c r="AB313" s="163">
        <f>SUM(4*O313)+(0.5*(R313-15)*O313)</f>
        <v>94770</v>
      </c>
      <c r="AC313" s="203"/>
      <c r="AD313" s="178"/>
      <c r="AE313" s="179"/>
      <c r="AF313" s="180"/>
      <c r="AG313" s="165">
        <f>ROUND(Y313+Z313,0)</f>
        <v>1257282</v>
      </c>
      <c r="AH313" s="165">
        <f>ROUND(AC313,0)</f>
        <v>0</v>
      </c>
      <c r="AI313" s="166"/>
      <c r="AJ313" s="167">
        <f>AG313+AH313+AI313</f>
        <v>1257282</v>
      </c>
    </row>
    <row r="314" spans="1:36" s="132" customFormat="1" ht="39" customHeight="1" x14ac:dyDescent="0.25">
      <c r="A314" s="153">
        <v>2</v>
      </c>
      <c r="B314" s="201" t="s">
        <v>970</v>
      </c>
      <c r="C314" s="251">
        <v>27521</v>
      </c>
      <c r="D314" s="199" t="s">
        <v>49</v>
      </c>
      <c r="E314" s="202" t="s">
        <v>971</v>
      </c>
      <c r="F314" s="155">
        <v>3.99</v>
      </c>
      <c r="G314" s="113"/>
      <c r="H314" s="113">
        <v>0.25</v>
      </c>
      <c r="I314" s="156"/>
      <c r="J314" s="156"/>
      <c r="K314" s="157"/>
      <c r="L314" s="157"/>
      <c r="M314" s="157">
        <f>(F314+G314+H314+I314)*25%</f>
        <v>1.06</v>
      </c>
      <c r="N314" s="157"/>
      <c r="O314" s="190">
        <f t="shared" si="244"/>
        <v>12402.000000000002</v>
      </c>
      <c r="P314" s="199">
        <v>50192</v>
      </c>
      <c r="Q314" s="174"/>
      <c r="R314" s="113">
        <f t="shared" si="272"/>
        <v>21</v>
      </c>
      <c r="S314" s="113">
        <v>20</v>
      </c>
      <c r="T314" s="113">
        <v>9</v>
      </c>
      <c r="U314" s="113">
        <f>(W314*12)+X314</f>
        <v>141</v>
      </c>
      <c r="V314" s="187">
        <f>(W314)+(IF(X314=0,0,IF(X314&lt;6,1/2,1)))</f>
        <v>12</v>
      </c>
      <c r="W314" s="113">
        <v>11</v>
      </c>
      <c r="X314" s="113">
        <v>9</v>
      </c>
      <c r="Y314" s="252"/>
      <c r="Z314" s="253"/>
      <c r="AA314" s="162"/>
      <c r="AB314" s="163"/>
      <c r="AC314" s="203">
        <f>AD314+AE314+AF314</f>
        <v>1023165.0000000002</v>
      </c>
      <c r="AD314" s="178">
        <f>0.8*60*O314</f>
        <v>595296.00000000012</v>
      </c>
      <c r="AE314" s="179">
        <f>1.5*O314*R314</f>
        <v>390663.00000000006</v>
      </c>
      <c r="AF314" s="180">
        <f>3*O314</f>
        <v>37206.000000000007</v>
      </c>
      <c r="AG314" s="165">
        <f>ROUND(Y314+Z314,0)</f>
        <v>0</v>
      </c>
      <c r="AH314" s="165">
        <f>ROUND(AC314,0)</f>
        <v>1023165</v>
      </c>
      <c r="AI314" s="166"/>
      <c r="AJ314" s="167">
        <f>AG314+AH314+AI314</f>
        <v>1023165</v>
      </c>
    </row>
    <row r="315" spans="1:36" s="119" customFormat="1" ht="42" customHeight="1" x14ac:dyDescent="0.25">
      <c r="A315" s="153">
        <v>3</v>
      </c>
      <c r="B315" s="168" t="s">
        <v>972</v>
      </c>
      <c r="C315" s="169">
        <v>29907</v>
      </c>
      <c r="D315" s="199" t="s">
        <v>49</v>
      </c>
      <c r="E315" s="423" t="s">
        <v>973</v>
      </c>
      <c r="F315" s="113">
        <v>2.67</v>
      </c>
      <c r="G315" s="157"/>
      <c r="H315" s="157">
        <v>0.25</v>
      </c>
      <c r="I315" s="156"/>
      <c r="J315" s="156"/>
      <c r="K315" s="157"/>
      <c r="L315" s="171"/>
      <c r="M315" s="157">
        <f>(F315+G315+H315)*25%</f>
        <v>0.73</v>
      </c>
      <c r="N315" s="172"/>
      <c r="O315" s="190">
        <f t="shared" si="244"/>
        <v>8541</v>
      </c>
      <c r="P315" s="112">
        <v>51836</v>
      </c>
      <c r="Q315" s="174"/>
      <c r="R315" s="113">
        <f t="shared" si="272"/>
        <v>10</v>
      </c>
      <c r="S315" s="113">
        <v>9</v>
      </c>
      <c r="T315" s="113">
        <v>10</v>
      </c>
      <c r="U315" s="113">
        <f>(W315*12)+X315</f>
        <v>195</v>
      </c>
      <c r="V315" s="187">
        <f>(W315)+(IF(X315=0,0,IF(X315&lt;6,1/2,1)))</f>
        <v>16.5</v>
      </c>
      <c r="W315" s="113">
        <v>16</v>
      </c>
      <c r="X315" s="113">
        <v>3</v>
      </c>
      <c r="Y315" s="160"/>
      <c r="Z315" s="161"/>
      <c r="AA315" s="176"/>
      <c r="AB315" s="176"/>
      <c r="AC315" s="203">
        <f>AD315+AE315+AF315</f>
        <v>563706</v>
      </c>
      <c r="AD315" s="178">
        <f>0.8*60*O315</f>
        <v>409968</v>
      </c>
      <c r="AE315" s="179">
        <f>1.5*O315*R315</f>
        <v>128115</v>
      </c>
      <c r="AF315" s="180">
        <f>3*O315</f>
        <v>25623</v>
      </c>
      <c r="AG315" s="165">
        <f>ROUND(Y315+Z315,0)</f>
        <v>0</v>
      </c>
      <c r="AH315" s="165">
        <f>ROUND(AC315,0)</f>
        <v>563706</v>
      </c>
      <c r="AI315" s="165"/>
      <c r="AJ315" s="167">
        <f>AG315+AH315+AI315</f>
        <v>563706</v>
      </c>
    </row>
    <row r="316" spans="1:36" s="119" customFormat="1" ht="43.2" customHeight="1" x14ac:dyDescent="0.25">
      <c r="A316" s="153">
        <v>4</v>
      </c>
      <c r="B316" s="168" t="s">
        <v>974</v>
      </c>
      <c r="C316" s="169">
        <v>28906</v>
      </c>
      <c r="D316" s="199" t="s">
        <v>49</v>
      </c>
      <c r="E316" s="423" t="s">
        <v>975</v>
      </c>
      <c r="F316" s="113">
        <v>3.99</v>
      </c>
      <c r="G316" s="157"/>
      <c r="H316" s="157"/>
      <c r="I316" s="156"/>
      <c r="J316" s="156"/>
      <c r="K316" s="157"/>
      <c r="L316" s="171"/>
      <c r="M316" s="157">
        <f>(F316+G316+H316)*25%</f>
        <v>0.99750000000000005</v>
      </c>
      <c r="N316" s="172"/>
      <c r="O316" s="190">
        <f t="shared" si="244"/>
        <v>11670.750000000002</v>
      </c>
      <c r="P316" s="112">
        <v>51561</v>
      </c>
      <c r="Q316" s="174"/>
      <c r="R316" s="113">
        <f t="shared" si="272"/>
        <v>22</v>
      </c>
      <c r="S316" s="113">
        <v>22</v>
      </c>
      <c r="T316" s="113">
        <v>0</v>
      </c>
      <c r="U316" s="113">
        <f>(W316*12)+X316</f>
        <v>186</v>
      </c>
      <c r="V316" s="187">
        <f>(W316)+(IF(X316=0,0,IF(X316&lt;6,1/2,1)))</f>
        <v>16</v>
      </c>
      <c r="W316" s="113">
        <v>15</v>
      </c>
      <c r="X316" s="113">
        <v>6</v>
      </c>
      <c r="Y316" s="160"/>
      <c r="Z316" s="161"/>
      <c r="AA316" s="176"/>
      <c r="AB316" s="176"/>
      <c r="AC316" s="203">
        <f>AD316+AE316+AF316</f>
        <v>980343.00000000023</v>
      </c>
      <c r="AD316" s="178">
        <f>0.8*60*O316</f>
        <v>560196.00000000012</v>
      </c>
      <c r="AE316" s="179">
        <f>1.5*O316*R316</f>
        <v>385134.75000000006</v>
      </c>
      <c r="AF316" s="180">
        <f>3*O316</f>
        <v>35012.250000000007</v>
      </c>
      <c r="AG316" s="165"/>
      <c r="AH316" s="165">
        <f>ROUND(AC316,0)</f>
        <v>980343</v>
      </c>
      <c r="AI316" s="165"/>
      <c r="AJ316" s="167">
        <f>AG316+AH316+AI316</f>
        <v>980343</v>
      </c>
    </row>
    <row r="317" spans="1:36" s="146" customFormat="1" ht="32.25" customHeight="1" x14ac:dyDescent="0.25">
      <c r="A317" s="181">
        <v>54</v>
      </c>
      <c r="B317" s="181" t="s">
        <v>976</v>
      </c>
      <c r="C317" s="183"/>
      <c r="D317" s="183"/>
      <c r="E317" s="183"/>
      <c r="F317" s="185"/>
      <c r="G317" s="183"/>
      <c r="H317" s="183"/>
      <c r="I317" s="183"/>
      <c r="J317" s="185"/>
      <c r="K317" s="183"/>
      <c r="L317" s="183"/>
      <c r="M317" s="185"/>
      <c r="N317" s="185"/>
      <c r="O317" s="190">
        <f t="shared" si="244"/>
        <v>0</v>
      </c>
      <c r="P317" s="183"/>
      <c r="Q317" s="185"/>
      <c r="R317" s="113">
        <f t="shared" si="272"/>
        <v>19.5</v>
      </c>
      <c r="S317" s="153">
        <v>19</v>
      </c>
      <c r="T317" s="153">
        <v>3</v>
      </c>
      <c r="U317" s="183"/>
      <c r="V317" s="183"/>
      <c r="W317" s="183"/>
      <c r="X317" s="183"/>
      <c r="Y317" s="181">
        <f>Y318</f>
        <v>0</v>
      </c>
      <c r="Z317" s="181">
        <f t="shared" ref="Z317:AJ317" si="273">Z318</f>
        <v>0</v>
      </c>
      <c r="AA317" s="181">
        <f t="shared" si="273"/>
        <v>0</v>
      </c>
      <c r="AB317" s="181">
        <f t="shared" si="273"/>
        <v>0</v>
      </c>
      <c r="AC317" s="181">
        <f t="shared" si="273"/>
        <v>687960</v>
      </c>
      <c r="AD317" s="181">
        <f t="shared" si="273"/>
        <v>449280</v>
      </c>
      <c r="AE317" s="181">
        <f t="shared" si="273"/>
        <v>210600</v>
      </c>
      <c r="AF317" s="181">
        <f t="shared" si="273"/>
        <v>28080</v>
      </c>
      <c r="AG317" s="181">
        <f t="shared" si="273"/>
        <v>0</v>
      </c>
      <c r="AH317" s="181">
        <f t="shared" si="273"/>
        <v>687960</v>
      </c>
      <c r="AI317" s="181">
        <f t="shared" si="273"/>
        <v>0</v>
      </c>
      <c r="AJ317" s="186">
        <f t="shared" si="273"/>
        <v>687960</v>
      </c>
    </row>
    <row r="318" spans="1:36" s="119" customFormat="1" ht="54.6" customHeight="1" x14ac:dyDescent="0.25">
      <c r="A318" s="153">
        <v>1</v>
      </c>
      <c r="B318" s="168" t="s">
        <v>977</v>
      </c>
      <c r="C318" s="169">
        <v>25479</v>
      </c>
      <c r="D318" s="199" t="s">
        <v>420</v>
      </c>
      <c r="E318" s="423" t="s">
        <v>978</v>
      </c>
      <c r="F318" s="113">
        <v>3</v>
      </c>
      <c r="G318" s="157"/>
      <c r="H318" s="157">
        <v>0.2</v>
      </c>
      <c r="I318" s="156"/>
      <c r="J318" s="156"/>
      <c r="K318" s="157"/>
      <c r="L318" s="171"/>
      <c r="M318" s="157">
        <f>(F318+G318+H318+I318)*25%</f>
        <v>0.8</v>
      </c>
      <c r="N318" s="172"/>
      <c r="O318" s="190">
        <f t="shared" si="244"/>
        <v>9360</v>
      </c>
      <c r="P318" s="112">
        <v>48153</v>
      </c>
      <c r="Q318" s="174"/>
      <c r="R318" s="113">
        <f t="shared" si="272"/>
        <v>15</v>
      </c>
      <c r="S318" s="113">
        <v>14</v>
      </c>
      <c r="T318" s="113">
        <v>11</v>
      </c>
      <c r="U318" s="113">
        <f>(W318*12)+X318</f>
        <v>77</v>
      </c>
      <c r="V318" s="187">
        <f>(W318)+(IF(X318=0,0,IF(X318&lt;6,1/2,1)))</f>
        <v>6.5</v>
      </c>
      <c r="W318" s="113">
        <v>6</v>
      </c>
      <c r="X318" s="113">
        <v>5</v>
      </c>
      <c r="Y318" s="160"/>
      <c r="Z318" s="161"/>
      <c r="AA318" s="176"/>
      <c r="AB318" s="176"/>
      <c r="AC318" s="177">
        <f>AD318+AE318+AF318</f>
        <v>687960</v>
      </c>
      <c r="AD318" s="178">
        <f>0.8*60*O318</f>
        <v>449280</v>
      </c>
      <c r="AE318" s="179">
        <f>1.5*O318*R318</f>
        <v>210600</v>
      </c>
      <c r="AF318" s="180">
        <f>3*O318</f>
        <v>28080</v>
      </c>
      <c r="AG318" s="165">
        <f>ROUND(Y318+Z318,0)</f>
        <v>0</v>
      </c>
      <c r="AH318" s="165">
        <f>ROUND(AC318,0)</f>
        <v>687960</v>
      </c>
      <c r="AI318" s="165"/>
      <c r="AJ318" s="167">
        <f>AG318+AH318+AI318</f>
        <v>687960</v>
      </c>
    </row>
    <row r="319" spans="1:36" s="146" customFormat="1" ht="40.5" customHeight="1" x14ac:dyDescent="0.25">
      <c r="A319" s="181">
        <v>55</v>
      </c>
      <c r="B319" s="181" t="s">
        <v>979</v>
      </c>
      <c r="C319" s="183"/>
      <c r="D319" s="183"/>
      <c r="E319" s="183"/>
      <c r="F319" s="185"/>
      <c r="G319" s="183"/>
      <c r="H319" s="183"/>
      <c r="I319" s="183"/>
      <c r="J319" s="185"/>
      <c r="K319" s="183"/>
      <c r="L319" s="183"/>
      <c r="M319" s="157"/>
      <c r="N319" s="185"/>
      <c r="O319" s="190">
        <f t="shared" si="244"/>
        <v>0</v>
      </c>
      <c r="P319" s="183"/>
      <c r="Q319" s="185"/>
      <c r="R319" s="113"/>
      <c r="S319" s="153"/>
      <c r="T319" s="153"/>
      <c r="U319" s="183"/>
      <c r="V319" s="183"/>
      <c r="W319" s="183"/>
      <c r="X319" s="183"/>
      <c r="Y319" s="181">
        <f>SUM(Y320:Y328)</f>
        <v>0</v>
      </c>
      <c r="Z319" s="181">
        <f t="shared" ref="Z319:AJ319" si="274">SUM(Z320:Z328)</f>
        <v>0</v>
      </c>
      <c r="AA319" s="181">
        <f t="shared" si="274"/>
        <v>0</v>
      </c>
      <c r="AB319" s="181">
        <f t="shared" si="274"/>
        <v>0</v>
      </c>
      <c r="AC319" s="181">
        <f t="shared" si="274"/>
        <v>7848403.875</v>
      </c>
      <c r="AD319" s="181">
        <f t="shared" si="274"/>
        <v>4734288</v>
      </c>
      <c r="AE319" s="181">
        <f t="shared" si="274"/>
        <v>2818222.875</v>
      </c>
      <c r="AF319" s="181">
        <f t="shared" si="274"/>
        <v>295893</v>
      </c>
      <c r="AG319" s="181">
        <f t="shared" si="274"/>
        <v>0</v>
      </c>
      <c r="AH319" s="181">
        <f t="shared" si="274"/>
        <v>7848404</v>
      </c>
      <c r="AI319" s="181">
        <f t="shared" si="274"/>
        <v>0</v>
      </c>
      <c r="AJ319" s="186">
        <f t="shared" si="274"/>
        <v>7848404</v>
      </c>
    </row>
    <row r="320" spans="1:36" s="132" customFormat="1" ht="39" customHeight="1" x14ac:dyDescent="0.25">
      <c r="A320" s="153">
        <v>1</v>
      </c>
      <c r="B320" s="201" t="s">
        <v>980</v>
      </c>
      <c r="C320" s="251" t="s">
        <v>981</v>
      </c>
      <c r="D320" s="199" t="s">
        <v>49</v>
      </c>
      <c r="E320" s="266" t="s">
        <v>387</v>
      </c>
      <c r="F320" s="155">
        <v>3.33</v>
      </c>
      <c r="G320" s="113"/>
      <c r="H320" s="113"/>
      <c r="I320" s="156"/>
      <c r="J320" s="156"/>
      <c r="K320" s="157"/>
      <c r="L320" s="157"/>
      <c r="M320" s="157">
        <f>(F320+G320+H320+I320)*25%</f>
        <v>0.83250000000000002</v>
      </c>
      <c r="N320" s="157"/>
      <c r="O320" s="190">
        <f t="shared" si="244"/>
        <v>9740.25</v>
      </c>
      <c r="P320" s="199">
        <v>54363</v>
      </c>
      <c r="Q320" s="174"/>
      <c r="R320" s="113">
        <f t="shared" ref="R320:R330" si="275">(S320)+(IF(T320=0,0,IF(T320&lt;7,1/2,1)))</f>
        <v>17</v>
      </c>
      <c r="S320" s="113">
        <v>16</v>
      </c>
      <c r="T320" s="113">
        <v>8</v>
      </c>
      <c r="U320" s="113">
        <f t="shared" ref="U320:U330" si="276">(W320*12)+X320</f>
        <v>278</v>
      </c>
      <c r="V320" s="187">
        <f t="shared" ref="V320:V330" si="277">(W320)+(IF(X320=0,0,IF(X320&lt;6,1/2,1)))</f>
        <v>23.5</v>
      </c>
      <c r="W320" s="113">
        <v>23</v>
      </c>
      <c r="X320" s="113">
        <v>2</v>
      </c>
      <c r="Y320" s="160"/>
      <c r="Z320" s="161">
        <f>SUM(AA320:AB320)</f>
        <v>0</v>
      </c>
      <c r="AA320" s="162"/>
      <c r="AB320" s="163"/>
      <c r="AC320" s="203">
        <f t="shared" ref="AC320:AC330" si="278">AD320+AE320+AF320</f>
        <v>745129.125</v>
      </c>
      <c r="AD320" s="178">
        <f t="shared" ref="AD320:AD330" si="279">0.8*60*O320</f>
        <v>467532</v>
      </c>
      <c r="AE320" s="179">
        <f t="shared" ref="AE320:AE330" si="280">1.5*O320*R320</f>
        <v>248376.375</v>
      </c>
      <c r="AF320" s="180">
        <f t="shared" ref="AF320:AF330" si="281">3*O320</f>
        <v>29220.75</v>
      </c>
      <c r="AG320" s="165">
        <f>ROUND(Y320+Z320,0)</f>
        <v>0</v>
      </c>
      <c r="AH320" s="165">
        <f t="shared" ref="AH320:AH330" si="282">ROUND(AC320,0)</f>
        <v>745129</v>
      </c>
      <c r="AI320" s="166"/>
      <c r="AJ320" s="167">
        <f t="shared" ref="AJ320:AJ330" si="283">AG320+AH320+AI320</f>
        <v>745129</v>
      </c>
    </row>
    <row r="321" spans="1:36" s="132" customFormat="1" ht="39" customHeight="1" x14ac:dyDescent="0.25">
      <c r="A321" s="153">
        <v>2</v>
      </c>
      <c r="B321" s="201" t="s">
        <v>982</v>
      </c>
      <c r="C321" s="199">
        <v>26587</v>
      </c>
      <c r="D321" s="199" t="s">
        <v>49</v>
      </c>
      <c r="E321" s="202" t="s">
        <v>439</v>
      </c>
      <c r="F321" s="155">
        <v>3</v>
      </c>
      <c r="G321" s="113"/>
      <c r="H321" s="113">
        <v>0.25</v>
      </c>
      <c r="I321" s="156"/>
      <c r="J321" s="156"/>
      <c r="K321" s="157"/>
      <c r="L321" s="157"/>
      <c r="M321" s="157">
        <f>(F321+G321+H321+I321)*25%</f>
        <v>0.8125</v>
      </c>
      <c r="N321" s="157"/>
      <c r="O321" s="190">
        <f t="shared" si="244"/>
        <v>9506.25</v>
      </c>
      <c r="P321" s="199">
        <v>48030</v>
      </c>
      <c r="Q321" s="174"/>
      <c r="R321" s="113">
        <f t="shared" si="275"/>
        <v>14.5</v>
      </c>
      <c r="S321" s="113">
        <v>14</v>
      </c>
      <c r="T321" s="113">
        <v>3</v>
      </c>
      <c r="U321" s="113">
        <f t="shared" si="276"/>
        <v>70</v>
      </c>
      <c r="V321" s="187">
        <f t="shared" si="277"/>
        <v>6</v>
      </c>
      <c r="W321" s="113">
        <v>5</v>
      </c>
      <c r="X321" s="113">
        <v>10</v>
      </c>
      <c r="Y321" s="160"/>
      <c r="Z321" s="161"/>
      <c r="AA321" s="162"/>
      <c r="AB321" s="163"/>
      <c r="AC321" s="203">
        <f t="shared" si="278"/>
        <v>691579.6875</v>
      </c>
      <c r="AD321" s="178">
        <f t="shared" si="279"/>
        <v>456300</v>
      </c>
      <c r="AE321" s="179">
        <f t="shared" si="280"/>
        <v>206760.9375</v>
      </c>
      <c r="AF321" s="180">
        <f t="shared" si="281"/>
        <v>28518.75</v>
      </c>
      <c r="AG321" s="165">
        <f>ROUND(Y321+Z321,0)</f>
        <v>0</v>
      </c>
      <c r="AH321" s="165">
        <f t="shared" si="282"/>
        <v>691580</v>
      </c>
      <c r="AI321" s="166"/>
      <c r="AJ321" s="167">
        <f t="shared" si="283"/>
        <v>691580</v>
      </c>
    </row>
    <row r="322" spans="1:36" s="119" customFormat="1" ht="36.6" customHeight="1" x14ac:dyDescent="0.25">
      <c r="A322" s="153">
        <v>3</v>
      </c>
      <c r="B322" s="168" t="s">
        <v>983</v>
      </c>
      <c r="C322" s="169" t="s">
        <v>984</v>
      </c>
      <c r="D322" s="199" t="s">
        <v>49</v>
      </c>
      <c r="E322" s="442" t="s">
        <v>387</v>
      </c>
      <c r="F322" s="113">
        <v>3.66</v>
      </c>
      <c r="G322" s="157"/>
      <c r="H322" s="157"/>
      <c r="I322" s="156"/>
      <c r="J322" s="156"/>
      <c r="K322" s="157"/>
      <c r="L322" s="171"/>
      <c r="M322" s="157">
        <f t="shared" ref="M322:N330" si="284">(F322+G322+H322)*25%</f>
        <v>0.91500000000000004</v>
      </c>
      <c r="N322" s="172"/>
      <c r="O322" s="190">
        <f t="shared" si="244"/>
        <v>10705.5</v>
      </c>
      <c r="P322" s="112">
        <v>51349</v>
      </c>
      <c r="Q322" s="174"/>
      <c r="R322" s="113">
        <f t="shared" si="275"/>
        <v>19.5</v>
      </c>
      <c r="S322" s="113">
        <v>19</v>
      </c>
      <c r="T322" s="113">
        <v>4</v>
      </c>
      <c r="U322" s="113">
        <f t="shared" si="276"/>
        <v>179</v>
      </c>
      <c r="V322" s="187">
        <f t="shared" si="277"/>
        <v>15</v>
      </c>
      <c r="W322" s="113">
        <v>14</v>
      </c>
      <c r="X322" s="113">
        <v>11</v>
      </c>
      <c r="Y322" s="160"/>
      <c r="Z322" s="161"/>
      <c r="AA322" s="176"/>
      <c r="AB322" s="176"/>
      <c r="AC322" s="200">
        <f t="shared" si="278"/>
        <v>859116.375</v>
      </c>
      <c r="AD322" s="178">
        <f t="shared" si="279"/>
        <v>513864</v>
      </c>
      <c r="AE322" s="179">
        <f t="shared" si="280"/>
        <v>313135.875</v>
      </c>
      <c r="AF322" s="180">
        <f t="shared" si="281"/>
        <v>32116.5</v>
      </c>
      <c r="AG322" s="165">
        <f>ROUND(Y322+Z322,0)</f>
        <v>0</v>
      </c>
      <c r="AH322" s="165">
        <f t="shared" si="282"/>
        <v>859116</v>
      </c>
      <c r="AI322" s="165"/>
      <c r="AJ322" s="167">
        <f t="shared" si="283"/>
        <v>859116</v>
      </c>
    </row>
    <row r="323" spans="1:36" s="119" customFormat="1" ht="40.950000000000003" customHeight="1" x14ac:dyDescent="0.25">
      <c r="A323" s="153">
        <v>4</v>
      </c>
      <c r="B323" s="168" t="s">
        <v>985</v>
      </c>
      <c r="C323" s="169">
        <v>30842</v>
      </c>
      <c r="D323" s="199" t="s">
        <v>49</v>
      </c>
      <c r="E323" s="442" t="s">
        <v>938</v>
      </c>
      <c r="F323" s="155">
        <v>3.66</v>
      </c>
      <c r="G323" s="157"/>
      <c r="H323" s="157"/>
      <c r="I323" s="156"/>
      <c r="J323" s="156"/>
      <c r="K323" s="157"/>
      <c r="L323" s="171"/>
      <c r="M323" s="157">
        <f t="shared" si="284"/>
        <v>0.91500000000000004</v>
      </c>
      <c r="N323" s="172"/>
      <c r="O323" s="190">
        <f t="shared" si="244"/>
        <v>10705.5</v>
      </c>
      <c r="P323" s="112">
        <v>52779</v>
      </c>
      <c r="Q323" s="174"/>
      <c r="R323" s="113">
        <f t="shared" si="275"/>
        <v>17</v>
      </c>
      <c r="S323" s="113">
        <v>16</v>
      </c>
      <c r="T323" s="113">
        <v>8</v>
      </c>
      <c r="U323" s="113">
        <f t="shared" si="276"/>
        <v>226</v>
      </c>
      <c r="V323" s="187">
        <f t="shared" si="277"/>
        <v>19</v>
      </c>
      <c r="W323" s="113">
        <v>18</v>
      </c>
      <c r="X323" s="113">
        <v>10</v>
      </c>
      <c r="Y323" s="160"/>
      <c r="Z323" s="161"/>
      <c r="AA323" s="176"/>
      <c r="AB323" s="176"/>
      <c r="AC323" s="203">
        <f t="shared" si="278"/>
        <v>818970.75</v>
      </c>
      <c r="AD323" s="178">
        <f t="shared" si="279"/>
        <v>513864</v>
      </c>
      <c r="AE323" s="421">
        <f t="shared" si="280"/>
        <v>272990.25</v>
      </c>
      <c r="AF323" s="180">
        <f t="shared" si="281"/>
        <v>32116.5</v>
      </c>
      <c r="AG323" s="165"/>
      <c r="AH323" s="165">
        <f t="shared" si="282"/>
        <v>818971</v>
      </c>
      <c r="AI323" s="165"/>
      <c r="AJ323" s="167">
        <f t="shared" si="283"/>
        <v>818971</v>
      </c>
    </row>
    <row r="324" spans="1:36" s="119" customFormat="1" ht="46.2" customHeight="1" x14ac:dyDescent="0.25">
      <c r="A324" s="153">
        <v>5</v>
      </c>
      <c r="B324" s="168" t="s">
        <v>986</v>
      </c>
      <c r="C324" s="169" t="s">
        <v>987</v>
      </c>
      <c r="D324" s="199" t="s">
        <v>49</v>
      </c>
      <c r="E324" s="442" t="s">
        <v>938</v>
      </c>
      <c r="F324" s="113">
        <v>3.66</v>
      </c>
      <c r="G324" s="157"/>
      <c r="H324" s="157">
        <v>0.2</v>
      </c>
      <c r="I324" s="156"/>
      <c r="J324" s="156"/>
      <c r="K324" s="157"/>
      <c r="L324" s="171"/>
      <c r="M324" s="157">
        <f t="shared" si="284"/>
        <v>0.96500000000000008</v>
      </c>
      <c r="N324" s="172"/>
      <c r="O324" s="190">
        <f t="shared" si="244"/>
        <v>11290.5</v>
      </c>
      <c r="P324" s="112">
        <v>52597</v>
      </c>
      <c r="Q324" s="174"/>
      <c r="R324" s="113">
        <f t="shared" si="275"/>
        <v>17.5</v>
      </c>
      <c r="S324" s="113">
        <v>17</v>
      </c>
      <c r="T324" s="113">
        <v>6</v>
      </c>
      <c r="U324" s="113">
        <f t="shared" si="276"/>
        <v>220</v>
      </c>
      <c r="V324" s="187">
        <f t="shared" si="277"/>
        <v>18.5</v>
      </c>
      <c r="W324" s="113">
        <v>18</v>
      </c>
      <c r="X324" s="113">
        <v>4</v>
      </c>
      <c r="Y324" s="160"/>
      <c r="Z324" s="161"/>
      <c r="AA324" s="176"/>
      <c r="AB324" s="176"/>
      <c r="AC324" s="203">
        <f t="shared" si="278"/>
        <v>872191.125</v>
      </c>
      <c r="AD324" s="178">
        <f t="shared" si="279"/>
        <v>541944</v>
      </c>
      <c r="AE324" s="421">
        <f t="shared" si="280"/>
        <v>296375.625</v>
      </c>
      <c r="AF324" s="180">
        <f t="shared" si="281"/>
        <v>33871.5</v>
      </c>
      <c r="AG324" s="165"/>
      <c r="AH324" s="165">
        <f t="shared" si="282"/>
        <v>872191</v>
      </c>
      <c r="AI324" s="165"/>
      <c r="AJ324" s="167">
        <f t="shared" si="283"/>
        <v>872191</v>
      </c>
    </row>
    <row r="325" spans="1:36" s="119" customFormat="1" ht="31.2" customHeight="1" x14ac:dyDescent="0.25">
      <c r="A325" s="153">
        <v>6</v>
      </c>
      <c r="B325" s="168" t="s">
        <v>988</v>
      </c>
      <c r="C325" s="169">
        <v>31439</v>
      </c>
      <c r="D325" s="199" t="s">
        <v>391</v>
      </c>
      <c r="E325" s="423" t="s">
        <v>396</v>
      </c>
      <c r="F325" s="113">
        <v>3.33</v>
      </c>
      <c r="G325" s="157"/>
      <c r="H325" s="157"/>
      <c r="I325" s="156"/>
      <c r="J325" s="156"/>
      <c r="K325" s="157"/>
      <c r="L325" s="171"/>
      <c r="M325" s="157">
        <f t="shared" si="284"/>
        <v>0.83250000000000002</v>
      </c>
      <c r="N325" s="172"/>
      <c r="O325" s="190">
        <f t="shared" si="244"/>
        <v>9740.25</v>
      </c>
      <c r="P325" s="112">
        <v>53359</v>
      </c>
      <c r="Q325" s="174"/>
      <c r="R325" s="113">
        <f t="shared" si="275"/>
        <v>17</v>
      </c>
      <c r="S325" s="113">
        <v>16</v>
      </c>
      <c r="T325" s="113">
        <v>8</v>
      </c>
      <c r="U325" s="113">
        <f t="shared" si="276"/>
        <v>245</v>
      </c>
      <c r="V325" s="187">
        <f t="shared" si="277"/>
        <v>20.5</v>
      </c>
      <c r="W325" s="113">
        <v>20</v>
      </c>
      <c r="X325" s="113">
        <v>5</v>
      </c>
      <c r="Y325" s="160"/>
      <c r="Z325" s="161"/>
      <c r="AA325" s="176"/>
      <c r="AB325" s="176"/>
      <c r="AC325" s="203">
        <f t="shared" si="278"/>
        <v>745129.125</v>
      </c>
      <c r="AD325" s="178">
        <f t="shared" si="279"/>
        <v>467532</v>
      </c>
      <c r="AE325" s="421">
        <f t="shared" si="280"/>
        <v>248376.375</v>
      </c>
      <c r="AF325" s="180">
        <f t="shared" si="281"/>
        <v>29220.75</v>
      </c>
      <c r="AG325" s="165"/>
      <c r="AH325" s="165">
        <f t="shared" si="282"/>
        <v>745129</v>
      </c>
      <c r="AI325" s="165"/>
      <c r="AJ325" s="167">
        <f t="shared" si="283"/>
        <v>745129</v>
      </c>
    </row>
    <row r="326" spans="1:36" s="119" customFormat="1" ht="50.4" customHeight="1" x14ac:dyDescent="0.25">
      <c r="A326" s="153">
        <v>7</v>
      </c>
      <c r="B326" s="168" t="s">
        <v>989</v>
      </c>
      <c r="C326" s="169">
        <v>29598</v>
      </c>
      <c r="D326" s="199" t="s">
        <v>391</v>
      </c>
      <c r="E326" s="423" t="s">
        <v>396</v>
      </c>
      <c r="F326" s="113">
        <v>3.99</v>
      </c>
      <c r="G326" s="157"/>
      <c r="H326" s="157"/>
      <c r="I326" s="156"/>
      <c r="J326" s="156"/>
      <c r="K326" s="157"/>
      <c r="L326" s="171"/>
      <c r="M326" s="157">
        <f t="shared" si="284"/>
        <v>0.99750000000000005</v>
      </c>
      <c r="N326" s="172"/>
      <c r="O326" s="190">
        <f t="shared" si="244"/>
        <v>11670.750000000002</v>
      </c>
      <c r="P326" s="112">
        <v>52263</v>
      </c>
      <c r="Q326" s="174"/>
      <c r="R326" s="113">
        <f t="shared" si="275"/>
        <v>22</v>
      </c>
      <c r="S326" s="113">
        <v>22</v>
      </c>
      <c r="T326" s="113">
        <v>0</v>
      </c>
      <c r="U326" s="113">
        <f t="shared" si="276"/>
        <v>209</v>
      </c>
      <c r="V326" s="187">
        <f t="shared" si="277"/>
        <v>17.5</v>
      </c>
      <c r="W326" s="113">
        <v>17</v>
      </c>
      <c r="X326" s="113">
        <v>5</v>
      </c>
      <c r="Y326" s="160"/>
      <c r="Z326" s="161"/>
      <c r="AA326" s="176"/>
      <c r="AB326" s="176"/>
      <c r="AC326" s="203">
        <f t="shared" si="278"/>
        <v>980343.00000000023</v>
      </c>
      <c r="AD326" s="178">
        <f t="shared" si="279"/>
        <v>560196.00000000012</v>
      </c>
      <c r="AE326" s="421">
        <f t="shared" si="280"/>
        <v>385134.75000000006</v>
      </c>
      <c r="AF326" s="180">
        <f t="shared" si="281"/>
        <v>35012.250000000007</v>
      </c>
      <c r="AG326" s="165"/>
      <c r="AH326" s="165">
        <f t="shared" si="282"/>
        <v>980343</v>
      </c>
      <c r="AI326" s="165"/>
      <c r="AJ326" s="167">
        <f t="shared" si="283"/>
        <v>980343</v>
      </c>
    </row>
    <row r="327" spans="1:36" s="119" customFormat="1" ht="51" customHeight="1" x14ac:dyDescent="0.25">
      <c r="A327" s="153">
        <v>8</v>
      </c>
      <c r="B327" s="168" t="s">
        <v>990</v>
      </c>
      <c r="C327" s="169">
        <v>30312</v>
      </c>
      <c r="D327" s="199" t="s">
        <v>391</v>
      </c>
      <c r="E327" s="423" t="s">
        <v>396</v>
      </c>
      <c r="F327" s="113">
        <v>3.99</v>
      </c>
      <c r="G327" s="157"/>
      <c r="H327" s="157"/>
      <c r="I327" s="156"/>
      <c r="J327" s="156"/>
      <c r="K327" s="157"/>
      <c r="L327" s="171"/>
      <c r="M327" s="157">
        <f t="shared" si="284"/>
        <v>0.99750000000000005</v>
      </c>
      <c r="N327" s="172"/>
      <c r="O327" s="190">
        <f t="shared" si="244"/>
        <v>11670.750000000002</v>
      </c>
      <c r="P327" s="112">
        <v>52232</v>
      </c>
      <c r="Q327" s="174"/>
      <c r="R327" s="113">
        <f t="shared" si="275"/>
        <v>21</v>
      </c>
      <c r="S327" s="113">
        <v>20</v>
      </c>
      <c r="T327" s="113">
        <v>9</v>
      </c>
      <c r="U327" s="113">
        <f t="shared" si="276"/>
        <v>208</v>
      </c>
      <c r="V327" s="187">
        <f t="shared" si="277"/>
        <v>17.5</v>
      </c>
      <c r="W327" s="113">
        <v>17</v>
      </c>
      <c r="X327" s="113">
        <v>4</v>
      </c>
      <c r="Y327" s="160"/>
      <c r="Z327" s="161"/>
      <c r="AA327" s="176"/>
      <c r="AB327" s="176"/>
      <c r="AC327" s="203">
        <f t="shared" si="278"/>
        <v>962836.87500000023</v>
      </c>
      <c r="AD327" s="178">
        <f t="shared" si="279"/>
        <v>560196.00000000012</v>
      </c>
      <c r="AE327" s="421">
        <f t="shared" si="280"/>
        <v>367628.62500000006</v>
      </c>
      <c r="AF327" s="180">
        <f t="shared" si="281"/>
        <v>35012.250000000007</v>
      </c>
      <c r="AG327" s="165"/>
      <c r="AH327" s="165">
        <f t="shared" si="282"/>
        <v>962837</v>
      </c>
      <c r="AI327" s="165"/>
      <c r="AJ327" s="167">
        <f t="shared" si="283"/>
        <v>962837</v>
      </c>
    </row>
    <row r="328" spans="1:36" s="119" customFormat="1" ht="51" customHeight="1" x14ac:dyDescent="0.25">
      <c r="A328" s="153">
        <v>9</v>
      </c>
      <c r="B328" s="168" t="s">
        <v>991</v>
      </c>
      <c r="C328" s="169">
        <v>28914</v>
      </c>
      <c r="D328" s="199" t="s">
        <v>391</v>
      </c>
      <c r="E328" s="423" t="s">
        <v>396</v>
      </c>
      <c r="F328" s="113">
        <v>4.6500000000000004</v>
      </c>
      <c r="G328" s="157"/>
      <c r="H328" s="157"/>
      <c r="I328" s="156"/>
      <c r="J328" s="156"/>
      <c r="K328" s="157"/>
      <c r="L328" s="171"/>
      <c r="M328" s="157">
        <f t="shared" si="284"/>
        <v>1.1625000000000001</v>
      </c>
      <c r="N328" s="157">
        <f t="shared" si="284"/>
        <v>0</v>
      </c>
      <c r="O328" s="190">
        <f t="shared" si="244"/>
        <v>13601.25</v>
      </c>
      <c r="P328" s="112">
        <v>50830</v>
      </c>
      <c r="Q328" s="174"/>
      <c r="R328" s="113">
        <f t="shared" si="275"/>
        <v>23.5</v>
      </c>
      <c r="S328" s="113">
        <v>23</v>
      </c>
      <c r="T328" s="113">
        <v>6</v>
      </c>
      <c r="U328" s="113">
        <f t="shared" si="276"/>
        <v>162</v>
      </c>
      <c r="V328" s="187">
        <f t="shared" si="277"/>
        <v>14</v>
      </c>
      <c r="W328" s="113">
        <v>13</v>
      </c>
      <c r="X328" s="113">
        <v>6</v>
      </c>
      <c r="Y328" s="160"/>
      <c r="Z328" s="161"/>
      <c r="AA328" s="176"/>
      <c r="AB328" s="176"/>
      <c r="AC328" s="203">
        <f t="shared" si="278"/>
        <v>1173107.8125</v>
      </c>
      <c r="AD328" s="178">
        <f t="shared" si="279"/>
        <v>652860</v>
      </c>
      <c r="AE328" s="421">
        <f t="shared" si="280"/>
        <v>479444.0625</v>
      </c>
      <c r="AF328" s="180">
        <f t="shared" si="281"/>
        <v>40803.75</v>
      </c>
      <c r="AG328" s="165"/>
      <c r="AH328" s="165">
        <f t="shared" si="282"/>
        <v>1173108</v>
      </c>
      <c r="AI328" s="165"/>
      <c r="AJ328" s="167">
        <f t="shared" si="283"/>
        <v>1173108</v>
      </c>
    </row>
    <row r="329" spans="1:36" s="119" customFormat="1" ht="51" customHeight="1" x14ac:dyDescent="0.25">
      <c r="A329" s="153">
        <v>10</v>
      </c>
      <c r="B329" s="392" t="s">
        <v>992</v>
      </c>
      <c r="C329" s="393">
        <v>29938</v>
      </c>
      <c r="D329" s="436" t="s">
        <v>49</v>
      </c>
      <c r="E329" s="259" t="s">
        <v>621</v>
      </c>
      <c r="F329" s="113">
        <v>2.67</v>
      </c>
      <c r="G329" s="157"/>
      <c r="H329" s="157">
        <v>0.2</v>
      </c>
      <c r="I329" s="156"/>
      <c r="J329" s="156"/>
      <c r="K329" s="157"/>
      <c r="L329" s="171"/>
      <c r="M329" s="157">
        <f t="shared" si="284"/>
        <v>0.71750000000000003</v>
      </c>
      <c r="N329" s="172"/>
      <c r="O329" s="190">
        <f t="shared" si="244"/>
        <v>8394.75</v>
      </c>
      <c r="P329" s="436">
        <v>16072</v>
      </c>
      <c r="Q329" s="174"/>
      <c r="R329" s="113">
        <f t="shared" si="275"/>
        <v>9.5</v>
      </c>
      <c r="S329" s="259">
        <v>9</v>
      </c>
      <c r="T329" s="259">
        <v>6</v>
      </c>
      <c r="U329" s="113">
        <f t="shared" si="276"/>
        <v>220</v>
      </c>
      <c r="V329" s="187">
        <f t="shared" si="277"/>
        <v>18.5</v>
      </c>
      <c r="W329" s="259">
        <v>18</v>
      </c>
      <c r="X329" s="259">
        <v>4</v>
      </c>
      <c r="Y329" s="160"/>
      <c r="Z329" s="161"/>
      <c r="AA329" s="176"/>
      <c r="AB329" s="176"/>
      <c r="AC329" s="203">
        <f t="shared" si="278"/>
        <v>547757.4375</v>
      </c>
      <c r="AD329" s="178">
        <f t="shared" si="279"/>
        <v>402948</v>
      </c>
      <c r="AE329" s="421">
        <f t="shared" si="280"/>
        <v>119625.1875</v>
      </c>
      <c r="AF329" s="180">
        <f t="shared" si="281"/>
        <v>25184.25</v>
      </c>
      <c r="AG329" s="165"/>
      <c r="AH329" s="165">
        <f t="shared" si="282"/>
        <v>547757</v>
      </c>
      <c r="AI329" s="165"/>
      <c r="AJ329" s="167">
        <f t="shared" si="283"/>
        <v>547757</v>
      </c>
    </row>
    <row r="330" spans="1:36" s="119" customFormat="1" ht="51" customHeight="1" x14ac:dyDescent="0.25">
      <c r="A330" s="153">
        <v>11</v>
      </c>
      <c r="B330" s="437" t="s">
        <v>993</v>
      </c>
      <c r="C330" s="438">
        <v>30349</v>
      </c>
      <c r="D330" s="439" t="s">
        <v>49</v>
      </c>
      <c r="E330" s="439" t="s">
        <v>582</v>
      </c>
      <c r="F330" s="113">
        <v>3.66</v>
      </c>
      <c r="G330" s="157"/>
      <c r="H330" s="157">
        <v>0.25</v>
      </c>
      <c r="I330" s="156"/>
      <c r="J330" s="156"/>
      <c r="K330" s="157"/>
      <c r="L330" s="171"/>
      <c r="M330" s="157">
        <f t="shared" si="284"/>
        <v>0.97750000000000004</v>
      </c>
      <c r="N330" s="172"/>
      <c r="O330" s="190">
        <f t="shared" si="244"/>
        <v>11436.75</v>
      </c>
      <c r="P330" s="438">
        <v>53022</v>
      </c>
      <c r="Q330" s="174"/>
      <c r="R330" s="113">
        <f t="shared" si="275"/>
        <v>17</v>
      </c>
      <c r="S330" s="439">
        <v>16</v>
      </c>
      <c r="T330" s="439">
        <v>7</v>
      </c>
      <c r="U330" s="113">
        <f t="shared" si="276"/>
        <v>234</v>
      </c>
      <c r="V330" s="187">
        <f t="shared" si="277"/>
        <v>20</v>
      </c>
      <c r="W330" s="439">
        <v>19</v>
      </c>
      <c r="X330" s="439">
        <v>6</v>
      </c>
      <c r="Y330" s="160"/>
      <c r="Z330" s="161"/>
      <c r="AA330" s="176"/>
      <c r="AB330" s="176"/>
      <c r="AC330" s="203">
        <f t="shared" si="278"/>
        <v>874911.375</v>
      </c>
      <c r="AD330" s="178">
        <f t="shared" si="279"/>
        <v>548964</v>
      </c>
      <c r="AE330" s="421">
        <f t="shared" si="280"/>
        <v>291637.125</v>
      </c>
      <c r="AF330" s="180">
        <f t="shared" si="281"/>
        <v>34310.25</v>
      </c>
      <c r="AG330" s="165"/>
      <c r="AH330" s="165">
        <f t="shared" si="282"/>
        <v>874911</v>
      </c>
      <c r="AI330" s="165"/>
      <c r="AJ330" s="167">
        <f t="shared" si="283"/>
        <v>874911</v>
      </c>
    </row>
    <row r="331" spans="1:36" s="146" customFormat="1" ht="32.25" customHeight="1" x14ac:dyDescent="0.25">
      <c r="A331" s="181">
        <v>56</v>
      </c>
      <c r="B331" s="182" t="s">
        <v>994</v>
      </c>
      <c r="C331" s="183"/>
      <c r="D331" s="183"/>
      <c r="E331" s="183"/>
      <c r="F331" s="185"/>
      <c r="G331" s="183"/>
      <c r="H331" s="183"/>
      <c r="I331" s="183"/>
      <c r="J331" s="185"/>
      <c r="K331" s="183"/>
      <c r="L331" s="183"/>
      <c r="M331" s="185"/>
      <c r="N331" s="185"/>
      <c r="O331" s="190">
        <f t="shared" si="244"/>
        <v>0</v>
      </c>
      <c r="P331" s="183"/>
      <c r="Q331" s="185"/>
      <c r="R331" s="183"/>
      <c r="S331" s="183"/>
      <c r="T331" s="185"/>
      <c r="U331" s="183"/>
      <c r="V331" s="183"/>
      <c r="W331" s="183"/>
      <c r="X331" s="183"/>
      <c r="Y331" s="181">
        <f>SUM(Y332:Y335)</f>
        <v>0</v>
      </c>
      <c r="Z331" s="181">
        <f t="shared" ref="Z331:AJ331" si="285">SUM(Z332:Z335)</f>
        <v>0</v>
      </c>
      <c r="AA331" s="181">
        <f t="shared" si="285"/>
        <v>0</v>
      </c>
      <c r="AB331" s="181">
        <f t="shared" si="285"/>
        <v>0</v>
      </c>
      <c r="AC331" s="181">
        <f t="shared" si="285"/>
        <v>3247414.5307499999</v>
      </c>
      <c r="AD331" s="181">
        <f t="shared" si="285"/>
        <v>2004400.9439999999</v>
      </c>
      <c r="AE331" s="181">
        <f t="shared" si="285"/>
        <v>1117738.5277499999</v>
      </c>
      <c r="AF331" s="181">
        <f t="shared" si="285"/>
        <v>125275.05899999999</v>
      </c>
      <c r="AG331" s="181">
        <f t="shared" si="285"/>
        <v>0</v>
      </c>
      <c r="AH331" s="181">
        <f t="shared" si="285"/>
        <v>3247415</v>
      </c>
      <c r="AI331" s="181">
        <f t="shared" si="285"/>
        <v>0</v>
      </c>
      <c r="AJ331" s="186">
        <f t="shared" si="285"/>
        <v>3247415</v>
      </c>
    </row>
    <row r="332" spans="1:36" s="132" customFormat="1" ht="39" customHeight="1" x14ac:dyDescent="0.25">
      <c r="A332" s="153">
        <v>1</v>
      </c>
      <c r="B332" s="201" t="s">
        <v>995</v>
      </c>
      <c r="C332" s="199">
        <v>29462</v>
      </c>
      <c r="D332" s="199" t="s">
        <v>104</v>
      </c>
      <c r="E332" s="202" t="s">
        <v>427</v>
      </c>
      <c r="F332" s="155">
        <v>2.86</v>
      </c>
      <c r="G332" s="113"/>
      <c r="H332" s="113">
        <v>0.2</v>
      </c>
      <c r="I332" s="156"/>
      <c r="J332" s="156"/>
      <c r="K332" s="157"/>
      <c r="L332" s="157"/>
      <c r="M332" s="157">
        <f>(F332+G332+H332+I332)*25%</f>
        <v>0.76500000000000001</v>
      </c>
      <c r="N332" s="157"/>
      <c r="O332" s="190">
        <f t="shared" si="244"/>
        <v>8950.5</v>
      </c>
      <c r="P332" s="199">
        <v>52110</v>
      </c>
      <c r="Q332" s="174"/>
      <c r="R332" s="113">
        <f>(S332)+(IF(T332=0,0,IF(T332&lt;7,1/2,1)))</f>
        <v>10</v>
      </c>
      <c r="S332" s="113">
        <v>9</v>
      </c>
      <c r="T332" s="113">
        <v>8</v>
      </c>
      <c r="U332" s="113">
        <f>(W332*12)+X332</f>
        <v>204</v>
      </c>
      <c r="V332" s="187">
        <f>(W332)+(IF(X332=0,0,IF(X332&lt;6,1/2,1)))</f>
        <v>17</v>
      </c>
      <c r="W332" s="113">
        <v>17</v>
      </c>
      <c r="X332" s="113">
        <v>0</v>
      </c>
      <c r="Y332" s="160"/>
      <c r="Z332" s="161"/>
      <c r="AA332" s="162"/>
      <c r="AB332" s="163"/>
      <c r="AC332" s="203">
        <f>AD332+AE332+AF332</f>
        <v>590733</v>
      </c>
      <c r="AD332" s="178">
        <f>0.8*60*O332</f>
        <v>429624</v>
      </c>
      <c r="AE332" s="179">
        <f>1.5*O332*R332</f>
        <v>134257.5</v>
      </c>
      <c r="AF332" s="180">
        <f>3*O332</f>
        <v>26851.5</v>
      </c>
      <c r="AG332" s="165">
        <f>ROUND(Y332+Z332,0)</f>
        <v>0</v>
      </c>
      <c r="AH332" s="165">
        <f>ROUND(AC332,0)</f>
        <v>590733</v>
      </c>
      <c r="AI332" s="166"/>
      <c r="AJ332" s="167">
        <f>AG332+AH332+AI332</f>
        <v>590733</v>
      </c>
    </row>
    <row r="333" spans="1:36" s="132" customFormat="1" ht="39" customHeight="1" x14ac:dyDescent="0.25">
      <c r="A333" s="153">
        <v>2</v>
      </c>
      <c r="B333" s="201" t="s">
        <v>996</v>
      </c>
      <c r="C333" s="199">
        <v>28370</v>
      </c>
      <c r="D333" s="199" t="s">
        <v>104</v>
      </c>
      <c r="E333" s="202" t="s">
        <v>396</v>
      </c>
      <c r="F333" s="155">
        <v>4.0599999999999996</v>
      </c>
      <c r="G333" s="113"/>
      <c r="H333" s="113"/>
      <c r="I333" s="204">
        <v>0.20300000000000001</v>
      </c>
      <c r="J333" s="156"/>
      <c r="K333" s="157"/>
      <c r="L333" s="157"/>
      <c r="M333" s="157">
        <f>(F333+G333+H333+I333)*25%</f>
        <v>1.06575</v>
      </c>
      <c r="N333" s="157"/>
      <c r="O333" s="190">
        <f t="shared" si="244"/>
        <v>12469.274999999998</v>
      </c>
      <c r="P333" s="199">
        <v>51044</v>
      </c>
      <c r="Q333" s="174"/>
      <c r="R333" s="113">
        <f>(S333)+(IF(T333=0,0,IF(T333&lt;7,1/2,1)))</f>
        <v>25.5</v>
      </c>
      <c r="S333" s="113">
        <v>25</v>
      </c>
      <c r="T333" s="113">
        <v>5</v>
      </c>
      <c r="U333" s="113">
        <f>(W333*12)+X333</f>
        <v>169</v>
      </c>
      <c r="V333" s="187">
        <f>(W333)+(IF(X333=0,0,IF(X333&lt;6,1/2,1)))</f>
        <v>14.5</v>
      </c>
      <c r="W333" s="113">
        <v>14</v>
      </c>
      <c r="X333" s="113">
        <v>1</v>
      </c>
      <c r="Y333" s="160"/>
      <c r="Z333" s="161"/>
      <c r="AA333" s="162"/>
      <c r="AB333" s="163"/>
      <c r="AC333" s="203">
        <f>AD333+AE333+AF333</f>
        <v>1112882.79375</v>
      </c>
      <c r="AD333" s="178">
        <f>0.8*60*O333</f>
        <v>598525.19999999995</v>
      </c>
      <c r="AE333" s="179">
        <f>1.5*O333*R333</f>
        <v>476949.76874999999</v>
      </c>
      <c r="AF333" s="180">
        <f>3*O333</f>
        <v>37407.824999999997</v>
      </c>
      <c r="AG333" s="165">
        <f>ROUND(Y333+Z333,0)</f>
        <v>0</v>
      </c>
      <c r="AH333" s="165">
        <f>ROUND(AC333,0)</f>
        <v>1112883</v>
      </c>
      <c r="AI333" s="166"/>
      <c r="AJ333" s="167">
        <f>AG333+AH333+AI333</f>
        <v>1112883</v>
      </c>
    </row>
    <row r="334" spans="1:36" s="132" customFormat="1" ht="39" customHeight="1" x14ac:dyDescent="0.25">
      <c r="A334" s="153">
        <v>3</v>
      </c>
      <c r="B334" s="201" t="s">
        <v>997</v>
      </c>
      <c r="C334" s="199">
        <v>27298</v>
      </c>
      <c r="D334" s="199" t="s">
        <v>49</v>
      </c>
      <c r="E334" s="202" t="s">
        <v>998</v>
      </c>
      <c r="F334" s="155">
        <v>3</v>
      </c>
      <c r="G334" s="113"/>
      <c r="H334" s="113">
        <v>0.25</v>
      </c>
      <c r="I334" s="156"/>
      <c r="J334" s="156"/>
      <c r="K334" s="157"/>
      <c r="L334" s="157"/>
      <c r="M334" s="254">
        <f>(F334+G334+H334+I334)*25%</f>
        <v>0.8125</v>
      </c>
      <c r="N334" s="157"/>
      <c r="O334" s="190">
        <f t="shared" si="244"/>
        <v>9506.25</v>
      </c>
      <c r="P334" s="199">
        <v>49949</v>
      </c>
      <c r="Q334" s="174"/>
      <c r="R334" s="113">
        <f>(S334)+(IF(T334=0,0,IF(T334&lt;7,1/2,1)))</f>
        <v>19</v>
      </c>
      <c r="S334" s="113">
        <v>18</v>
      </c>
      <c r="T334" s="113">
        <v>10</v>
      </c>
      <c r="U334" s="113">
        <f>(W334*12)+X334</f>
        <v>133</v>
      </c>
      <c r="V334" s="187">
        <f>(W334)+(IF(X334=0,0,IF(X334&lt;6,1/2,1)))</f>
        <v>11.5</v>
      </c>
      <c r="W334" s="113">
        <v>11</v>
      </c>
      <c r="X334" s="113">
        <v>1</v>
      </c>
      <c r="Y334" s="160"/>
      <c r="Z334" s="161"/>
      <c r="AA334" s="162"/>
      <c r="AB334" s="163"/>
      <c r="AC334" s="203">
        <f>AD334+AE334+AF334</f>
        <v>755746.875</v>
      </c>
      <c r="AD334" s="178">
        <f>0.8*60*O334</f>
        <v>456300</v>
      </c>
      <c r="AE334" s="179">
        <f>1.5*O334*R334</f>
        <v>270928.125</v>
      </c>
      <c r="AF334" s="180">
        <f>3*O334</f>
        <v>28518.75</v>
      </c>
      <c r="AG334" s="165">
        <f>ROUND(Y334+Z334,0)</f>
        <v>0</v>
      </c>
      <c r="AH334" s="165">
        <f>ROUND(AC334,0)</f>
        <v>755747</v>
      </c>
      <c r="AI334" s="166"/>
      <c r="AJ334" s="167">
        <f>AG334+AH334+AI334</f>
        <v>755747</v>
      </c>
    </row>
    <row r="335" spans="1:36" s="119" customFormat="1" ht="36" customHeight="1" x14ac:dyDescent="0.25">
      <c r="A335" s="452">
        <v>4</v>
      </c>
      <c r="B335" s="453" t="s">
        <v>999</v>
      </c>
      <c r="C335" s="449">
        <v>29049</v>
      </c>
      <c r="D335" s="454" t="s">
        <v>104</v>
      </c>
      <c r="E335" s="455" t="s">
        <v>580</v>
      </c>
      <c r="F335" s="439">
        <v>3.26</v>
      </c>
      <c r="G335" s="456"/>
      <c r="H335" s="456"/>
      <c r="I335" s="457"/>
      <c r="J335" s="456">
        <v>0.55420000000000003</v>
      </c>
      <c r="K335" s="456"/>
      <c r="L335" s="458"/>
      <c r="M335" s="456">
        <f>(F335+G335+H335)*25%</f>
        <v>0.81499999999999995</v>
      </c>
      <c r="N335" s="459"/>
      <c r="O335" s="460">
        <f t="shared" si="244"/>
        <v>10832.327999999998</v>
      </c>
      <c r="P335" s="438">
        <v>51714</v>
      </c>
      <c r="Q335" s="461"/>
      <c r="R335" s="439">
        <f>(S335)+(IF(T335=0,0,IF(T335&lt;7,1/2,1)))</f>
        <v>14.5</v>
      </c>
      <c r="S335" s="439">
        <v>14</v>
      </c>
      <c r="T335" s="439">
        <v>1</v>
      </c>
      <c r="U335" s="439">
        <f>(W335*12)+X335</f>
        <v>191</v>
      </c>
      <c r="V335" s="462">
        <f>(W335)+(IF(X335=0,0,IF(X335&lt;6,1/2,1)))</f>
        <v>16</v>
      </c>
      <c r="W335" s="439">
        <v>15</v>
      </c>
      <c r="X335" s="439">
        <v>11</v>
      </c>
      <c r="Y335" s="463"/>
      <c r="Z335" s="464"/>
      <c r="AA335" s="465"/>
      <c r="AB335" s="465"/>
      <c r="AC335" s="466">
        <f>AD335+AE335+AF335</f>
        <v>788051.86199999973</v>
      </c>
      <c r="AD335" s="467">
        <f>0.8*60*O335</f>
        <v>519951.74399999989</v>
      </c>
      <c r="AE335" s="468">
        <f>1.5*O335*R335</f>
        <v>235603.13399999996</v>
      </c>
      <c r="AF335" s="469">
        <f>3*O335</f>
        <v>32496.983999999993</v>
      </c>
      <c r="AG335" s="470">
        <f>ROUND(Y335+Z335,0)</f>
        <v>0</v>
      </c>
      <c r="AH335" s="470">
        <f>ROUND(AC335,0)</f>
        <v>788052</v>
      </c>
      <c r="AI335" s="470"/>
      <c r="AJ335" s="471">
        <f>AG335+AH335+AI335</f>
        <v>788052</v>
      </c>
    </row>
    <row r="336" spans="1:36" ht="31.2" x14ac:dyDescent="0.25">
      <c r="A336" s="188">
        <v>57</v>
      </c>
      <c r="B336" s="239" t="s">
        <v>1000</v>
      </c>
      <c r="C336" s="153"/>
      <c r="D336" s="189"/>
      <c r="E336" s="153"/>
      <c r="F336" s="153"/>
      <c r="G336" s="113"/>
      <c r="H336" s="157"/>
      <c r="I336" s="157"/>
      <c r="J336" s="156"/>
      <c r="K336" s="113"/>
      <c r="L336" s="113"/>
      <c r="M336" s="157"/>
      <c r="N336" s="171"/>
      <c r="O336" s="190">
        <f t="shared" si="244"/>
        <v>0</v>
      </c>
      <c r="P336" s="472"/>
      <c r="Q336" s="153"/>
      <c r="R336" s="189"/>
      <c r="S336" s="189"/>
      <c r="T336" s="189"/>
      <c r="U336" s="113"/>
      <c r="V336" s="189"/>
      <c r="W336" s="189"/>
      <c r="X336" s="189"/>
      <c r="Y336" s="245">
        <f t="shared" ref="Y336:AJ336" si="286">SUM(Y337:Y346)</f>
        <v>1255462.416</v>
      </c>
      <c r="Z336" s="245">
        <f t="shared" si="286"/>
        <v>1010250.2475000001</v>
      </c>
      <c r="AA336" s="245">
        <f t="shared" si="286"/>
        <v>674086.14</v>
      </c>
      <c r="AB336" s="245">
        <f t="shared" si="286"/>
        <v>336164.10750000004</v>
      </c>
      <c r="AC336" s="245">
        <f t="shared" si="286"/>
        <v>6294548.8125</v>
      </c>
      <c r="AD336" s="245">
        <f t="shared" si="286"/>
        <v>3734808.48</v>
      </c>
      <c r="AE336" s="245">
        <f t="shared" si="286"/>
        <v>2326314.8025000002</v>
      </c>
      <c r="AF336" s="245">
        <f t="shared" si="286"/>
        <v>233425.53</v>
      </c>
      <c r="AG336" s="245">
        <f t="shared" si="286"/>
        <v>2265713</v>
      </c>
      <c r="AH336" s="245">
        <f t="shared" si="286"/>
        <v>6294550</v>
      </c>
      <c r="AI336" s="245">
        <f t="shared" si="286"/>
        <v>0</v>
      </c>
      <c r="AJ336" s="246">
        <f t="shared" si="286"/>
        <v>8560263</v>
      </c>
    </row>
    <row r="337" spans="1:36" ht="31.2" x14ac:dyDescent="0.25">
      <c r="A337" s="113">
        <v>1</v>
      </c>
      <c r="B337" s="111" t="s">
        <v>1001</v>
      </c>
      <c r="C337" s="112">
        <v>25829</v>
      </c>
      <c r="D337" s="113" t="s">
        <v>49</v>
      </c>
      <c r="E337" s="113" t="s">
        <v>1002</v>
      </c>
      <c r="F337" s="153">
        <v>4.9800000000000004</v>
      </c>
      <c r="G337" s="113"/>
      <c r="H337" s="157"/>
      <c r="I337" s="157"/>
      <c r="J337" s="156"/>
      <c r="K337" s="113"/>
      <c r="L337" s="113"/>
      <c r="M337" s="157"/>
      <c r="N337" s="171"/>
      <c r="O337" s="190">
        <f t="shared" si="244"/>
        <v>11653.2</v>
      </c>
      <c r="P337" s="112">
        <v>48488</v>
      </c>
      <c r="Q337" s="194">
        <v>45901</v>
      </c>
      <c r="R337" s="113">
        <f t="shared" ref="R337:R346" si="287">(S337)+(IF(T337=0,0,IF(T337&lt;7,1/2,1)))</f>
        <v>36.5</v>
      </c>
      <c r="S337" s="113">
        <v>36</v>
      </c>
      <c r="T337" s="113">
        <v>1</v>
      </c>
      <c r="U337" s="113">
        <f t="shared" ref="U337:U346" si="288">(W337*12)+X337</f>
        <v>85</v>
      </c>
      <c r="V337" s="187">
        <f t="shared" ref="V337:V346" si="289">(W337)+(IF(X337=0,0,IF(X337&lt;6,1/2,1)))</f>
        <v>7.5</v>
      </c>
      <c r="W337" s="113">
        <v>7</v>
      </c>
      <c r="X337" s="113">
        <v>1</v>
      </c>
      <c r="Y337" s="160">
        <f>0.9*60*O337</f>
        <v>629272.80000000005</v>
      </c>
      <c r="Z337" s="161">
        <f>SUM(AA337:AB337)</f>
        <v>521480.7</v>
      </c>
      <c r="AA337" s="162">
        <f>4*V337*O337</f>
        <v>349596</v>
      </c>
      <c r="AB337" s="163">
        <f>SUM(4*O337)+(0.5*O337*(R337-15))</f>
        <v>171884.7</v>
      </c>
      <c r="AC337" s="177">
        <f>AD337+AE337+AF337</f>
        <v>0</v>
      </c>
      <c r="AD337" s="178"/>
      <c r="AE337" s="179"/>
      <c r="AF337" s="180"/>
      <c r="AG337" s="165">
        <f t="shared" ref="AG337:AG346" si="290">ROUND(Y337+Z337,0)</f>
        <v>1150754</v>
      </c>
      <c r="AH337" s="196">
        <f t="shared" ref="AH337:AH346" si="291">ROUND(AC337,0)</f>
        <v>0</v>
      </c>
      <c r="AI337" s="162"/>
      <c r="AJ337" s="197">
        <f t="shared" ref="AJ337:AJ346" si="292">AG337+AH337+AI337</f>
        <v>1150754</v>
      </c>
    </row>
    <row r="338" spans="1:36" ht="31.2" x14ac:dyDescent="0.25">
      <c r="A338" s="113">
        <v>2</v>
      </c>
      <c r="B338" s="264" t="s">
        <v>1003</v>
      </c>
      <c r="C338" s="112">
        <v>27038</v>
      </c>
      <c r="D338" s="113" t="s">
        <v>104</v>
      </c>
      <c r="E338" s="113" t="s">
        <v>1002</v>
      </c>
      <c r="F338" s="153">
        <v>2.86</v>
      </c>
      <c r="G338" s="113"/>
      <c r="H338" s="157"/>
      <c r="I338" s="157"/>
      <c r="J338" s="156"/>
      <c r="K338" s="113"/>
      <c r="L338" s="113"/>
      <c r="M338" s="157"/>
      <c r="N338" s="171"/>
      <c r="O338" s="190">
        <f t="shared" si="244"/>
        <v>6692.4</v>
      </c>
      <c r="P338" s="112">
        <v>48731</v>
      </c>
      <c r="Q338" s="194">
        <v>45901</v>
      </c>
      <c r="R338" s="113">
        <f t="shared" si="287"/>
        <v>19</v>
      </c>
      <c r="S338" s="113">
        <v>18</v>
      </c>
      <c r="T338" s="113">
        <v>8</v>
      </c>
      <c r="U338" s="113">
        <f t="shared" si="288"/>
        <v>93</v>
      </c>
      <c r="V338" s="187">
        <f t="shared" si="289"/>
        <v>8</v>
      </c>
      <c r="W338" s="113">
        <v>7</v>
      </c>
      <c r="X338" s="113">
        <v>9</v>
      </c>
      <c r="Y338" s="160">
        <f>0.9*60*O338</f>
        <v>361389.6</v>
      </c>
      <c r="Z338" s="161">
        <f>SUM(AA338:AB338)</f>
        <v>254311.19999999998</v>
      </c>
      <c r="AA338" s="162">
        <f>4*V338*O338</f>
        <v>214156.79999999999</v>
      </c>
      <c r="AB338" s="163">
        <f>SUM(4*O338)+(0.5*O338*(R338-15))</f>
        <v>40154.399999999994</v>
      </c>
      <c r="AC338" s="177">
        <f>AD338+AE338+AF338</f>
        <v>0</v>
      </c>
      <c r="AD338" s="178"/>
      <c r="AE338" s="179"/>
      <c r="AF338" s="180"/>
      <c r="AG338" s="165">
        <f t="shared" si="290"/>
        <v>615701</v>
      </c>
      <c r="AH338" s="196">
        <f t="shared" si="291"/>
        <v>0</v>
      </c>
      <c r="AI338" s="162"/>
      <c r="AJ338" s="197">
        <f t="shared" si="292"/>
        <v>615701</v>
      </c>
    </row>
    <row r="339" spans="1:36" ht="31.2" x14ac:dyDescent="0.25">
      <c r="A339" s="113">
        <v>3</v>
      </c>
      <c r="B339" s="264" t="s">
        <v>1004</v>
      </c>
      <c r="C339" s="112">
        <v>24057</v>
      </c>
      <c r="D339" s="113" t="s">
        <v>1005</v>
      </c>
      <c r="E339" s="113" t="s">
        <v>1006</v>
      </c>
      <c r="F339" s="153">
        <v>4.03</v>
      </c>
      <c r="G339" s="113"/>
      <c r="H339" s="157"/>
      <c r="I339" s="157">
        <f>F339*17%</f>
        <v>0.68510000000000004</v>
      </c>
      <c r="J339" s="156"/>
      <c r="K339" s="113"/>
      <c r="L339" s="113"/>
      <c r="M339" s="157"/>
      <c r="N339" s="171"/>
      <c r="O339" s="190">
        <f t="shared" si="244"/>
        <v>11033.334000000001</v>
      </c>
      <c r="P339" s="112">
        <v>46631</v>
      </c>
      <c r="Q339" s="194">
        <v>45901</v>
      </c>
      <c r="R339" s="113">
        <f t="shared" si="287"/>
        <v>29.5</v>
      </c>
      <c r="S339" s="113">
        <v>29</v>
      </c>
      <c r="T339" s="113">
        <v>4</v>
      </c>
      <c r="U339" s="113">
        <f t="shared" si="288"/>
        <v>24</v>
      </c>
      <c r="V339" s="187">
        <f t="shared" si="289"/>
        <v>2</v>
      </c>
      <c r="W339" s="113">
        <v>2</v>
      </c>
      <c r="X339" s="113">
        <v>0</v>
      </c>
      <c r="Y339" s="160">
        <f>1*U339*O339</f>
        <v>264800.016</v>
      </c>
      <c r="Z339" s="161">
        <f>SUM(AA339:AB339)</f>
        <v>234458.34750000003</v>
      </c>
      <c r="AA339" s="162">
        <f>5*V339*O339</f>
        <v>110333.34000000001</v>
      </c>
      <c r="AB339" s="163">
        <f>SUM(4*O339)+(0.5*O339*(R339-15))</f>
        <v>124125.00750000001</v>
      </c>
      <c r="AC339" s="177">
        <f>AD339+AE339+AF339</f>
        <v>0</v>
      </c>
      <c r="AD339" s="178"/>
      <c r="AE339" s="179"/>
      <c r="AF339" s="180"/>
      <c r="AG339" s="165">
        <f t="shared" si="290"/>
        <v>499258</v>
      </c>
      <c r="AH339" s="196">
        <f t="shared" si="291"/>
        <v>0</v>
      </c>
      <c r="AI339" s="162"/>
      <c r="AJ339" s="197">
        <f t="shared" si="292"/>
        <v>499258</v>
      </c>
    </row>
    <row r="340" spans="1:36" ht="31.2" x14ac:dyDescent="0.25">
      <c r="A340" s="113">
        <v>4</v>
      </c>
      <c r="B340" s="111" t="s">
        <v>1007</v>
      </c>
      <c r="C340" s="112">
        <v>26980</v>
      </c>
      <c r="D340" s="113" t="s">
        <v>49</v>
      </c>
      <c r="E340" s="113" t="s">
        <v>396</v>
      </c>
      <c r="F340" s="153">
        <v>3.66</v>
      </c>
      <c r="G340" s="113"/>
      <c r="H340" s="157"/>
      <c r="I340" s="157"/>
      <c r="J340" s="156"/>
      <c r="K340" s="113"/>
      <c r="L340" s="113"/>
      <c r="M340" s="157">
        <f t="shared" ref="M340:M346" si="293">(F340+G340+H340+I340)*25%</f>
        <v>0.91500000000000004</v>
      </c>
      <c r="N340" s="171"/>
      <c r="O340" s="190">
        <f t="shared" si="244"/>
        <v>10705.5</v>
      </c>
      <c r="P340" s="169">
        <v>49644</v>
      </c>
      <c r="Q340" s="265" t="s">
        <v>129</v>
      </c>
      <c r="R340" s="113">
        <f t="shared" si="287"/>
        <v>18</v>
      </c>
      <c r="S340" s="113">
        <v>17</v>
      </c>
      <c r="T340" s="113">
        <v>9</v>
      </c>
      <c r="U340" s="113">
        <f t="shared" si="288"/>
        <v>123</v>
      </c>
      <c r="V340" s="187">
        <f t="shared" si="289"/>
        <v>10.5</v>
      </c>
      <c r="W340" s="113">
        <v>10</v>
      </c>
      <c r="X340" s="113">
        <v>3</v>
      </c>
      <c r="Y340" s="189"/>
      <c r="Z340" s="153"/>
      <c r="AA340" s="189"/>
      <c r="AB340" s="189"/>
      <c r="AC340" s="177">
        <f t="shared" ref="AC340:AC346" si="294">AD340+AE340+AF340</f>
        <v>835029</v>
      </c>
      <c r="AD340" s="178">
        <f t="shared" ref="AD340:AD346" si="295">0.8*60*O340</f>
        <v>513864</v>
      </c>
      <c r="AE340" s="179">
        <f t="shared" ref="AE340:AE346" si="296">1.5*O340*R340</f>
        <v>289048.5</v>
      </c>
      <c r="AF340" s="180">
        <f t="shared" ref="AF340:AF346" si="297">3*O340</f>
        <v>32116.5</v>
      </c>
      <c r="AG340" s="165">
        <f t="shared" si="290"/>
        <v>0</v>
      </c>
      <c r="AH340" s="196">
        <f t="shared" si="291"/>
        <v>835029</v>
      </c>
      <c r="AI340" s="162"/>
      <c r="AJ340" s="197">
        <f t="shared" si="292"/>
        <v>835029</v>
      </c>
    </row>
    <row r="341" spans="1:36" ht="31.2" x14ac:dyDescent="0.25">
      <c r="A341" s="113">
        <v>5</v>
      </c>
      <c r="B341" s="111" t="s">
        <v>1008</v>
      </c>
      <c r="C341" s="112">
        <v>30832</v>
      </c>
      <c r="D341" s="113" t="s">
        <v>49</v>
      </c>
      <c r="E341" s="113" t="s">
        <v>725</v>
      </c>
      <c r="F341" s="153">
        <v>3.66</v>
      </c>
      <c r="G341" s="113"/>
      <c r="H341" s="157"/>
      <c r="I341" s="157"/>
      <c r="J341" s="156"/>
      <c r="K341" s="113"/>
      <c r="L341" s="113"/>
      <c r="M341" s="157">
        <f t="shared" si="293"/>
        <v>0.91500000000000004</v>
      </c>
      <c r="N341" s="171"/>
      <c r="O341" s="190">
        <f t="shared" si="244"/>
        <v>10705.5</v>
      </c>
      <c r="P341" s="112">
        <v>52749</v>
      </c>
      <c r="Q341" s="194">
        <v>45901</v>
      </c>
      <c r="R341" s="113">
        <f t="shared" si="287"/>
        <v>20.5</v>
      </c>
      <c r="S341" s="113">
        <v>20</v>
      </c>
      <c r="T341" s="113">
        <v>3</v>
      </c>
      <c r="U341" s="113">
        <f t="shared" si="288"/>
        <v>225</v>
      </c>
      <c r="V341" s="187">
        <f t="shared" si="289"/>
        <v>19</v>
      </c>
      <c r="W341" s="113">
        <v>18</v>
      </c>
      <c r="X341" s="113">
        <v>9</v>
      </c>
      <c r="Y341" s="189"/>
      <c r="Z341" s="153"/>
      <c r="AA341" s="189"/>
      <c r="AB341" s="189"/>
      <c r="AC341" s="177">
        <f t="shared" si="294"/>
        <v>875174.625</v>
      </c>
      <c r="AD341" s="178">
        <f t="shared" si="295"/>
        <v>513864</v>
      </c>
      <c r="AE341" s="179">
        <f t="shared" si="296"/>
        <v>329194.125</v>
      </c>
      <c r="AF341" s="180">
        <f t="shared" si="297"/>
        <v>32116.5</v>
      </c>
      <c r="AG341" s="165">
        <f t="shared" si="290"/>
        <v>0</v>
      </c>
      <c r="AH341" s="196">
        <f t="shared" si="291"/>
        <v>875175</v>
      </c>
      <c r="AI341" s="162"/>
      <c r="AJ341" s="197">
        <f t="shared" si="292"/>
        <v>875175</v>
      </c>
    </row>
    <row r="342" spans="1:36" ht="31.2" x14ac:dyDescent="0.25">
      <c r="A342" s="113">
        <v>6</v>
      </c>
      <c r="B342" s="111" t="s">
        <v>1009</v>
      </c>
      <c r="C342" s="112">
        <v>27857</v>
      </c>
      <c r="D342" s="113" t="s">
        <v>49</v>
      </c>
      <c r="E342" s="113" t="s">
        <v>1010</v>
      </c>
      <c r="F342" s="153">
        <v>3.66</v>
      </c>
      <c r="G342" s="113"/>
      <c r="H342" s="157"/>
      <c r="I342" s="157"/>
      <c r="J342" s="156"/>
      <c r="K342" s="113"/>
      <c r="L342" s="113"/>
      <c r="M342" s="157">
        <f t="shared" si="293"/>
        <v>0.91500000000000004</v>
      </c>
      <c r="N342" s="171"/>
      <c r="O342" s="190">
        <f t="shared" si="244"/>
        <v>10705.5</v>
      </c>
      <c r="P342" s="112">
        <v>49796</v>
      </c>
      <c r="Q342" s="194">
        <v>45901</v>
      </c>
      <c r="R342" s="113">
        <f t="shared" si="287"/>
        <v>20.5</v>
      </c>
      <c r="S342" s="113">
        <v>20</v>
      </c>
      <c r="T342" s="113">
        <v>4</v>
      </c>
      <c r="U342" s="113">
        <f t="shared" si="288"/>
        <v>128</v>
      </c>
      <c r="V342" s="187">
        <f t="shared" si="289"/>
        <v>11</v>
      </c>
      <c r="W342" s="113">
        <v>10</v>
      </c>
      <c r="X342" s="113">
        <v>8</v>
      </c>
      <c r="Y342" s="189"/>
      <c r="Z342" s="153"/>
      <c r="AA342" s="189"/>
      <c r="AB342" s="189"/>
      <c r="AC342" s="177">
        <f t="shared" si="294"/>
        <v>875174.625</v>
      </c>
      <c r="AD342" s="178">
        <f t="shared" si="295"/>
        <v>513864</v>
      </c>
      <c r="AE342" s="179">
        <f t="shared" si="296"/>
        <v>329194.125</v>
      </c>
      <c r="AF342" s="180">
        <f t="shared" si="297"/>
        <v>32116.5</v>
      </c>
      <c r="AG342" s="165">
        <f t="shared" si="290"/>
        <v>0</v>
      </c>
      <c r="AH342" s="196">
        <f t="shared" si="291"/>
        <v>875175</v>
      </c>
      <c r="AI342" s="162"/>
      <c r="AJ342" s="197">
        <f t="shared" si="292"/>
        <v>875175</v>
      </c>
    </row>
    <row r="343" spans="1:36" ht="31.2" x14ac:dyDescent="0.25">
      <c r="A343" s="113">
        <v>7</v>
      </c>
      <c r="B343" s="111" t="s">
        <v>1011</v>
      </c>
      <c r="C343" s="112">
        <v>29821</v>
      </c>
      <c r="D343" s="113" t="s">
        <v>49</v>
      </c>
      <c r="E343" s="113" t="s">
        <v>1010</v>
      </c>
      <c r="F343" s="153">
        <v>4.32</v>
      </c>
      <c r="G343" s="113"/>
      <c r="H343" s="157"/>
      <c r="I343" s="157"/>
      <c r="J343" s="156"/>
      <c r="K343" s="113"/>
      <c r="L343" s="113"/>
      <c r="M343" s="157">
        <f t="shared" si="293"/>
        <v>1.08</v>
      </c>
      <c r="N343" s="171"/>
      <c r="O343" s="190">
        <f t="shared" si="244"/>
        <v>12636</v>
      </c>
      <c r="P343" s="112">
        <v>52475</v>
      </c>
      <c r="Q343" s="194">
        <v>45901</v>
      </c>
      <c r="R343" s="113">
        <f t="shared" si="287"/>
        <v>22</v>
      </c>
      <c r="S343" s="113">
        <v>21</v>
      </c>
      <c r="T343" s="113">
        <v>9</v>
      </c>
      <c r="U343" s="113">
        <f t="shared" si="288"/>
        <v>216</v>
      </c>
      <c r="V343" s="187">
        <f t="shared" si="289"/>
        <v>18</v>
      </c>
      <c r="W343" s="113">
        <v>18</v>
      </c>
      <c r="X343" s="113">
        <v>0</v>
      </c>
      <c r="Y343" s="189"/>
      <c r="Z343" s="153"/>
      <c r="AA343" s="189"/>
      <c r="AB343" s="189"/>
      <c r="AC343" s="177">
        <f t="shared" si="294"/>
        <v>1061424</v>
      </c>
      <c r="AD343" s="178">
        <f t="shared" si="295"/>
        <v>606528</v>
      </c>
      <c r="AE343" s="179">
        <f t="shared" si="296"/>
        <v>416988</v>
      </c>
      <c r="AF343" s="180">
        <f t="shared" si="297"/>
        <v>37908</v>
      </c>
      <c r="AG343" s="165">
        <f t="shared" si="290"/>
        <v>0</v>
      </c>
      <c r="AH343" s="196">
        <f t="shared" si="291"/>
        <v>1061424</v>
      </c>
      <c r="AI343" s="162"/>
      <c r="AJ343" s="197">
        <f t="shared" si="292"/>
        <v>1061424</v>
      </c>
    </row>
    <row r="344" spans="1:36" ht="31.2" x14ac:dyDescent="0.25">
      <c r="A344" s="113">
        <v>8</v>
      </c>
      <c r="B344" s="111" t="s">
        <v>1012</v>
      </c>
      <c r="C344" s="112">
        <v>27488</v>
      </c>
      <c r="D344" s="113" t="s">
        <v>49</v>
      </c>
      <c r="E344" s="113" t="s">
        <v>1010</v>
      </c>
      <c r="F344" s="153">
        <v>3.66</v>
      </c>
      <c r="G344" s="113"/>
      <c r="H344" s="157"/>
      <c r="I344" s="157"/>
      <c r="J344" s="156"/>
      <c r="K344" s="113"/>
      <c r="L344" s="113"/>
      <c r="M344" s="157">
        <f t="shared" si="293"/>
        <v>0.91500000000000004</v>
      </c>
      <c r="N344" s="171"/>
      <c r="O344" s="190">
        <f t="shared" si="244"/>
        <v>10705.5</v>
      </c>
      <c r="P344" s="112">
        <v>50161</v>
      </c>
      <c r="Q344" s="194">
        <v>45901</v>
      </c>
      <c r="R344" s="113">
        <f t="shared" si="287"/>
        <v>20.5</v>
      </c>
      <c r="S344" s="113">
        <v>20</v>
      </c>
      <c r="T344" s="113">
        <v>3</v>
      </c>
      <c r="U344" s="113">
        <f t="shared" si="288"/>
        <v>140</v>
      </c>
      <c r="V344" s="187">
        <f t="shared" si="289"/>
        <v>12</v>
      </c>
      <c r="W344" s="113">
        <v>11</v>
      </c>
      <c r="X344" s="113">
        <v>8</v>
      </c>
      <c r="Y344" s="189"/>
      <c r="Z344" s="153"/>
      <c r="AA344" s="189"/>
      <c r="AB344" s="189"/>
      <c r="AC344" s="177">
        <f t="shared" si="294"/>
        <v>875174.625</v>
      </c>
      <c r="AD344" s="178">
        <f t="shared" si="295"/>
        <v>513864</v>
      </c>
      <c r="AE344" s="179">
        <f t="shared" si="296"/>
        <v>329194.125</v>
      </c>
      <c r="AF344" s="180">
        <f t="shared" si="297"/>
        <v>32116.5</v>
      </c>
      <c r="AG344" s="165">
        <f t="shared" si="290"/>
        <v>0</v>
      </c>
      <c r="AH344" s="196">
        <f t="shared" si="291"/>
        <v>875175</v>
      </c>
      <c r="AI344" s="162"/>
      <c r="AJ344" s="197">
        <f t="shared" si="292"/>
        <v>875175</v>
      </c>
    </row>
    <row r="345" spans="1:36" ht="31.2" x14ac:dyDescent="0.25">
      <c r="A345" s="113">
        <v>9</v>
      </c>
      <c r="B345" s="111" t="s">
        <v>1013</v>
      </c>
      <c r="C345" s="112">
        <v>27662</v>
      </c>
      <c r="D345" s="113" t="s">
        <v>104</v>
      </c>
      <c r="E345" s="113" t="s">
        <v>396</v>
      </c>
      <c r="F345" s="153">
        <v>3.26</v>
      </c>
      <c r="G345" s="113"/>
      <c r="H345" s="157"/>
      <c r="I345" s="157"/>
      <c r="J345" s="157">
        <f>F345*15%</f>
        <v>0.48899999999999993</v>
      </c>
      <c r="K345" s="113"/>
      <c r="L345" s="113"/>
      <c r="M345" s="157">
        <f t="shared" si="293"/>
        <v>0.81499999999999995</v>
      </c>
      <c r="N345" s="171"/>
      <c r="O345" s="190">
        <f t="shared" si="244"/>
        <v>10679.76</v>
      </c>
      <c r="P345" s="169">
        <v>50314</v>
      </c>
      <c r="Q345" s="265" t="s">
        <v>129</v>
      </c>
      <c r="R345" s="113">
        <f t="shared" si="287"/>
        <v>16</v>
      </c>
      <c r="S345" s="113">
        <v>15</v>
      </c>
      <c r="T345" s="113">
        <v>11</v>
      </c>
      <c r="U345" s="113">
        <f t="shared" si="288"/>
        <v>145</v>
      </c>
      <c r="V345" s="187">
        <f t="shared" si="289"/>
        <v>12.5</v>
      </c>
      <c r="W345" s="113">
        <v>12</v>
      </c>
      <c r="X345" s="113">
        <v>1</v>
      </c>
      <c r="Y345" s="189"/>
      <c r="Z345" s="153"/>
      <c r="AA345" s="189"/>
      <c r="AB345" s="189"/>
      <c r="AC345" s="177">
        <f t="shared" si="294"/>
        <v>800982</v>
      </c>
      <c r="AD345" s="178">
        <f t="shared" si="295"/>
        <v>512628.47999999998</v>
      </c>
      <c r="AE345" s="179">
        <f t="shared" si="296"/>
        <v>256314.23999999999</v>
      </c>
      <c r="AF345" s="180">
        <f t="shared" si="297"/>
        <v>32039.279999999999</v>
      </c>
      <c r="AG345" s="165">
        <f t="shared" si="290"/>
        <v>0</v>
      </c>
      <c r="AH345" s="196">
        <f t="shared" si="291"/>
        <v>800982</v>
      </c>
      <c r="AI345" s="162"/>
      <c r="AJ345" s="197">
        <f t="shared" si="292"/>
        <v>800982</v>
      </c>
    </row>
    <row r="346" spans="1:36" ht="31.2" x14ac:dyDescent="0.25">
      <c r="A346" s="113">
        <v>10</v>
      </c>
      <c r="B346" s="111" t="s">
        <v>1014</v>
      </c>
      <c r="C346" s="112">
        <v>28070</v>
      </c>
      <c r="D346" s="113" t="s">
        <v>49</v>
      </c>
      <c r="E346" s="113" t="s">
        <v>396</v>
      </c>
      <c r="F346" s="153">
        <v>3.99</v>
      </c>
      <c r="G346" s="113"/>
      <c r="H346" s="157"/>
      <c r="I346" s="157"/>
      <c r="J346" s="156"/>
      <c r="K346" s="113"/>
      <c r="L346" s="113"/>
      <c r="M346" s="157">
        <f t="shared" si="293"/>
        <v>0.99750000000000005</v>
      </c>
      <c r="N346" s="171"/>
      <c r="O346" s="190">
        <f t="shared" si="244"/>
        <v>11670.750000000002</v>
      </c>
      <c r="P346" s="169" t="s">
        <v>1015</v>
      </c>
      <c r="Q346" s="194">
        <v>45901</v>
      </c>
      <c r="R346" s="113">
        <f t="shared" si="287"/>
        <v>21.5</v>
      </c>
      <c r="S346" s="113">
        <v>21</v>
      </c>
      <c r="T346" s="113">
        <v>2</v>
      </c>
      <c r="U346" s="113">
        <f t="shared" si="288"/>
        <v>135</v>
      </c>
      <c r="V346" s="187">
        <f t="shared" si="289"/>
        <v>11.5</v>
      </c>
      <c r="W346" s="113">
        <v>11</v>
      </c>
      <c r="X346" s="113">
        <v>3</v>
      </c>
      <c r="Y346" s="189"/>
      <c r="Z346" s="153"/>
      <c r="AA346" s="189"/>
      <c r="AB346" s="189"/>
      <c r="AC346" s="177">
        <f t="shared" si="294"/>
        <v>971589.93750000023</v>
      </c>
      <c r="AD346" s="178">
        <f t="shared" si="295"/>
        <v>560196.00000000012</v>
      </c>
      <c r="AE346" s="179">
        <f t="shared" si="296"/>
        <v>376381.68750000006</v>
      </c>
      <c r="AF346" s="180">
        <f t="shared" si="297"/>
        <v>35012.250000000007</v>
      </c>
      <c r="AG346" s="165">
        <f t="shared" si="290"/>
        <v>0</v>
      </c>
      <c r="AH346" s="196">
        <f t="shared" si="291"/>
        <v>971590</v>
      </c>
      <c r="AI346" s="162"/>
      <c r="AJ346" s="197">
        <f t="shared" si="292"/>
        <v>971590</v>
      </c>
    </row>
    <row r="347" spans="1:36" s="146" customFormat="1" ht="37.5" customHeight="1" x14ac:dyDescent="0.25">
      <c r="A347" s="181">
        <v>58</v>
      </c>
      <c r="B347" s="181" t="s">
        <v>1016</v>
      </c>
      <c r="C347" s="183"/>
      <c r="D347" s="183"/>
      <c r="E347" s="183"/>
      <c r="F347" s="185"/>
      <c r="G347" s="183"/>
      <c r="H347" s="183"/>
      <c r="I347" s="183"/>
      <c r="J347" s="185"/>
      <c r="K347" s="183"/>
      <c r="L347" s="183"/>
      <c r="M347" s="185"/>
      <c r="N347" s="185"/>
      <c r="O347" s="190">
        <f t="shared" ref="O347:O394" si="298">SUM(F347:N347)*2340</f>
        <v>0</v>
      </c>
      <c r="P347" s="183"/>
      <c r="Q347" s="185"/>
      <c r="R347" s="183"/>
      <c r="S347" s="183"/>
      <c r="T347" s="185"/>
      <c r="U347" s="183"/>
      <c r="V347" s="183"/>
      <c r="W347" s="183"/>
      <c r="X347" s="183"/>
      <c r="Y347" s="181">
        <f>SUM(Y348:Y349)</f>
        <v>0</v>
      </c>
      <c r="Z347" s="181">
        <f t="shared" ref="Z347:AJ347" si="299">SUM(Z348:Z349)</f>
        <v>0</v>
      </c>
      <c r="AA347" s="181">
        <f t="shared" si="299"/>
        <v>0</v>
      </c>
      <c r="AB347" s="181">
        <f t="shared" si="299"/>
        <v>0</v>
      </c>
      <c r="AC347" s="181">
        <f t="shared" si="299"/>
        <v>2081644.2854999998</v>
      </c>
      <c r="AD347" s="181">
        <f t="shared" si="299"/>
        <v>1204710.6239999998</v>
      </c>
      <c r="AE347" s="181">
        <f t="shared" si="299"/>
        <v>801639.24750000006</v>
      </c>
      <c r="AF347" s="181">
        <f t="shared" si="299"/>
        <v>75294.41399999999</v>
      </c>
      <c r="AG347" s="181">
        <f t="shared" si="299"/>
        <v>0</v>
      </c>
      <c r="AH347" s="181">
        <f t="shared" si="299"/>
        <v>2081645</v>
      </c>
      <c r="AI347" s="181">
        <f t="shared" si="299"/>
        <v>0</v>
      </c>
      <c r="AJ347" s="186">
        <f t="shared" si="299"/>
        <v>2081645</v>
      </c>
    </row>
    <row r="348" spans="1:36" s="132" customFormat="1" ht="39" customHeight="1" x14ac:dyDescent="0.25">
      <c r="A348" s="153">
        <v>1</v>
      </c>
      <c r="B348" s="154" t="s">
        <v>1017</v>
      </c>
      <c r="C348" s="169">
        <v>28156</v>
      </c>
      <c r="D348" s="243" t="s">
        <v>1018</v>
      </c>
      <c r="E348" s="243" t="s">
        <v>655</v>
      </c>
      <c r="F348" s="155">
        <v>4.6500000000000004</v>
      </c>
      <c r="G348" s="113"/>
      <c r="H348" s="113"/>
      <c r="I348" s="156"/>
      <c r="J348" s="156"/>
      <c r="K348" s="157"/>
      <c r="L348" s="157"/>
      <c r="M348" s="157">
        <f>(F348+G348+H348+I348)*25%</f>
        <v>1.1625000000000001</v>
      </c>
      <c r="N348" s="157"/>
      <c r="O348" s="190">
        <f t="shared" si="298"/>
        <v>13601.25</v>
      </c>
      <c r="P348" s="112">
        <v>50072</v>
      </c>
      <c r="Q348" s="112"/>
      <c r="R348" s="113">
        <f>(S348)+(IF(T348=0,0,IF(T348&lt;7,1/2,1)))</f>
        <v>24.5</v>
      </c>
      <c r="S348" s="113">
        <v>24</v>
      </c>
      <c r="T348" s="113">
        <v>3</v>
      </c>
      <c r="U348" s="113">
        <f>(W348*12)+X348</f>
        <v>137</v>
      </c>
      <c r="V348" s="159">
        <f>(W348)+(IF(X348=0,0,IF(X348&lt;7,1/2,1)))</f>
        <v>11.5</v>
      </c>
      <c r="W348" s="113">
        <v>11</v>
      </c>
      <c r="X348" s="113">
        <v>5</v>
      </c>
      <c r="Y348" s="160"/>
      <c r="Z348" s="161"/>
      <c r="AA348" s="162"/>
      <c r="AB348" s="163"/>
      <c r="AC348" s="177">
        <f>AD348+AE348+AF348</f>
        <v>1193509.6875</v>
      </c>
      <c r="AD348" s="178">
        <f>0.8*60*O348</f>
        <v>652860</v>
      </c>
      <c r="AE348" s="179">
        <f>1.5*O348*R348</f>
        <v>499845.9375</v>
      </c>
      <c r="AF348" s="180">
        <f>3*O348</f>
        <v>40803.75</v>
      </c>
      <c r="AG348" s="165">
        <f>ROUND(Y348+Z348,0)</f>
        <v>0</v>
      </c>
      <c r="AH348" s="165">
        <f>ROUND(AC348,0)</f>
        <v>1193510</v>
      </c>
      <c r="AI348" s="166"/>
      <c r="AJ348" s="167">
        <f>AG348+AH348+AI348</f>
        <v>1193510</v>
      </c>
    </row>
    <row r="349" spans="1:36" s="119" customFormat="1" ht="39" customHeight="1" x14ac:dyDescent="0.25">
      <c r="A349" s="153">
        <v>2</v>
      </c>
      <c r="B349" s="168" t="s">
        <v>1019</v>
      </c>
      <c r="C349" s="169">
        <v>30239</v>
      </c>
      <c r="D349" s="243" t="s">
        <v>1020</v>
      </c>
      <c r="E349" s="442" t="s">
        <v>1021</v>
      </c>
      <c r="F349" s="113">
        <v>3.46</v>
      </c>
      <c r="G349" s="157"/>
      <c r="H349" s="157"/>
      <c r="I349" s="156"/>
      <c r="J349" s="267">
        <f>F349*17%</f>
        <v>0.58820000000000006</v>
      </c>
      <c r="K349" s="157"/>
      <c r="L349" s="171"/>
      <c r="M349" s="157">
        <f>(F349+G349+H349)*25%</f>
        <v>0.86499999999999999</v>
      </c>
      <c r="N349" s="172"/>
      <c r="O349" s="190">
        <f t="shared" si="298"/>
        <v>11496.887999999999</v>
      </c>
      <c r="P349" s="112">
        <v>52902</v>
      </c>
      <c r="Q349" s="174"/>
      <c r="R349" s="113">
        <f>(S349)+(IF(T349=0,0,IF(T349&lt;7,1/2,1)))</f>
        <v>17.5</v>
      </c>
      <c r="S349" s="113">
        <v>17</v>
      </c>
      <c r="T349" s="113">
        <v>5</v>
      </c>
      <c r="U349" s="113">
        <f>(W349*12)+X349</f>
        <v>230</v>
      </c>
      <c r="V349" s="175">
        <f>(W349)+(IF(X349=0,0,IF(X349&lt;6,1/2,1)))</f>
        <v>19.5</v>
      </c>
      <c r="W349" s="113">
        <v>19</v>
      </c>
      <c r="X349" s="113">
        <v>2</v>
      </c>
      <c r="Y349" s="160"/>
      <c r="Z349" s="161"/>
      <c r="AA349" s="176"/>
      <c r="AB349" s="176"/>
      <c r="AC349" s="203">
        <f>AD349+AE349+AF349</f>
        <v>888134.59799999988</v>
      </c>
      <c r="AD349" s="178">
        <f>0.8*60*O349</f>
        <v>551850.62399999995</v>
      </c>
      <c r="AE349" s="179">
        <f>1.5*O349*R349</f>
        <v>301793.31</v>
      </c>
      <c r="AF349" s="180">
        <f>3*O349</f>
        <v>34490.663999999997</v>
      </c>
      <c r="AG349" s="165">
        <f>ROUND(Y349+Z349,0)</f>
        <v>0</v>
      </c>
      <c r="AH349" s="165">
        <f>ROUND(AC349,0)</f>
        <v>888135</v>
      </c>
      <c r="AI349" s="165"/>
      <c r="AJ349" s="167">
        <f>AG349+AH349+AI349</f>
        <v>888135</v>
      </c>
    </row>
    <row r="350" spans="1:36" s="146" customFormat="1" ht="32.25" customHeight="1" x14ac:dyDescent="0.25">
      <c r="A350" s="181">
        <v>59</v>
      </c>
      <c r="B350" s="181" t="s">
        <v>1022</v>
      </c>
      <c r="C350" s="183"/>
      <c r="D350" s="183"/>
      <c r="E350" s="183"/>
      <c r="F350" s="185"/>
      <c r="G350" s="183"/>
      <c r="H350" s="183"/>
      <c r="I350" s="183"/>
      <c r="J350" s="185"/>
      <c r="K350" s="183"/>
      <c r="L350" s="183"/>
      <c r="M350" s="185"/>
      <c r="N350" s="185"/>
      <c r="O350" s="190">
        <f t="shared" si="298"/>
        <v>0</v>
      </c>
      <c r="P350" s="183"/>
      <c r="Q350" s="185"/>
      <c r="R350" s="183"/>
      <c r="S350" s="183"/>
      <c r="T350" s="185"/>
      <c r="U350" s="183"/>
      <c r="V350" s="183"/>
      <c r="W350" s="183"/>
      <c r="X350" s="183"/>
      <c r="Y350" s="181">
        <f>SUM(Y351:Y354)</f>
        <v>1773778.5</v>
      </c>
      <c r="Z350" s="181">
        <f t="shared" ref="Z350:AJ350" si="300">SUM(Z351:Z354)</f>
        <v>1556823.9375</v>
      </c>
      <c r="AA350" s="181">
        <f t="shared" si="300"/>
        <v>1222416</v>
      </c>
      <c r="AB350" s="181">
        <f t="shared" si="300"/>
        <v>334407.9375</v>
      </c>
      <c r="AC350" s="181">
        <f t="shared" si="300"/>
        <v>962836.87500000023</v>
      </c>
      <c r="AD350" s="181">
        <f t="shared" si="300"/>
        <v>560196.00000000012</v>
      </c>
      <c r="AE350" s="181">
        <f t="shared" si="300"/>
        <v>367628.62500000006</v>
      </c>
      <c r="AF350" s="181">
        <f t="shared" si="300"/>
        <v>35012.250000000007</v>
      </c>
      <c r="AG350" s="181">
        <f t="shared" si="300"/>
        <v>3330602</v>
      </c>
      <c r="AH350" s="181">
        <f t="shared" si="300"/>
        <v>962837</v>
      </c>
      <c r="AI350" s="181">
        <f t="shared" si="300"/>
        <v>0</v>
      </c>
      <c r="AJ350" s="186">
        <f t="shared" si="300"/>
        <v>4293439</v>
      </c>
    </row>
    <row r="351" spans="1:36" s="119" customFormat="1" ht="39" customHeight="1" x14ac:dyDescent="0.25">
      <c r="A351" s="153">
        <v>1</v>
      </c>
      <c r="B351" s="168" t="s">
        <v>1023</v>
      </c>
      <c r="C351" s="169">
        <v>26047</v>
      </c>
      <c r="D351" s="112" t="s">
        <v>49</v>
      </c>
      <c r="E351" s="423" t="s">
        <v>1024</v>
      </c>
      <c r="F351" s="113">
        <v>3.66</v>
      </c>
      <c r="G351" s="157"/>
      <c r="H351" s="157">
        <v>0.25</v>
      </c>
      <c r="I351" s="156"/>
      <c r="J351" s="156"/>
      <c r="K351" s="157"/>
      <c r="L351" s="171"/>
      <c r="M351" s="157">
        <f>(F351+G351+H351)*25%</f>
        <v>0.97750000000000004</v>
      </c>
      <c r="N351" s="172"/>
      <c r="O351" s="190">
        <f t="shared" si="298"/>
        <v>11436.75</v>
      </c>
      <c r="P351" s="112">
        <v>48700</v>
      </c>
      <c r="Q351" s="174">
        <v>45901</v>
      </c>
      <c r="R351" s="113">
        <f>(S351)+(IF(T351=0,0,IF(T351&lt;7,1/2,1)))</f>
        <v>30.5</v>
      </c>
      <c r="S351" s="113">
        <v>30</v>
      </c>
      <c r="T351" s="113">
        <v>2</v>
      </c>
      <c r="U351" s="113">
        <f>(W351*12)+X351</f>
        <v>92</v>
      </c>
      <c r="V351" s="187">
        <f>(W351)+(IF(X351=0,0,IF(X351&lt;6,1/2,1)))</f>
        <v>8</v>
      </c>
      <c r="W351" s="113">
        <v>7</v>
      </c>
      <c r="X351" s="113">
        <v>8</v>
      </c>
      <c r="Y351" s="252">
        <f>0.9*60*O351</f>
        <v>617584.5</v>
      </c>
      <c r="Z351" s="161">
        <f>SUM(AA351:AB351)</f>
        <v>500357.8125</v>
      </c>
      <c r="AA351" s="162">
        <f>4*V351*O351</f>
        <v>365976</v>
      </c>
      <c r="AB351" s="163">
        <f>SUM(4*O351)+(0.5*(R351-15)*O351)</f>
        <v>134381.8125</v>
      </c>
      <c r="AC351" s="164"/>
      <c r="AD351" s="178"/>
      <c r="AE351" s="179"/>
      <c r="AF351" s="180"/>
      <c r="AG351" s="165">
        <f>ROUND(Y351+Z351,0)</f>
        <v>1117942</v>
      </c>
      <c r="AH351" s="165">
        <f>ROUND(AC351,0)</f>
        <v>0</v>
      </c>
      <c r="AI351" s="165"/>
      <c r="AJ351" s="167">
        <f>AG351+AH351+AI351</f>
        <v>1117942</v>
      </c>
    </row>
    <row r="352" spans="1:36" s="119" customFormat="1" ht="39" customHeight="1" x14ac:dyDescent="0.25">
      <c r="A352" s="153">
        <v>2</v>
      </c>
      <c r="B352" s="168" t="s">
        <v>1025</v>
      </c>
      <c r="C352" s="169">
        <v>26843</v>
      </c>
      <c r="D352" s="112" t="s">
        <v>49</v>
      </c>
      <c r="E352" s="442" t="s">
        <v>427</v>
      </c>
      <c r="F352" s="113">
        <v>3.33</v>
      </c>
      <c r="G352" s="157"/>
      <c r="H352" s="157"/>
      <c r="I352" s="156"/>
      <c r="J352" s="156"/>
      <c r="K352" s="157"/>
      <c r="L352" s="171"/>
      <c r="M352" s="157">
        <f>(F352+G352+H352)*25%</f>
        <v>0.83250000000000002</v>
      </c>
      <c r="N352" s="172"/>
      <c r="O352" s="190">
        <f t="shared" si="298"/>
        <v>9740.25</v>
      </c>
      <c r="P352" s="112">
        <v>49491</v>
      </c>
      <c r="Q352" s="174">
        <v>45901</v>
      </c>
      <c r="R352" s="113">
        <f>(S352)+(IF(T352=0,0,IF(T352&lt;7,1/2,1)))</f>
        <v>29.5</v>
      </c>
      <c r="S352" s="113">
        <v>29</v>
      </c>
      <c r="T352" s="113">
        <v>1</v>
      </c>
      <c r="U352" s="113">
        <f>(W352*12)+X352</f>
        <v>118</v>
      </c>
      <c r="V352" s="187">
        <f>(W352)+(IF(X352=0,0,IF(X352&lt;6,1/2,1)))</f>
        <v>10</v>
      </c>
      <c r="W352" s="113">
        <v>9</v>
      </c>
      <c r="X352" s="113">
        <v>10</v>
      </c>
      <c r="Y352" s="252">
        <f>0.9*60*O352</f>
        <v>525973.5</v>
      </c>
      <c r="Z352" s="161">
        <f>SUM(AA352:AB352)</f>
        <v>499187.8125</v>
      </c>
      <c r="AA352" s="162">
        <f>4*V352*O352</f>
        <v>389610</v>
      </c>
      <c r="AB352" s="163">
        <f>SUM(4*O352)+(0.5*(R352-15)*O352)</f>
        <v>109577.8125</v>
      </c>
      <c r="AC352" s="203"/>
      <c r="AD352" s="178"/>
      <c r="AE352" s="179"/>
      <c r="AF352" s="180"/>
      <c r="AG352" s="165">
        <f>ROUND(Y352+Z352,0)</f>
        <v>1025161</v>
      </c>
      <c r="AH352" s="165">
        <f>ROUND(AC352,0)</f>
        <v>0</v>
      </c>
      <c r="AI352" s="165"/>
      <c r="AJ352" s="167">
        <f>AG352+AH352+AI352</f>
        <v>1025161</v>
      </c>
    </row>
    <row r="353" spans="1:36" s="119" customFormat="1" ht="39" customHeight="1" x14ac:dyDescent="0.25">
      <c r="A353" s="153">
        <v>3</v>
      </c>
      <c r="B353" s="168" t="s">
        <v>1026</v>
      </c>
      <c r="C353" s="169">
        <v>26753</v>
      </c>
      <c r="D353" s="112" t="s">
        <v>49</v>
      </c>
      <c r="E353" s="423" t="s">
        <v>396</v>
      </c>
      <c r="F353" s="113">
        <v>3.99</v>
      </c>
      <c r="G353" s="157"/>
      <c r="H353" s="157"/>
      <c r="I353" s="156"/>
      <c r="J353" s="156"/>
      <c r="K353" s="157"/>
      <c r="L353" s="171"/>
      <c r="M353" s="157">
        <f>(F353+G353+H353)*25%</f>
        <v>0.99750000000000005</v>
      </c>
      <c r="N353" s="172"/>
      <c r="O353" s="190">
        <f t="shared" si="298"/>
        <v>11670.750000000002</v>
      </c>
      <c r="P353" s="112">
        <v>49400</v>
      </c>
      <c r="Q353" s="174">
        <v>45901</v>
      </c>
      <c r="R353" s="113">
        <f>(S353)+(IF(T353=0,0,IF(T353&lt;7,1/2,1)))</f>
        <v>22.5</v>
      </c>
      <c r="S353" s="113">
        <v>22</v>
      </c>
      <c r="T353" s="113">
        <v>2</v>
      </c>
      <c r="U353" s="113">
        <f>(W353*12)+X353</f>
        <v>115</v>
      </c>
      <c r="V353" s="187">
        <f>(W353)+(IF(X353=0,0,IF(X353&lt;6,1/2,1)))</f>
        <v>10</v>
      </c>
      <c r="W353" s="113">
        <v>9</v>
      </c>
      <c r="X353" s="113">
        <v>7</v>
      </c>
      <c r="Y353" s="252">
        <f>0.9*60*O353</f>
        <v>630220.50000000012</v>
      </c>
      <c r="Z353" s="161">
        <f>SUM(AA353:AB353)</f>
        <v>557278.31250000012</v>
      </c>
      <c r="AA353" s="162">
        <f>4*V353*O353</f>
        <v>466830.00000000006</v>
      </c>
      <c r="AB353" s="163">
        <f>SUM(4*O353)+(0.5*(R353-15)*O353)</f>
        <v>90448.312500000015</v>
      </c>
      <c r="AC353" s="177"/>
      <c r="AD353" s="178"/>
      <c r="AE353" s="179"/>
      <c r="AF353" s="180"/>
      <c r="AG353" s="165">
        <f>ROUND(Y353+Z353,0)</f>
        <v>1187499</v>
      </c>
      <c r="AH353" s="165">
        <f>ROUND(AC353,0)</f>
        <v>0</v>
      </c>
      <c r="AI353" s="165"/>
      <c r="AJ353" s="167">
        <f>AG353+AH353+AI353</f>
        <v>1187499</v>
      </c>
    </row>
    <row r="354" spans="1:36" s="119" customFormat="1" ht="39" customHeight="1" x14ac:dyDescent="0.25">
      <c r="A354" s="153">
        <v>4</v>
      </c>
      <c r="B354" s="168" t="s">
        <v>1027</v>
      </c>
      <c r="C354" s="169">
        <v>29038</v>
      </c>
      <c r="D354" s="112" t="s">
        <v>49</v>
      </c>
      <c r="E354" s="423" t="s">
        <v>1028</v>
      </c>
      <c r="F354" s="113">
        <v>3.99</v>
      </c>
      <c r="G354" s="157"/>
      <c r="H354" s="157"/>
      <c r="I354" s="156"/>
      <c r="J354" s="156"/>
      <c r="K354" s="157"/>
      <c r="L354" s="171"/>
      <c r="M354" s="157">
        <f>(F354+G354+H354)*25%</f>
        <v>0.99750000000000005</v>
      </c>
      <c r="N354" s="172"/>
      <c r="O354" s="190">
        <f t="shared" si="298"/>
        <v>11670.750000000002</v>
      </c>
      <c r="P354" s="112">
        <v>50983</v>
      </c>
      <c r="Q354" s="174">
        <v>45901</v>
      </c>
      <c r="R354" s="113">
        <f>(S354)+(IF(T354=0,0,IF(T354&lt;7,1/2,1)))</f>
        <v>21</v>
      </c>
      <c r="S354" s="113">
        <v>21</v>
      </c>
      <c r="T354" s="113">
        <v>0</v>
      </c>
      <c r="U354" s="113">
        <f>(W354*12)+X354</f>
        <v>167</v>
      </c>
      <c r="V354" s="187">
        <f>(W354)+(IF(X354=0,0,IF(X354&lt;6,1/2,1)))</f>
        <v>14</v>
      </c>
      <c r="W354" s="113">
        <v>13</v>
      </c>
      <c r="X354" s="113">
        <v>11</v>
      </c>
      <c r="Y354" s="160"/>
      <c r="Z354" s="161"/>
      <c r="AA354" s="176"/>
      <c r="AB354" s="176"/>
      <c r="AC354" s="165">
        <f>AD354+AE354+AF354</f>
        <v>962836.87500000023</v>
      </c>
      <c r="AD354" s="178">
        <f>0.8*60*O354</f>
        <v>560196.00000000012</v>
      </c>
      <c r="AE354" s="179">
        <f>1.5*O354*R354</f>
        <v>367628.62500000006</v>
      </c>
      <c r="AF354" s="180">
        <f>3*O354</f>
        <v>35012.250000000007</v>
      </c>
      <c r="AG354" s="165"/>
      <c r="AH354" s="165">
        <f>ROUND(AC354,0)</f>
        <v>962837</v>
      </c>
      <c r="AI354" s="165"/>
      <c r="AJ354" s="167">
        <f>AG354+AH354+AI354</f>
        <v>962837</v>
      </c>
    </row>
    <row r="355" spans="1:36" s="119" customFormat="1" ht="39" customHeight="1" x14ac:dyDescent="0.25">
      <c r="A355" s="206">
        <v>60</v>
      </c>
      <c r="B355" s="249" t="s">
        <v>1029</v>
      </c>
      <c r="C355" s="169"/>
      <c r="D355" s="112"/>
      <c r="E355" s="423"/>
      <c r="F355" s="113"/>
      <c r="G355" s="157"/>
      <c r="H355" s="157"/>
      <c r="I355" s="156"/>
      <c r="J355" s="156"/>
      <c r="K355" s="157"/>
      <c r="L355" s="171"/>
      <c r="M355" s="157"/>
      <c r="N355" s="172"/>
      <c r="O355" s="190">
        <f t="shared" si="298"/>
        <v>0</v>
      </c>
      <c r="P355" s="112"/>
      <c r="Q355" s="174"/>
      <c r="R355" s="113"/>
      <c r="S355" s="113"/>
      <c r="T355" s="113"/>
      <c r="U355" s="113"/>
      <c r="V355" s="187"/>
      <c r="W355" s="113"/>
      <c r="X355" s="113"/>
      <c r="Y355" s="210">
        <f t="shared" ref="Y355:AJ355" si="301">SUM(Y356:Y358)</f>
        <v>669708.00000000012</v>
      </c>
      <c r="Z355" s="210">
        <f t="shared" si="301"/>
        <v>551889.00000000012</v>
      </c>
      <c r="AA355" s="210">
        <f t="shared" si="301"/>
        <v>396864.00000000006</v>
      </c>
      <c r="AB355" s="210">
        <f t="shared" si="301"/>
        <v>155025.00000000003</v>
      </c>
      <c r="AC355" s="210">
        <f t="shared" si="301"/>
        <v>1456211.25</v>
      </c>
      <c r="AD355" s="210">
        <f t="shared" si="301"/>
        <v>970164</v>
      </c>
      <c r="AE355" s="210">
        <f t="shared" si="301"/>
        <v>425412</v>
      </c>
      <c r="AF355" s="210">
        <f t="shared" si="301"/>
        <v>60635.25</v>
      </c>
      <c r="AG355" s="210">
        <f t="shared" si="301"/>
        <v>1221597</v>
      </c>
      <c r="AH355" s="210">
        <f t="shared" si="301"/>
        <v>1456211</v>
      </c>
      <c r="AI355" s="210">
        <f t="shared" si="301"/>
        <v>0</v>
      </c>
      <c r="AJ355" s="211">
        <f t="shared" si="301"/>
        <v>2677808</v>
      </c>
    </row>
    <row r="356" spans="1:36" s="119" customFormat="1" ht="39" customHeight="1" x14ac:dyDescent="0.25">
      <c r="A356" s="153">
        <v>1</v>
      </c>
      <c r="B356" s="168" t="s">
        <v>1030</v>
      </c>
      <c r="C356" s="169">
        <v>25993</v>
      </c>
      <c r="D356" s="112" t="s">
        <v>1031</v>
      </c>
      <c r="E356" s="423" t="s">
        <v>894</v>
      </c>
      <c r="F356" s="113">
        <v>3.99</v>
      </c>
      <c r="G356" s="157"/>
      <c r="H356" s="157">
        <v>0.25</v>
      </c>
      <c r="I356" s="156"/>
      <c r="J356" s="156"/>
      <c r="K356" s="157"/>
      <c r="L356" s="171"/>
      <c r="M356" s="157">
        <f>(F356+G356+H356)*25%</f>
        <v>1.06</v>
      </c>
      <c r="N356" s="172"/>
      <c r="O356" s="190">
        <f t="shared" si="298"/>
        <v>12402.000000000002</v>
      </c>
      <c r="P356" s="112">
        <v>48670</v>
      </c>
      <c r="Q356" s="174">
        <v>45901</v>
      </c>
      <c r="R356" s="113">
        <f>(S356)+(IF(T356=0,0,IF(T356&lt;7,1/2,1)))</f>
        <v>32</v>
      </c>
      <c r="S356" s="113">
        <v>31</v>
      </c>
      <c r="T356" s="113">
        <v>8</v>
      </c>
      <c r="U356" s="113">
        <f>(W356*12)+X356</f>
        <v>91</v>
      </c>
      <c r="V356" s="187">
        <f>(W356)+(IF(X356=0,0,IF(X356&lt;6,1/2,1)))</f>
        <v>8</v>
      </c>
      <c r="W356" s="113">
        <v>7</v>
      </c>
      <c r="X356" s="113">
        <v>7</v>
      </c>
      <c r="Y356" s="252">
        <f>0.9*60*O356</f>
        <v>669708.00000000012</v>
      </c>
      <c r="Z356" s="161">
        <f>SUM(AA356:AB356)</f>
        <v>551889.00000000012</v>
      </c>
      <c r="AA356" s="162">
        <f>4*V356*O356</f>
        <v>396864.00000000006</v>
      </c>
      <c r="AB356" s="163">
        <f>SUM(4*O356)+(0.5*(R356-15)*O356)</f>
        <v>155025.00000000003</v>
      </c>
      <c r="AC356" s="203"/>
      <c r="AD356" s="178"/>
      <c r="AE356" s="179"/>
      <c r="AF356" s="180"/>
      <c r="AG356" s="165">
        <f>ROUND(Y356+Z356,0)</f>
        <v>1221597</v>
      </c>
      <c r="AH356" s="165">
        <f>ROUND(AC356,0)</f>
        <v>0</v>
      </c>
      <c r="AI356" s="165"/>
      <c r="AJ356" s="167">
        <f>AG356+AH356+AI356</f>
        <v>1221597</v>
      </c>
    </row>
    <row r="357" spans="1:36" s="119" customFormat="1" ht="39" customHeight="1" x14ac:dyDescent="0.25">
      <c r="A357" s="153">
        <v>2</v>
      </c>
      <c r="B357" s="250" t="s">
        <v>1032</v>
      </c>
      <c r="C357" s="169">
        <v>31826</v>
      </c>
      <c r="D357" s="112" t="s">
        <v>1033</v>
      </c>
      <c r="E357" s="423" t="s">
        <v>1034</v>
      </c>
      <c r="F357" s="155">
        <v>3</v>
      </c>
      <c r="G357" s="157"/>
      <c r="H357" s="157">
        <v>0.25</v>
      </c>
      <c r="I357" s="156"/>
      <c r="J357" s="156"/>
      <c r="K357" s="157"/>
      <c r="L357" s="171"/>
      <c r="M357" s="157">
        <f>(F357+G357+H357)*25%</f>
        <v>0.8125</v>
      </c>
      <c r="N357" s="172"/>
      <c r="O357" s="190">
        <f t="shared" si="298"/>
        <v>9506.25</v>
      </c>
      <c r="P357" s="112">
        <v>54483</v>
      </c>
      <c r="Q357" s="174">
        <v>45901</v>
      </c>
      <c r="R357" s="113">
        <f>(S357)+(IF(T357=0,0,IF(T357&lt;7,1/2,1)))</f>
        <v>9</v>
      </c>
      <c r="S357" s="113">
        <v>9</v>
      </c>
      <c r="T357" s="113">
        <v>0</v>
      </c>
      <c r="U357" s="113">
        <f>(W357*12)+X357</f>
        <v>282</v>
      </c>
      <c r="V357" s="187">
        <f>(W357)+(IF(X357=0,0,IF(X357&lt;6,1/2,1)))</f>
        <v>24</v>
      </c>
      <c r="W357" s="113">
        <v>23</v>
      </c>
      <c r="X357" s="113">
        <v>6</v>
      </c>
      <c r="Y357" s="160"/>
      <c r="Z357" s="161"/>
      <c r="AA357" s="176"/>
      <c r="AB357" s="176"/>
      <c r="AC357" s="203">
        <f>AD357+AE357+AF357</f>
        <v>613153.125</v>
      </c>
      <c r="AD357" s="178">
        <f>0.8*60*O357</f>
        <v>456300</v>
      </c>
      <c r="AE357" s="179">
        <f>1.5*O357*R357</f>
        <v>128334.375</v>
      </c>
      <c r="AF357" s="180">
        <f>3*O357</f>
        <v>28518.75</v>
      </c>
      <c r="AG357" s="165">
        <f>ROUND(Y357+Z357,0)</f>
        <v>0</v>
      </c>
      <c r="AH357" s="165">
        <f>ROUND(AC357,0)</f>
        <v>613153</v>
      </c>
      <c r="AI357" s="165"/>
      <c r="AJ357" s="167">
        <f>AG357+AH357+AI357</f>
        <v>613153</v>
      </c>
    </row>
    <row r="358" spans="1:36" s="119" customFormat="1" ht="39" customHeight="1" x14ac:dyDescent="0.25">
      <c r="A358" s="153">
        <v>3</v>
      </c>
      <c r="B358" s="168" t="s">
        <v>1035</v>
      </c>
      <c r="C358" s="169">
        <v>29805</v>
      </c>
      <c r="D358" s="112" t="s">
        <v>391</v>
      </c>
      <c r="E358" s="423" t="s">
        <v>427</v>
      </c>
      <c r="F358" s="113">
        <v>3.66</v>
      </c>
      <c r="G358" s="157"/>
      <c r="H358" s="157"/>
      <c r="I358" s="156"/>
      <c r="J358" s="156"/>
      <c r="K358" s="157"/>
      <c r="L358" s="171"/>
      <c r="M358" s="157">
        <f>(F358+G358+H358)*25%</f>
        <v>0.91500000000000004</v>
      </c>
      <c r="N358" s="172"/>
      <c r="O358" s="190">
        <f t="shared" si="298"/>
        <v>10705.5</v>
      </c>
      <c r="P358" s="112">
        <v>52475</v>
      </c>
      <c r="Q358" s="174">
        <v>45901</v>
      </c>
      <c r="R358" s="113">
        <f>(S358)+(IF(T358=0,0,IF(T358&lt;7,1/2,1)))</f>
        <v>18.5</v>
      </c>
      <c r="S358" s="113">
        <v>18</v>
      </c>
      <c r="T358" s="113">
        <v>5</v>
      </c>
      <c r="U358" s="113">
        <f>(W358*12)+X358</f>
        <v>216</v>
      </c>
      <c r="V358" s="187">
        <f>(W358)+(IF(X358=0,0,IF(X358&lt;6,1/2,1)))</f>
        <v>18</v>
      </c>
      <c r="W358" s="113">
        <v>18</v>
      </c>
      <c r="X358" s="113">
        <v>0</v>
      </c>
      <c r="Y358" s="160"/>
      <c r="Z358" s="161"/>
      <c r="AA358" s="176"/>
      <c r="AB358" s="176"/>
      <c r="AC358" s="203">
        <f>AD358+AE358+AF358</f>
        <v>843058.125</v>
      </c>
      <c r="AD358" s="178">
        <f>0.8*60*O358</f>
        <v>513864</v>
      </c>
      <c r="AE358" s="179">
        <f>1.5*O358*R358</f>
        <v>297077.625</v>
      </c>
      <c r="AF358" s="180">
        <f>3*O358</f>
        <v>32116.5</v>
      </c>
      <c r="AG358" s="165">
        <f>ROUND(Y358+Z358,0)</f>
        <v>0</v>
      </c>
      <c r="AH358" s="165">
        <f>ROUND(AC358,0)</f>
        <v>843058</v>
      </c>
      <c r="AI358" s="165"/>
      <c r="AJ358" s="167">
        <f>AG358+AH358+AI358</f>
        <v>843058</v>
      </c>
    </row>
    <row r="359" spans="1:36" s="146" customFormat="1" ht="32.25" customHeight="1" x14ac:dyDescent="0.25">
      <c r="A359" s="181">
        <v>61</v>
      </c>
      <c r="B359" s="182" t="s">
        <v>1036</v>
      </c>
      <c r="C359" s="183"/>
      <c r="D359" s="183"/>
      <c r="E359" s="183"/>
      <c r="F359" s="185"/>
      <c r="G359" s="183"/>
      <c r="H359" s="183"/>
      <c r="I359" s="183"/>
      <c r="J359" s="185"/>
      <c r="K359" s="183"/>
      <c r="L359" s="183"/>
      <c r="M359" s="185"/>
      <c r="N359" s="185"/>
      <c r="O359" s="190">
        <f t="shared" si="298"/>
        <v>0</v>
      </c>
      <c r="P359" s="183"/>
      <c r="Q359" s="185"/>
      <c r="R359" s="183"/>
      <c r="S359" s="183"/>
      <c r="T359" s="185"/>
      <c r="U359" s="183"/>
      <c r="V359" s="183"/>
      <c r="W359" s="183"/>
      <c r="X359" s="183"/>
      <c r="Y359" s="181">
        <f>SUM(Y360:Y364)</f>
        <v>669708.00000000012</v>
      </c>
      <c r="Z359" s="181">
        <f t="shared" ref="Z359:AJ359" si="302">SUM(Z360:Z364)</f>
        <v>465075.00000000012</v>
      </c>
      <c r="AA359" s="181">
        <f t="shared" si="302"/>
        <v>347256.00000000006</v>
      </c>
      <c r="AB359" s="181">
        <f t="shared" si="302"/>
        <v>117819.00000000003</v>
      </c>
      <c r="AC359" s="181">
        <f t="shared" si="302"/>
        <v>2999733.75</v>
      </c>
      <c r="AD359" s="181">
        <f t="shared" si="302"/>
        <v>1712880</v>
      </c>
      <c r="AE359" s="181">
        <f t="shared" si="302"/>
        <v>1179798.75</v>
      </c>
      <c r="AF359" s="181">
        <f t="shared" si="302"/>
        <v>107055</v>
      </c>
      <c r="AG359" s="181">
        <f t="shared" si="302"/>
        <v>1134783</v>
      </c>
      <c r="AH359" s="181">
        <f t="shared" si="302"/>
        <v>2999734</v>
      </c>
      <c r="AI359" s="181">
        <f t="shared" si="302"/>
        <v>0</v>
      </c>
      <c r="AJ359" s="186">
        <f t="shared" si="302"/>
        <v>4134517</v>
      </c>
    </row>
    <row r="360" spans="1:36" s="119" customFormat="1" ht="48" customHeight="1" x14ac:dyDescent="0.25">
      <c r="A360" s="153">
        <v>1</v>
      </c>
      <c r="B360" s="168" t="s">
        <v>1037</v>
      </c>
      <c r="C360" s="169">
        <v>25675</v>
      </c>
      <c r="D360" s="112" t="s">
        <v>49</v>
      </c>
      <c r="E360" s="423" t="s">
        <v>1038</v>
      </c>
      <c r="F360" s="113">
        <v>3.99</v>
      </c>
      <c r="G360" s="157"/>
      <c r="H360" s="157">
        <v>0.25</v>
      </c>
      <c r="I360" s="156"/>
      <c r="J360" s="156"/>
      <c r="K360" s="157"/>
      <c r="L360" s="171"/>
      <c r="M360" s="157">
        <f>(F360+G360+H360)*25%</f>
        <v>1.06</v>
      </c>
      <c r="N360" s="172"/>
      <c r="O360" s="190">
        <f t="shared" si="298"/>
        <v>12402.000000000002</v>
      </c>
      <c r="P360" s="112">
        <v>48335</v>
      </c>
      <c r="Q360" s="174">
        <v>45901</v>
      </c>
      <c r="R360" s="113">
        <f>(S360)+(IF(T360=0,0,IF(T360&lt;7,1/2,1)))</f>
        <v>26</v>
      </c>
      <c r="S360" s="440">
        <v>25</v>
      </c>
      <c r="T360" s="440">
        <v>8</v>
      </c>
      <c r="U360" s="113">
        <f>(W360*12)+X360</f>
        <v>80</v>
      </c>
      <c r="V360" s="187">
        <f>(W360)+(IF(X360=0,0,IF(X360&lt;6,1/2,1)))</f>
        <v>7</v>
      </c>
      <c r="W360" s="440">
        <v>6</v>
      </c>
      <c r="X360" s="440">
        <v>8</v>
      </c>
      <c r="Y360" s="252">
        <f>0.9*60*O360</f>
        <v>669708.00000000012</v>
      </c>
      <c r="Z360" s="253">
        <f>SUM(AA360:AB360)</f>
        <v>465075.00000000012</v>
      </c>
      <c r="AA360" s="162">
        <f>4*V360*O360</f>
        <v>347256.00000000006</v>
      </c>
      <c r="AB360" s="163">
        <f>SUM(4*O360)+(0.5*(R360-15)*O360)</f>
        <v>117819.00000000003</v>
      </c>
      <c r="AC360" s="177"/>
      <c r="AD360" s="178"/>
      <c r="AE360" s="179"/>
      <c r="AF360" s="180"/>
      <c r="AG360" s="200">
        <f>ROUND(Y360+Z360,0)</f>
        <v>1134783</v>
      </c>
      <c r="AH360" s="165">
        <f>ROUND(AC360,0)</f>
        <v>0</v>
      </c>
      <c r="AI360" s="165"/>
      <c r="AJ360" s="167">
        <f>AG360+AH360+AI360</f>
        <v>1134783</v>
      </c>
    </row>
    <row r="361" spans="1:36" s="119" customFormat="1" ht="48" customHeight="1" x14ac:dyDescent="0.25">
      <c r="A361" s="153">
        <v>2</v>
      </c>
      <c r="B361" s="168" t="s">
        <v>1039</v>
      </c>
      <c r="C361" s="169">
        <v>26982</v>
      </c>
      <c r="D361" s="112" t="s">
        <v>49</v>
      </c>
      <c r="E361" s="423" t="s">
        <v>781</v>
      </c>
      <c r="F361" s="155">
        <v>3</v>
      </c>
      <c r="G361" s="157"/>
      <c r="H361" s="157">
        <v>0.2</v>
      </c>
      <c r="I361" s="156"/>
      <c r="J361" s="156"/>
      <c r="K361" s="157"/>
      <c r="L361" s="171"/>
      <c r="M361" s="157">
        <f>(F361+G361+H361)*25%</f>
        <v>0.8</v>
      </c>
      <c r="N361" s="172"/>
      <c r="O361" s="190">
        <f t="shared" si="298"/>
        <v>9360</v>
      </c>
      <c r="P361" s="112">
        <v>49644</v>
      </c>
      <c r="Q361" s="174"/>
      <c r="R361" s="113">
        <f>(S361)+(IF(T361=0,0,IF(T361&lt;7,1/2,1)))</f>
        <v>32</v>
      </c>
      <c r="S361" s="113">
        <v>31</v>
      </c>
      <c r="T361" s="113">
        <v>11</v>
      </c>
      <c r="U361" s="113">
        <f>(W361*12)+X361</f>
        <v>123</v>
      </c>
      <c r="V361" s="187">
        <f>(W361)+(IF(X361=0,0,IF(X361&lt;6,1/2,1)))</f>
        <v>10.5</v>
      </c>
      <c r="W361" s="113">
        <v>10</v>
      </c>
      <c r="X361" s="113">
        <v>3</v>
      </c>
      <c r="Y361" s="252"/>
      <c r="Z361" s="253"/>
      <c r="AA361" s="162"/>
      <c r="AB361" s="163"/>
      <c r="AC361" s="177">
        <f>AD361+AE361+AF361</f>
        <v>926640</v>
      </c>
      <c r="AD361" s="178">
        <f>0.8*60*O361</f>
        <v>449280</v>
      </c>
      <c r="AE361" s="179">
        <f>1.5*O361*R361</f>
        <v>449280</v>
      </c>
      <c r="AF361" s="180">
        <f>3*O361</f>
        <v>28080</v>
      </c>
      <c r="AG361" s="200">
        <f>ROUND(Y361+Z361,0)</f>
        <v>0</v>
      </c>
      <c r="AH361" s="165">
        <f>ROUND(AC361,0)</f>
        <v>926640</v>
      </c>
      <c r="AI361" s="165"/>
      <c r="AJ361" s="167">
        <f>AG361+AH361+AI361</f>
        <v>926640</v>
      </c>
    </row>
    <row r="362" spans="1:36" s="119" customFormat="1" ht="48" customHeight="1" x14ac:dyDescent="0.25">
      <c r="A362" s="153">
        <v>3</v>
      </c>
      <c r="B362" s="168" t="s">
        <v>1040</v>
      </c>
      <c r="C362" s="169">
        <v>28012</v>
      </c>
      <c r="D362" s="112" t="s">
        <v>49</v>
      </c>
      <c r="E362" s="423" t="s">
        <v>424</v>
      </c>
      <c r="F362" s="155">
        <v>3</v>
      </c>
      <c r="G362" s="157"/>
      <c r="H362" s="157"/>
      <c r="I362" s="156"/>
      <c r="J362" s="156"/>
      <c r="K362" s="157"/>
      <c r="L362" s="171"/>
      <c r="M362" s="157">
        <f>(F362+G362+H362)*25%</f>
        <v>0.75</v>
      </c>
      <c r="N362" s="172"/>
      <c r="O362" s="190">
        <f t="shared" si="298"/>
        <v>8775</v>
      </c>
      <c r="P362" s="112">
        <v>49949</v>
      </c>
      <c r="Q362" s="174"/>
      <c r="R362" s="113">
        <f>(S362)+(IF(T362=0,0,IF(T362&lt;7,1/2,1)))</f>
        <v>16</v>
      </c>
      <c r="S362" s="440">
        <v>15</v>
      </c>
      <c r="T362" s="440">
        <v>7</v>
      </c>
      <c r="U362" s="113">
        <f>(W362*12)+X362</f>
        <v>133</v>
      </c>
      <c r="V362" s="187">
        <f>(W362)+(IF(X362=0,0,IF(X362&lt;6,1/2,1)))</f>
        <v>11.5</v>
      </c>
      <c r="W362" s="440">
        <v>11</v>
      </c>
      <c r="X362" s="440">
        <v>1</v>
      </c>
      <c r="Y362" s="160"/>
      <c r="Z362" s="161"/>
      <c r="AA362" s="176"/>
      <c r="AB362" s="176"/>
      <c r="AC362" s="177">
        <f>AD362+AE362+AF362</f>
        <v>658125</v>
      </c>
      <c r="AD362" s="178">
        <f>0.8*60*O362</f>
        <v>421200</v>
      </c>
      <c r="AE362" s="179">
        <f>1.5*O362*R362</f>
        <v>210600</v>
      </c>
      <c r="AF362" s="180">
        <f>3*O362</f>
        <v>26325</v>
      </c>
      <c r="AG362" s="165"/>
      <c r="AH362" s="165">
        <f>ROUND(AC362,0)</f>
        <v>658125</v>
      </c>
      <c r="AI362" s="165"/>
      <c r="AJ362" s="167">
        <f>AG362+AH362+AI362</f>
        <v>658125</v>
      </c>
    </row>
    <row r="363" spans="1:36" s="119" customFormat="1" ht="48" customHeight="1" x14ac:dyDescent="0.25">
      <c r="A363" s="153">
        <v>4</v>
      </c>
      <c r="B363" s="168" t="s">
        <v>1041</v>
      </c>
      <c r="C363" s="169">
        <v>27514</v>
      </c>
      <c r="D363" s="112" t="s">
        <v>49</v>
      </c>
      <c r="E363" s="423" t="s">
        <v>424</v>
      </c>
      <c r="F363" s="155">
        <v>3</v>
      </c>
      <c r="G363" s="157"/>
      <c r="H363" s="157"/>
      <c r="I363" s="156"/>
      <c r="J363" s="156"/>
      <c r="K363" s="157"/>
      <c r="L363" s="171"/>
      <c r="M363" s="157">
        <f>(F363+G363+H363)*25%</f>
        <v>0.75</v>
      </c>
      <c r="N363" s="172"/>
      <c r="O363" s="190">
        <f t="shared" si="298"/>
        <v>8775</v>
      </c>
      <c r="P363" s="112">
        <v>50161</v>
      </c>
      <c r="Q363" s="174"/>
      <c r="R363" s="113">
        <f>(S363)+(IF(T363=0,0,IF(T363&lt;7,1/2,1)))</f>
        <v>26</v>
      </c>
      <c r="S363" s="113">
        <v>25</v>
      </c>
      <c r="T363" s="113">
        <v>8</v>
      </c>
      <c r="U363" s="113">
        <f>(W363*12)+X363</f>
        <v>140</v>
      </c>
      <c r="V363" s="187">
        <f>(W363)+(IF(X363=0,0,IF(X363&lt;6,1/2,1)))</f>
        <v>12</v>
      </c>
      <c r="W363" s="113">
        <v>11</v>
      </c>
      <c r="X363" s="113">
        <v>8</v>
      </c>
      <c r="Y363" s="160"/>
      <c r="Z363" s="161"/>
      <c r="AA363" s="176"/>
      <c r="AB363" s="176"/>
      <c r="AC363" s="203">
        <f>AD363+AE363+AF363</f>
        <v>789750</v>
      </c>
      <c r="AD363" s="178">
        <f>0.8*60*O363</f>
        <v>421200</v>
      </c>
      <c r="AE363" s="179">
        <f>1.5*O363*R363</f>
        <v>342225</v>
      </c>
      <c r="AF363" s="180">
        <f>3*O363</f>
        <v>26325</v>
      </c>
      <c r="AG363" s="165"/>
      <c r="AH363" s="165">
        <f>ROUND(AC363,0)</f>
        <v>789750</v>
      </c>
      <c r="AI363" s="165"/>
      <c r="AJ363" s="167">
        <f>AG363+AH363+AI363</f>
        <v>789750</v>
      </c>
    </row>
    <row r="364" spans="1:36" s="119" customFormat="1" ht="48" customHeight="1" x14ac:dyDescent="0.25">
      <c r="A364" s="153">
        <v>5</v>
      </c>
      <c r="B364" s="168" t="s">
        <v>1042</v>
      </c>
      <c r="C364" s="169">
        <v>31901</v>
      </c>
      <c r="D364" s="112" t="s">
        <v>49</v>
      </c>
      <c r="E364" s="423" t="s">
        <v>396</v>
      </c>
      <c r="F364" s="155">
        <v>3</v>
      </c>
      <c r="G364" s="157"/>
      <c r="H364" s="157"/>
      <c r="I364" s="156"/>
      <c r="J364" s="156"/>
      <c r="K364" s="157"/>
      <c r="L364" s="171"/>
      <c r="M364" s="157">
        <f>(F364+G364+H364)*25%</f>
        <v>0.75</v>
      </c>
      <c r="N364" s="172"/>
      <c r="O364" s="190">
        <f t="shared" si="298"/>
        <v>8775</v>
      </c>
      <c r="P364" s="112">
        <v>54575</v>
      </c>
      <c r="Q364" s="174"/>
      <c r="R364" s="113">
        <f>(S364)+(IF(T364=0,0,IF(T364&lt;7,1/2,1)))</f>
        <v>13.5</v>
      </c>
      <c r="S364" s="113">
        <v>13</v>
      </c>
      <c r="T364" s="113">
        <v>4</v>
      </c>
      <c r="U364" s="113">
        <f>(W364*12)+X364</f>
        <v>285</v>
      </c>
      <c r="V364" s="187">
        <f>(W364)+(IF(X364=0,0,IF(X364&lt;6,1/2,1)))</f>
        <v>24</v>
      </c>
      <c r="W364" s="113">
        <v>23</v>
      </c>
      <c r="X364" s="113">
        <v>9</v>
      </c>
      <c r="Y364" s="160"/>
      <c r="Z364" s="161"/>
      <c r="AA364" s="176"/>
      <c r="AB364" s="176"/>
      <c r="AC364" s="200">
        <f>AD364+AE364+AF364</f>
        <v>625218.75</v>
      </c>
      <c r="AD364" s="178">
        <f>0.8*60*O364</f>
        <v>421200</v>
      </c>
      <c r="AE364" s="179">
        <f>1.5*O364*R364</f>
        <v>177693.75</v>
      </c>
      <c r="AF364" s="180">
        <f>3*O364</f>
        <v>26325</v>
      </c>
      <c r="AG364" s="165"/>
      <c r="AH364" s="165">
        <f>ROUND(AC364,0)</f>
        <v>625219</v>
      </c>
      <c r="AI364" s="165"/>
      <c r="AJ364" s="167">
        <f>AG364+AH364+AI364</f>
        <v>625219</v>
      </c>
    </row>
    <row r="365" spans="1:36" s="146" customFormat="1" ht="32.25" customHeight="1" x14ac:dyDescent="0.25">
      <c r="A365" s="181">
        <v>62</v>
      </c>
      <c r="B365" s="181" t="s">
        <v>1043</v>
      </c>
      <c r="C365" s="183"/>
      <c r="D365" s="183"/>
      <c r="E365" s="183"/>
      <c r="F365" s="185"/>
      <c r="G365" s="183"/>
      <c r="H365" s="183"/>
      <c r="I365" s="183"/>
      <c r="J365" s="185"/>
      <c r="K365" s="183"/>
      <c r="L365" s="183"/>
      <c r="M365" s="185"/>
      <c r="N365" s="185"/>
      <c r="O365" s="190">
        <f t="shared" si="298"/>
        <v>0</v>
      </c>
      <c r="P365" s="183"/>
      <c r="Q365" s="185"/>
      <c r="R365" s="183"/>
      <c r="S365" s="183"/>
      <c r="T365" s="185"/>
      <c r="U365" s="183"/>
      <c r="V365" s="183"/>
      <c r="W365" s="183"/>
      <c r="X365" s="183"/>
      <c r="Y365" s="181">
        <f>SUM(Y366:Y374)</f>
        <v>0</v>
      </c>
      <c r="Z365" s="181">
        <f t="shared" ref="Z365:AJ365" si="303">SUM(Z366:Z374)</f>
        <v>0</v>
      </c>
      <c r="AA365" s="181">
        <f t="shared" si="303"/>
        <v>0</v>
      </c>
      <c r="AB365" s="181">
        <f t="shared" si="303"/>
        <v>0</v>
      </c>
      <c r="AC365" s="181">
        <f t="shared" si="303"/>
        <v>8560278.2070000004</v>
      </c>
      <c r="AD365" s="181">
        <f t="shared" si="303"/>
        <v>4999228.4160000002</v>
      </c>
      <c r="AE365" s="181">
        <f t="shared" si="303"/>
        <v>3248598.0150000001</v>
      </c>
      <c r="AF365" s="181">
        <f t="shared" si="303"/>
        <v>312451.77600000001</v>
      </c>
      <c r="AG365" s="181">
        <f t="shared" si="303"/>
        <v>0</v>
      </c>
      <c r="AH365" s="181">
        <f t="shared" si="303"/>
        <v>8560277</v>
      </c>
      <c r="AI365" s="181">
        <f t="shared" si="303"/>
        <v>0</v>
      </c>
      <c r="AJ365" s="186">
        <f t="shared" si="303"/>
        <v>8560277</v>
      </c>
    </row>
    <row r="366" spans="1:36" s="132" customFormat="1" ht="39" customHeight="1" x14ac:dyDescent="0.25">
      <c r="A366" s="153">
        <v>1</v>
      </c>
      <c r="B366" s="201" t="s">
        <v>1044</v>
      </c>
      <c r="C366" s="251">
        <v>29515</v>
      </c>
      <c r="D366" s="199" t="s">
        <v>49</v>
      </c>
      <c r="E366" s="202" t="s">
        <v>1045</v>
      </c>
      <c r="F366" s="155">
        <v>3.66</v>
      </c>
      <c r="G366" s="113"/>
      <c r="H366" s="113"/>
      <c r="I366" s="156"/>
      <c r="J366" s="156"/>
      <c r="K366" s="157"/>
      <c r="L366" s="157"/>
      <c r="M366" s="157">
        <f t="shared" ref="M366:M374" si="304">(F366+G366+H366+I366)*25%</f>
        <v>0.91500000000000004</v>
      </c>
      <c r="N366" s="157"/>
      <c r="O366" s="190">
        <f t="shared" si="298"/>
        <v>10705.5</v>
      </c>
      <c r="P366" s="251">
        <v>51441</v>
      </c>
      <c r="Q366" s="174"/>
      <c r="R366" s="113">
        <f t="shared" ref="R366:R374" si="305">(S366)+(IF(T366=0,0,IF(T366&lt;7,1/2,1)))</f>
        <v>19</v>
      </c>
      <c r="S366" s="113">
        <v>18</v>
      </c>
      <c r="T366" s="113">
        <v>7</v>
      </c>
      <c r="U366" s="113">
        <f t="shared" ref="U366:U374" si="306">(W366*12)+X366</f>
        <v>182</v>
      </c>
      <c r="V366" s="187">
        <f t="shared" ref="V366:V374" si="307">(W366)+(IF(X366=0,0,IF(X366&lt;6,1/2,1)))</f>
        <v>15.5</v>
      </c>
      <c r="W366" s="113">
        <v>15</v>
      </c>
      <c r="X366" s="113">
        <v>2</v>
      </c>
      <c r="Y366" s="160"/>
      <c r="Z366" s="161"/>
      <c r="AA366" s="162"/>
      <c r="AB366" s="163"/>
      <c r="AC366" s="200">
        <f t="shared" ref="AC366:AC374" si="308">AD366+AE366+AF366</f>
        <v>851087.25</v>
      </c>
      <c r="AD366" s="178">
        <f t="shared" ref="AD366:AD374" si="309">0.8*60*O366</f>
        <v>513864</v>
      </c>
      <c r="AE366" s="179">
        <f t="shared" ref="AE366:AE374" si="310">1.5*O366*R366</f>
        <v>305106.75</v>
      </c>
      <c r="AF366" s="180">
        <f t="shared" ref="AF366:AF374" si="311">3*O366</f>
        <v>32116.5</v>
      </c>
      <c r="AG366" s="165">
        <f>ROUND(Y366+Z366,0)</f>
        <v>0</v>
      </c>
      <c r="AH366" s="165">
        <f t="shared" ref="AH366:AH374" si="312">ROUND(AC366,0)</f>
        <v>851087</v>
      </c>
      <c r="AI366" s="166"/>
      <c r="AJ366" s="167">
        <f t="shared" ref="AJ366:AJ374" si="313">AG366+AH366+AI366</f>
        <v>851087</v>
      </c>
    </row>
    <row r="367" spans="1:36" s="132" customFormat="1" ht="39" customHeight="1" x14ac:dyDescent="0.25">
      <c r="A367" s="153">
        <v>2</v>
      </c>
      <c r="B367" s="201" t="s">
        <v>1046</v>
      </c>
      <c r="C367" s="251">
        <v>27823</v>
      </c>
      <c r="D367" s="199" t="s">
        <v>49</v>
      </c>
      <c r="E367" s="202" t="s">
        <v>427</v>
      </c>
      <c r="F367" s="155">
        <v>3.99</v>
      </c>
      <c r="G367" s="113"/>
      <c r="H367" s="113"/>
      <c r="I367" s="156"/>
      <c r="J367" s="156"/>
      <c r="K367" s="157"/>
      <c r="L367" s="157"/>
      <c r="M367" s="157">
        <f t="shared" si="304"/>
        <v>0.99750000000000005</v>
      </c>
      <c r="N367" s="157"/>
      <c r="O367" s="190">
        <f t="shared" si="298"/>
        <v>11670.750000000002</v>
      </c>
      <c r="P367" s="251" t="s">
        <v>1047</v>
      </c>
      <c r="Q367" s="174"/>
      <c r="R367" s="113">
        <f t="shared" si="305"/>
        <v>25.5</v>
      </c>
      <c r="S367" s="113">
        <v>25</v>
      </c>
      <c r="T367" s="113">
        <v>6</v>
      </c>
      <c r="U367" s="113">
        <f t="shared" si="306"/>
        <v>151</v>
      </c>
      <c r="V367" s="187">
        <f t="shared" si="307"/>
        <v>13</v>
      </c>
      <c r="W367" s="113">
        <v>12</v>
      </c>
      <c r="X367" s="113">
        <v>7</v>
      </c>
      <c r="Y367" s="160"/>
      <c r="Z367" s="161"/>
      <c r="AA367" s="162"/>
      <c r="AB367" s="163"/>
      <c r="AC367" s="203">
        <f t="shared" si="308"/>
        <v>1041614.4375000002</v>
      </c>
      <c r="AD367" s="178">
        <f t="shared" si="309"/>
        <v>560196.00000000012</v>
      </c>
      <c r="AE367" s="179">
        <f t="shared" si="310"/>
        <v>446406.18750000012</v>
      </c>
      <c r="AF367" s="180">
        <f t="shared" si="311"/>
        <v>35012.250000000007</v>
      </c>
      <c r="AG367" s="165">
        <f>ROUND(Y367+Z367,0)</f>
        <v>0</v>
      </c>
      <c r="AH367" s="165">
        <f t="shared" si="312"/>
        <v>1041614</v>
      </c>
      <c r="AI367" s="166"/>
      <c r="AJ367" s="167">
        <f t="shared" si="313"/>
        <v>1041614</v>
      </c>
    </row>
    <row r="368" spans="1:36" s="132" customFormat="1" ht="39" customHeight="1" x14ac:dyDescent="0.25">
      <c r="A368" s="153">
        <v>3</v>
      </c>
      <c r="B368" s="201" t="s">
        <v>1048</v>
      </c>
      <c r="C368" s="251">
        <v>27672</v>
      </c>
      <c r="D368" s="199" t="s">
        <v>539</v>
      </c>
      <c r="E368" s="202" t="s">
        <v>1049</v>
      </c>
      <c r="F368" s="155">
        <v>3.34</v>
      </c>
      <c r="G368" s="113"/>
      <c r="H368" s="113"/>
      <c r="I368" s="156"/>
      <c r="J368" s="156"/>
      <c r="K368" s="157"/>
      <c r="L368" s="157">
        <f>F368*21%</f>
        <v>0.70139999999999991</v>
      </c>
      <c r="M368" s="157">
        <f t="shared" si="304"/>
        <v>0.83499999999999996</v>
      </c>
      <c r="N368" s="157"/>
      <c r="O368" s="190">
        <f t="shared" si="298"/>
        <v>11410.775999999998</v>
      </c>
      <c r="P368" s="251">
        <v>50345</v>
      </c>
      <c r="Q368" s="174"/>
      <c r="R368" s="113">
        <f t="shared" si="305"/>
        <v>23</v>
      </c>
      <c r="S368" s="113">
        <v>23</v>
      </c>
      <c r="T368" s="113">
        <v>0</v>
      </c>
      <c r="U368" s="113">
        <f t="shared" si="306"/>
        <v>146</v>
      </c>
      <c r="V368" s="187">
        <f t="shared" si="307"/>
        <v>12.5</v>
      </c>
      <c r="W368" s="113">
        <v>12</v>
      </c>
      <c r="X368" s="113">
        <v>2</v>
      </c>
      <c r="Y368" s="160"/>
      <c r="Z368" s="161"/>
      <c r="AA368" s="162"/>
      <c r="AB368" s="163"/>
      <c r="AC368" s="200">
        <f t="shared" si="308"/>
        <v>975621.34799999977</v>
      </c>
      <c r="AD368" s="178">
        <f t="shared" si="309"/>
        <v>547717.24799999991</v>
      </c>
      <c r="AE368" s="179">
        <f t="shared" si="310"/>
        <v>393671.77199999994</v>
      </c>
      <c r="AF368" s="180">
        <f t="shared" si="311"/>
        <v>34232.327999999994</v>
      </c>
      <c r="AG368" s="165">
        <f>ROUND(Y368+Z368,0)</f>
        <v>0</v>
      </c>
      <c r="AH368" s="165">
        <f t="shared" si="312"/>
        <v>975621</v>
      </c>
      <c r="AI368" s="166"/>
      <c r="AJ368" s="167">
        <f t="shared" si="313"/>
        <v>975621</v>
      </c>
    </row>
    <row r="369" spans="1:36" s="132" customFormat="1" ht="39" customHeight="1" x14ac:dyDescent="0.25">
      <c r="A369" s="153">
        <v>4</v>
      </c>
      <c r="B369" s="201" t="s">
        <v>1050</v>
      </c>
      <c r="C369" s="251">
        <v>26986</v>
      </c>
      <c r="D369" s="199" t="s">
        <v>104</v>
      </c>
      <c r="E369" s="202" t="s">
        <v>580</v>
      </c>
      <c r="F369" s="155">
        <v>3.46</v>
      </c>
      <c r="G369" s="113"/>
      <c r="H369" s="113"/>
      <c r="I369" s="156"/>
      <c r="J369" s="156"/>
      <c r="K369" s="157"/>
      <c r="L369" s="157">
        <f>F369*19%</f>
        <v>0.65739999999999998</v>
      </c>
      <c r="M369" s="157">
        <f t="shared" si="304"/>
        <v>0.86499999999999999</v>
      </c>
      <c r="N369" s="157"/>
      <c r="O369" s="190">
        <f t="shared" si="298"/>
        <v>11658.816000000001</v>
      </c>
      <c r="P369" s="251">
        <v>49644</v>
      </c>
      <c r="Q369" s="174"/>
      <c r="R369" s="113">
        <f t="shared" si="305"/>
        <v>19.5</v>
      </c>
      <c r="S369" s="113">
        <v>19</v>
      </c>
      <c r="T369" s="113">
        <v>5</v>
      </c>
      <c r="U369" s="113">
        <f t="shared" si="306"/>
        <v>123</v>
      </c>
      <c r="V369" s="187">
        <f t="shared" si="307"/>
        <v>10.5</v>
      </c>
      <c r="W369" s="113">
        <v>10</v>
      </c>
      <c r="X369" s="113">
        <v>3</v>
      </c>
      <c r="Y369" s="160"/>
      <c r="Z369" s="161"/>
      <c r="AA369" s="162"/>
      <c r="AB369" s="163"/>
      <c r="AC369" s="203">
        <f t="shared" si="308"/>
        <v>935619.98400000005</v>
      </c>
      <c r="AD369" s="178">
        <f t="shared" si="309"/>
        <v>559623.16800000006</v>
      </c>
      <c r="AE369" s="179">
        <f t="shared" si="310"/>
        <v>341020.36800000002</v>
      </c>
      <c r="AF369" s="180">
        <f t="shared" si="311"/>
        <v>34976.448000000004</v>
      </c>
      <c r="AG369" s="165">
        <f>ROUND(Y369+Z369,0)</f>
        <v>0</v>
      </c>
      <c r="AH369" s="165">
        <f t="shared" si="312"/>
        <v>935620</v>
      </c>
      <c r="AI369" s="166"/>
      <c r="AJ369" s="167">
        <f t="shared" si="313"/>
        <v>935620</v>
      </c>
    </row>
    <row r="370" spans="1:36" s="132" customFormat="1" ht="39" customHeight="1" x14ac:dyDescent="0.25">
      <c r="A370" s="153">
        <v>5</v>
      </c>
      <c r="B370" s="201" t="s">
        <v>1051</v>
      </c>
      <c r="C370" s="251">
        <v>28888</v>
      </c>
      <c r="D370" s="199" t="s">
        <v>49</v>
      </c>
      <c r="E370" s="202" t="s">
        <v>621</v>
      </c>
      <c r="F370" s="155">
        <v>4.32</v>
      </c>
      <c r="G370" s="113"/>
      <c r="H370" s="113">
        <v>0.25</v>
      </c>
      <c r="I370" s="156"/>
      <c r="J370" s="156"/>
      <c r="K370" s="157"/>
      <c r="L370" s="157"/>
      <c r="M370" s="157">
        <f t="shared" si="304"/>
        <v>1.1425000000000001</v>
      </c>
      <c r="N370" s="157"/>
      <c r="O370" s="190">
        <f t="shared" si="298"/>
        <v>13367.25</v>
      </c>
      <c r="P370" s="251">
        <v>51561</v>
      </c>
      <c r="Q370" s="174"/>
      <c r="R370" s="113">
        <f t="shared" si="305"/>
        <v>23</v>
      </c>
      <c r="S370" s="113">
        <v>22</v>
      </c>
      <c r="T370" s="113">
        <v>8</v>
      </c>
      <c r="U370" s="113">
        <f t="shared" si="306"/>
        <v>186</v>
      </c>
      <c r="V370" s="187">
        <f t="shared" si="307"/>
        <v>16</v>
      </c>
      <c r="W370" s="113">
        <v>15</v>
      </c>
      <c r="X370" s="113">
        <v>6</v>
      </c>
      <c r="Y370" s="160"/>
      <c r="Z370" s="161"/>
      <c r="AA370" s="162"/>
      <c r="AB370" s="163"/>
      <c r="AC370" s="203">
        <f t="shared" si="308"/>
        <v>1142899.875</v>
      </c>
      <c r="AD370" s="178">
        <f t="shared" si="309"/>
        <v>641628</v>
      </c>
      <c r="AE370" s="179">
        <f t="shared" si="310"/>
        <v>461170.125</v>
      </c>
      <c r="AF370" s="180">
        <f t="shared" si="311"/>
        <v>40101.75</v>
      </c>
      <c r="AG370" s="165">
        <f>ROUND(Y370+Z370,0)</f>
        <v>0</v>
      </c>
      <c r="AH370" s="165">
        <f t="shared" si="312"/>
        <v>1142900</v>
      </c>
      <c r="AI370" s="166"/>
      <c r="AJ370" s="167">
        <f t="shared" si="313"/>
        <v>1142900</v>
      </c>
    </row>
    <row r="371" spans="1:36" s="132" customFormat="1" ht="39" customHeight="1" x14ac:dyDescent="0.25">
      <c r="A371" s="153">
        <v>6</v>
      </c>
      <c r="B371" s="201" t="s">
        <v>1052</v>
      </c>
      <c r="C371" s="251">
        <v>28726</v>
      </c>
      <c r="D371" s="199" t="s">
        <v>49</v>
      </c>
      <c r="E371" s="202" t="s">
        <v>387</v>
      </c>
      <c r="F371" s="155">
        <v>4.32</v>
      </c>
      <c r="G371" s="113"/>
      <c r="H371" s="113"/>
      <c r="I371" s="156"/>
      <c r="J371" s="156"/>
      <c r="K371" s="157"/>
      <c r="L371" s="157"/>
      <c r="M371" s="157">
        <f t="shared" si="304"/>
        <v>1.08</v>
      </c>
      <c r="N371" s="157"/>
      <c r="O371" s="190">
        <f t="shared" si="298"/>
        <v>12636</v>
      </c>
      <c r="P371" s="251">
        <v>50649</v>
      </c>
      <c r="Q371" s="174"/>
      <c r="R371" s="113">
        <f t="shared" si="305"/>
        <v>20.5</v>
      </c>
      <c r="S371" s="113">
        <v>20</v>
      </c>
      <c r="T371" s="113">
        <v>2</v>
      </c>
      <c r="U371" s="113">
        <f t="shared" si="306"/>
        <v>156</v>
      </c>
      <c r="V371" s="187">
        <f t="shared" si="307"/>
        <v>13</v>
      </c>
      <c r="W371" s="113">
        <v>13</v>
      </c>
      <c r="X371" s="113">
        <v>0</v>
      </c>
      <c r="Y371" s="160"/>
      <c r="Z371" s="161"/>
      <c r="AA371" s="162"/>
      <c r="AB371" s="163"/>
      <c r="AC371" s="203">
        <f t="shared" si="308"/>
        <v>1032993</v>
      </c>
      <c r="AD371" s="178">
        <f t="shared" si="309"/>
        <v>606528</v>
      </c>
      <c r="AE371" s="179">
        <f t="shared" si="310"/>
        <v>388557</v>
      </c>
      <c r="AF371" s="180">
        <f t="shared" si="311"/>
        <v>37908</v>
      </c>
      <c r="AG371" s="165"/>
      <c r="AH371" s="165">
        <f t="shared" si="312"/>
        <v>1032993</v>
      </c>
      <c r="AI371" s="166"/>
      <c r="AJ371" s="167">
        <f t="shared" si="313"/>
        <v>1032993</v>
      </c>
    </row>
    <row r="372" spans="1:36" s="132" customFormat="1" ht="39" customHeight="1" x14ac:dyDescent="0.25">
      <c r="A372" s="153">
        <v>7</v>
      </c>
      <c r="B372" s="201" t="s">
        <v>1053</v>
      </c>
      <c r="C372" s="251">
        <v>30110</v>
      </c>
      <c r="D372" s="199" t="s">
        <v>49</v>
      </c>
      <c r="E372" s="202" t="s">
        <v>387</v>
      </c>
      <c r="F372" s="155">
        <v>3.33</v>
      </c>
      <c r="G372" s="113"/>
      <c r="H372" s="113"/>
      <c r="I372" s="156"/>
      <c r="J372" s="156"/>
      <c r="K372" s="157"/>
      <c r="L372" s="157"/>
      <c r="M372" s="157">
        <f t="shared" si="304"/>
        <v>0.83250000000000002</v>
      </c>
      <c r="N372" s="157"/>
      <c r="O372" s="190">
        <f t="shared" si="298"/>
        <v>9740.25</v>
      </c>
      <c r="P372" s="251">
        <v>52779</v>
      </c>
      <c r="Q372" s="174"/>
      <c r="R372" s="113">
        <f t="shared" si="305"/>
        <v>17</v>
      </c>
      <c r="S372" s="113">
        <v>16</v>
      </c>
      <c r="T372" s="113">
        <v>8</v>
      </c>
      <c r="U372" s="113">
        <f t="shared" si="306"/>
        <v>226</v>
      </c>
      <c r="V372" s="187">
        <f t="shared" si="307"/>
        <v>19</v>
      </c>
      <c r="W372" s="113">
        <v>18</v>
      </c>
      <c r="X372" s="113">
        <v>10</v>
      </c>
      <c r="Y372" s="160"/>
      <c r="Z372" s="161"/>
      <c r="AA372" s="162"/>
      <c r="AB372" s="163"/>
      <c r="AC372" s="203">
        <f t="shared" si="308"/>
        <v>745129.125</v>
      </c>
      <c r="AD372" s="178">
        <f t="shared" si="309"/>
        <v>467532</v>
      </c>
      <c r="AE372" s="179">
        <f t="shared" si="310"/>
        <v>248376.375</v>
      </c>
      <c r="AF372" s="180">
        <f t="shared" si="311"/>
        <v>29220.75</v>
      </c>
      <c r="AG372" s="165"/>
      <c r="AH372" s="165">
        <f t="shared" si="312"/>
        <v>745129</v>
      </c>
      <c r="AI372" s="166"/>
      <c r="AJ372" s="167">
        <f t="shared" si="313"/>
        <v>745129</v>
      </c>
    </row>
    <row r="373" spans="1:36" s="132" customFormat="1" ht="39" customHeight="1" x14ac:dyDescent="0.25">
      <c r="A373" s="153">
        <v>8</v>
      </c>
      <c r="B373" s="201" t="s">
        <v>1054</v>
      </c>
      <c r="C373" s="251">
        <v>27360</v>
      </c>
      <c r="D373" s="199" t="s">
        <v>49</v>
      </c>
      <c r="E373" s="202" t="s">
        <v>1045</v>
      </c>
      <c r="F373" s="155">
        <v>3.99</v>
      </c>
      <c r="G373" s="113"/>
      <c r="H373" s="113"/>
      <c r="I373" s="156"/>
      <c r="J373" s="156"/>
      <c r="K373" s="157"/>
      <c r="L373" s="157"/>
      <c r="M373" s="157">
        <f t="shared" si="304"/>
        <v>0.99750000000000005</v>
      </c>
      <c r="N373" s="157"/>
      <c r="O373" s="190">
        <f t="shared" si="298"/>
        <v>11670.750000000002</v>
      </c>
      <c r="P373" s="251">
        <v>50010</v>
      </c>
      <c r="Q373" s="174"/>
      <c r="R373" s="113">
        <f t="shared" si="305"/>
        <v>21.5</v>
      </c>
      <c r="S373" s="113">
        <v>21</v>
      </c>
      <c r="T373" s="113">
        <v>3</v>
      </c>
      <c r="U373" s="113">
        <f t="shared" si="306"/>
        <v>135</v>
      </c>
      <c r="V373" s="187">
        <f t="shared" si="307"/>
        <v>11.5</v>
      </c>
      <c r="W373" s="113">
        <v>11</v>
      </c>
      <c r="X373" s="113">
        <v>3</v>
      </c>
      <c r="Y373" s="160"/>
      <c r="Z373" s="161"/>
      <c r="AA373" s="162"/>
      <c r="AB373" s="163"/>
      <c r="AC373" s="200">
        <f t="shared" si="308"/>
        <v>971589.93750000023</v>
      </c>
      <c r="AD373" s="178">
        <f t="shared" si="309"/>
        <v>560196.00000000012</v>
      </c>
      <c r="AE373" s="179">
        <f t="shared" si="310"/>
        <v>376381.68750000006</v>
      </c>
      <c r="AF373" s="180">
        <f t="shared" si="311"/>
        <v>35012.250000000007</v>
      </c>
      <c r="AG373" s="165">
        <f>ROUND(Y373+Z373,0)</f>
        <v>0</v>
      </c>
      <c r="AH373" s="165">
        <f t="shared" si="312"/>
        <v>971590</v>
      </c>
      <c r="AI373" s="166"/>
      <c r="AJ373" s="167">
        <f t="shared" si="313"/>
        <v>971590</v>
      </c>
    </row>
    <row r="374" spans="1:36" s="132" customFormat="1" ht="39" customHeight="1" x14ac:dyDescent="0.25">
      <c r="A374" s="153">
        <v>9</v>
      </c>
      <c r="B374" s="201" t="s">
        <v>1055</v>
      </c>
      <c r="C374" s="251">
        <v>30895</v>
      </c>
      <c r="D374" s="199" t="s">
        <v>49</v>
      </c>
      <c r="E374" s="202" t="s">
        <v>1056</v>
      </c>
      <c r="F374" s="155">
        <v>3.66</v>
      </c>
      <c r="G374" s="113"/>
      <c r="H374" s="113">
        <v>0.2</v>
      </c>
      <c r="I374" s="156"/>
      <c r="J374" s="156"/>
      <c r="K374" s="157"/>
      <c r="L374" s="157"/>
      <c r="M374" s="157">
        <f t="shared" si="304"/>
        <v>0.96500000000000008</v>
      </c>
      <c r="N374" s="157"/>
      <c r="O374" s="190">
        <f t="shared" si="298"/>
        <v>11290.5</v>
      </c>
      <c r="P374" s="251">
        <v>53571</v>
      </c>
      <c r="Q374" s="174"/>
      <c r="R374" s="113">
        <f t="shared" si="305"/>
        <v>17</v>
      </c>
      <c r="S374" s="113">
        <v>16</v>
      </c>
      <c r="T374" s="113">
        <v>9</v>
      </c>
      <c r="U374" s="113">
        <f t="shared" si="306"/>
        <v>252</v>
      </c>
      <c r="V374" s="187">
        <f t="shared" si="307"/>
        <v>21</v>
      </c>
      <c r="W374" s="113">
        <v>21</v>
      </c>
      <c r="X374" s="113">
        <v>0</v>
      </c>
      <c r="Y374" s="160"/>
      <c r="Z374" s="161"/>
      <c r="AA374" s="162"/>
      <c r="AB374" s="163"/>
      <c r="AC374" s="200">
        <f t="shared" si="308"/>
        <v>863723.25</v>
      </c>
      <c r="AD374" s="178">
        <f t="shared" si="309"/>
        <v>541944</v>
      </c>
      <c r="AE374" s="179">
        <f t="shared" si="310"/>
        <v>287907.75</v>
      </c>
      <c r="AF374" s="180">
        <f t="shared" si="311"/>
        <v>33871.5</v>
      </c>
      <c r="AG374" s="165">
        <f>ROUND(Y374+Z374,0)</f>
        <v>0</v>
      </c>
      <c r="AH374" s="165">
        <f t="shared" si="312"/>
        <v>863723</v>
      </c>
      <c r="AI374" s="166"/>
      <c r="AJ374" s="167">
        <f t="shared" si="313"/>
        <v>863723</v>
      </c>
    </row>
    <row r="375" spans="1:36" s="146" customFormat="1" ht="32.25" customHeight="1" x14ac:dyDescent="0.25">
      <c r="A375" s="181">
        <v>63</v>
      </c>
      <c r="B375" s="181" t="s">
        <v>1057</v>
      </c>
      <c r="C375" s="183"/>
      <c r="D375" s="183"/>
      <c r="E375" s="183"/>
      <c r="F375" s="185"/>
      <c r="G375" s="183"/>
      <c r="H375" s="183"/>
      <c r="I375" s="183"/>
      <c r="J375" s="185"/>
      <c r="K375" s="183"/>
      <c r="L375" s="183"/>
      <c r="M375" s="185"/>
      <c r="N375" s="185"/>
      <c r="O375" s="190">
        <f t="shared" si="298"/>
        <v>0</v>
      </c>
      <c r="P375" s="183"/>
      <c r="Q375" s="185"/>
      <c r="R375" s="183"/>
      <c r="S375" s="183"/>
      <c r="T375" s="185"/>
      <c r="U375" s="183"/>
      <c r="V375" s="183"/>
      <c r="W375" s="183"/>
      <c r="X375" s="183"/>
      <c r="Y375" s="181">
        <f>SUM(Y376:Y378)</f>
        <v>682344</v>
      </c>
      <c r="Z375" s="181">
        <f t="shared" ref="Z375:AJ375" si="314">SUM(Z376:Z378)</f>
        <v>625482</v>
      </c>
      <c r="AA375" s="181">
        <f t="shared" si="314"/>
        <v>480168</v>
      </c>
      <c r="AB375" s="181">
        <f t="shared" si="314"/>
        <v>145314</v>
      </c>
      <c r="AC375" s="181">
        <f t="shared" si="314"/>
        <v>2300278.5000000005</v>
      </c>
      <c r="AD375" s="181">
        <f t="shared" si="314"/>
        <v>1301508.0000000002</v>
      </c>
      <c r="AE375" s="181">
        <f t="shared" si="314"/>
        <v>917426.25000000023</v>
      </c>
      <c r="AF375" s="181">
        <f t="shared" si="314"/>
        <v>81344.250000000015</v>
      </c>
      <c r="AG375" s="181">
        <f t="shared" si="314"/>
        <v>1307826</v>
      </c>
      <c r="AH375" s="181">
        <f t="shared" si="314"/>
        <v>2300279</v>
      </c>
      <c r="AI375" s="181">
        <f t="shared" si="314"/>
        <v>0</v>
      </c>
      <c r="AJ375" s="186">
        <f t="shared" si="314"/>
        <v>3608105</v>
      </c>
    </row>
    <row r="376" spans="1:36" s="132" customFormat="1" ht="39" customHeight="1" x14ac:dyDescent="0.25">
      <c r="A376" s="153">
        <v>1</v>
      </c>
      <c r="B376" s="201" t="s">
        <v>1058</v>
      </c>
      <c r="C376" s="251" t="s">
        <v>1059</v>
      </c>
      <c r="D376" s="199" t="s">
        <v>432</v>
      </c>
      <c r="E376" s="202" t="s">
        <v>396</v>
      </c>
      <c r="F376" s="155">
        <v>4.32</v>
      </c>
      <c r="G376" s="113"/>
      <c r="H376" s="113"/>
      <c r="I376" s="156"/>
      <c r="J376" s="156"/>
      <c r="K376" s="157"/>
      <c r="L376" s="157"/>
      <c r="M376" s="157">
        <f>(F376+G376+H376+I376)*25%</f>
        <v>1.08</v>
      </c>
      <c r="N376" s="157"/>
      <c r="O376" s="190">
        <f t="shared" si="298"/>
        <v>12636</v>
      </c>
      <c r="P376" s="251" t="s">
        <v>1060</v>
      </c>
      <c r="Q376" s="174" t="s">
        <v>129</v>
      </c>
      <c r="R376" s="113">
        <f>(S376)+(IF(T376=0,0,IF(T376&lt;7,1/2,1)))</f>
        <v>30</v>
      </c>
      <c r="S376" s="113">
        <v>29</v>
      </c>
      <c r="T376" s="113">
        <v>8</v>
      </c>
      <c r="U376" s="113">
        <f>(W376*12)+X376</f>
        <v>110</v>
      </c>
      <c r="V376" s="187">
        <f>(W376)+(IF(X376=0,0,IF(X376&lt;6,1/2,1)))</f>
        <v>9.5</v>
      </c>
      <c r="W376" s="113">
        <v>9</v>
      </c>
      <c r="X376" s="113">
        <v>2</v>
      </c>
      <c r="Y376" s="252">
        <f>0.9*60*O376</f>
        <v>682344</v>
      </c>
      <c r="Z376" s="253">
        <f>SUM(AA376:AB376)</f>
        <v>625482</v>
      </c>
      <c r="AA376" s="162">
        <f>4*V376*O376</f>
        <v>480168</v>
      </c>
      <c r="AB376" s="163">
        <f>SUM(4*O376)+(0.5*(R376-15)*O376)</f>
        <v>145314</v>
      </c>
      <c r="AC376" s="203"/>
      <c r="AD376" s="178"/>
      <c r="AE376" s="179"/>
      <c r="AF376" s="180"/>
      <c r="AG376" s="165">
        <f>ROUND(Y376+Z376,0)</f>
        <v>1307826</v>
      </c>
      <c r="AH376" s="165">
        <f>ROUND(AC376,0)</f>
        <v>0</v>
      </c>
      <c r="AI376" s="166"/>
      <c r="AJ376" s="167">
        <f>AG376+AH376+AI376</f>
        <v>1307826</v>
      </c>
    </row>
    <row r="377" spans="1:36" s="132" customFormat="1" ht="53.4" customHeight="1" x14ac:dyDescent="0.25">
      <c r="A377" s="153">
        <v>2</v>
      </c>
      <c r="B377" s="201" t="s">
        <v>1061</v>
      </c>
      <c r="C377" s="251" t="s">
        <v>1062</v>
      </c>
      <c r="D377" s="199" t="s">
        <v>1063</v>
      </c>
      <c r="E377" s="202" t="s">
        <v>398</v>
      </c>
      <c r="F377" s="155">
        <v>4.9800000000000004</v>
      </c>
      <c r="G377" s="113"/>
      <c r="H377" s="113">
        <v>0.3</v>
      </c>
      <c r="I377" s="156"/>
      <c r="J377" s="156"/>
      <c r="K377" s="157"/>
      <c r="L377" s="157"/>
      <c r="M377" s="157">
        <f>(F377+G377+H377+I377)*25%</f>
        <v>1.32</v>
      </c>
      <c r="N377" s="157"/>
      <c r="O377" s="190">
        <f t="shared" si="298"/>
        <v>15444.000000000002</v>
      </c>
      <c r="P377" s="251" t="s">
        <v>1064</v>
      </c>
      <c r="Q377" s="174"/>
      <c r="R377" s="113">
        <f>(S377)+(IF(T377=0,0,IF(T377&lt;7,1/2,1)))</f>
        <v>26</v>
      </c>
      <c r="S377" s="113">
        <v>25</v>
      </c>
      <c r="T377" s="113">
        <v>11</v>
      </c>
      <c r="U377" s="113">
        <f>(W377*12)+X377</f>
        <v>122</v>
      </c>
      <c r="V377" s="187">
        <f>(W377)+(IF(X377=0,0,IF(X377&lt;6,1/2,1)))</f>
        <v>10.5</v>
      </c>
      <c r="W377" s="113">
        <v>10</v>
      </c>
      <c r="X377" s="113">
        <v>2</v>
      </c>
      <c r="Y377" s="252"/>
      <c r="Z377" s="253"/>
      <c r="AA377" s="162"/>
      <c r="AB377" s="163"/>
      <c r="AC377" s="203">
        <f>AD377+AE377+AF377</f>
        <v>1389960.0000000002</v>
      </c>
      <c r="AD377" s="178">
        <f>0.8*60*O377</f>
        <v>741312.00000000012</v>
      </c>
      <c r="AE377" s="179">
        <f>1.5*O377*R377</f>
        <v>602316.00000000012</v>
      </c>
      <c r="AF377" s="180">
        <f>3*O377</f>
        <v>46332.000000000007</v>
      </c>
      <c r="AG377" s="165">
        <f>ROUND(Y377+Z377,0)</f>
        <v>0</v>
      </c>
      <c r="AH377" s="165">
        <f>ROUND(AC377,0)</f>
        <v>1389960</v>
      </c>
      <c r="AI377" s="166"/>
      <c r="AJ377" s="167">
        <f>AG377+AH377+AI377</f>
        <v>1389960</v>
      </c>
    </row>
    <row r="378" spans="1:36" s="119" customFormat="1" ht="44.25" customHeight="1" x14ac:dyDescent="0.25">
      <c r="A378" s="153">
        <v>3</v>
      </c>
      <c r="B378" s="201" t="s">
        <v>1065</v>
      </c>
      <c r="C378" s="169" t="s">
        <v>1066</v>
      </c>
      <c r="D378" s="199" t="s">
        <v>456</v>
      </c>
      <c r="E378" s="423" t="s">
        <v>727</v>
      </c>
      <c r="F378" s="113">
        <v>3.99</v>
      </c>
      <c r="G378" s="157"/>
      <c r="H378" s="157"/>
      <c r="I378" s="156"/>
      <c r="J378" s="156"/>
      <c r="K378" s="157"/>
      <c r="L378" s="171"/>
      <c r="M378" s="157">
        <f>(F378+G378+H378)*25%</f>
        <v>0.99750000000000005</v>
      </c>
      <c r="N378" s="172"/>
      <c r="O378" s="190">
        <f t="shared" si="298"/>
        <v>11670.750000000002</v>
      </c>
      <c r="P378" s="169" t="s">
        <v>1067</v>
      </c>
      <c r="Q378" s="174"/>
      <c r="R378" s="113">
        <f>(S378)+(IF(T378=0,0,IF(T378&lt;7,1/2,1)))</f>
        <v>18</v>
      </c>
      <c r="S378" s="113">
        <v>17</v>
      </c>
      <c r="T378" s="113">
        <v>8</v>
      </c>
      <c r="U378" s="113">
        <f>(W378*12)+X378</f>
        <v>154</v>
      </c>
      <c r="V378" s="187">
        <f>(W378)+(IF(X378=0,0,IF(X378&lt;6,1/2,1)))</f>
        <v>13</v>
      </c>
      <c r="W378" s="113">
        <v>12</v>
      </c>
      <c r="X378" s="113">
        <v>10</v>
      </c>
      <c r="Y378" s="160"/>
      <c r="Z378" s="161"/>
      <c r="AA378" s="176"/>
      <c r="AB378" s="176"/>
      <c r="AC378" s="203">
        <f>AD378+AE378+AF378</f>
        <v>910318.50000000023</v>
      </c>
      <c r="AD378" s="178">
        <f>0.8*60*O378</f>
        <v>560196.00000000012</v>
      </c>
      <c r="AE378" s="179">
        <f>1.5*O378*R378</f>
        <v>315110.25000000006</v>
      </c>
      <c r="AF378" s="180">
        <f>3*O378</f>
        <v>35012.250000000007</v>
      </c>
      <c r="AG378" s="165">
        <f>ROUND(Y378+Z378,0)</f>
        <v>0</v>
      </c>
      <c r="AH378" s="165">
        <f>ROUND(AC378,0)</f>
        <v>910319</v>
      </c>
      <c r="AI378" s="165"/>
      <c r="AJ378" s="167">
        <f>AG378+AH378+AI378</f>
        <v>910319</v>
      </c>
    </row>
    <row r="379" spans="1:36" s="146" customFormat="1" ht="32.25" customHeight="1" x14ac:dyDescent="0.25">
      <c r="A379" s="181">
        <v>64</v>
      </c>
      <c r="B379" s="181" t="s">
        <v>1068</v>
      </c>
      <c r="C379" s="183"/>
      <c r="D379" s="183"/>
      <c r="E379" s="183"/>
      <c r="F379" s="185"/>
      <c r="G379" s="183"/>
      <c r="H379" s="183"/>
      <c r="I379" s="183"/>
      <c r="J379" s="185"/>
      <c r="K379" s="183"/>
      <c r="L379" s="183"/>
      <c r="M379" s="185"/>
      <c r="N379" s="185"/>
      <c r="O379" s="190">
        <f t="shared" si="298"/>
        <v>0</v>
      </c>
      <c r="P379" s="183"/>
      <c r="Q379" s="185"/>
      <c r="R379" s="113"/>
      <c r="S379" s="153"/>
      <c r="T379" s="153"/>
      <c r="U379" s="183"/>
      <c r="V379" s="183"/>
      <c r="W379" s="183"/>
      <c r="X379" s="183"/>
      <c r="Y379" s="181">
        <f>SUM(Y380:Y389)</f>
        <v>1857365.6400000001</v>
      </c>
      <c r="Z379" s="181">
        <f t="shared" ref="Z379:AJ379" si="315">SUM(Z380:Z389)</f>
        <v>1247529.1724999999</v>
      </c>
      <c r="AA379" s="181">
        <f t="shared" si="315"/>
        <v>986078.34</v>
      </c>
      <c r="AB379" s="181">
        <f t="shared" si="315"/>
        <v>261450.83249999999</v>
      </c>
      <c r="AC379" s="181">
        <f t="shared" si="315"/>
        <v>5707760.1749999998</v>
      </c>
      <c r="AD379" s="181">
        <f t="shared" si="315"/>
        <v>3347978.4000000004</v>
      </c>
      <c r="AE379" s="181">
        <f t="shared" si="315"/>
        <v>2209290.5250000004</v>
      </c>
      <c r="AF379" s="181">
        <f t="shared" si="315"/>
        <v>150491.25</v>
      </c>
      <c r="AG379" s="181">
        <f t="shared" si="315"/>
        <v>3104896</v>
      </c>
      <c r="AH379" s="181">
        <f t="shared" si="315"/>
        <v>5707762</v>
      </c>
      <c r="AI379" s="181">
        <f t="shared" si="315"/>
        <v>0</v>
      </c>
      <c r="AJ379" s="186">
        <f t="shared" si="315"/>
        <v>8812658</v>
      </c>
    </row>
    <row r="380" spans="1:36" s="119" customFormat="1" ht="50.25" customHeight="1" x14ac:dyDescent="0.25">
      <c r="A380" s="153">
        <v>1</v>
      </c>
      <c r="B380" s="168" t="s">
        <v>1069</v>
      </c>
      <c r="C380" s="169" t="s">
        <v>1070</v>
      </c>
      <c r="D380" s="199" t="s">
        <v>1071</v>
      </c>
      <c r="E380" s="423" t="s">
        <v>1072</v>
      </c>
      <c r="F380" s="113">
        <v>4.32</v>
      </c>
      <c r="G380" s="157"/>
      <c r="H380" s="157">
        <v>0.2</v>
      </c>
      <c r="I380" s="156"/>
      <c r="J380" s="156"/>
      <c r="K380" s="157"/>
      <c r="L380" s="171"/>
      <c r="M380" s="157">
        <f>(F380+G380+H380+I380)*25%</f>
        <v>1.1300000000000001</v>
      </c>
      <c r="N380" s="172"/>
      <c r="O380" s="190">
        <f t="shared" si="298"/>
        <v>13221</v>
      </c>
      <c r="P380" s="112">
        <v>49310</v>
      </c>
      <c r="Q380" s="174">
        <v>45901</v>
      </c>
      <c r="R380" s="113">
        <f t="shared" ref="R380:R389" si="316">(S380)+(IF(T380=0,0,IF(T380&lt;7,1/2,1)))</f>
        <v>24</v>
      </c>
      <c r="S380" s="113">
        <v>24</v>
      </c>
      <c r="T380" s="113">
        <v>0</v>
      </c>
      <c r="U380" s="113">
        <f t="shared" ref="U380:U389" si="317">(W380*12)+X380</f>
        <v>112</v>
      </c>
      <c r="V380" s="187">
        <f t="shared" ref="V380:V389" si="318">(W380)+(IF(X380=0,0,IF(X380&lt;6,1/2,1)))</f>
        <v>9.5</v>
      </c>
      <c r="W380" s="113">
        <v>9</v>
      </c>
      <c r="X380" s="113">
        <v>4</v>
      </c>
      <c r="Y380" s="252">
        <f>0.9*60*O380</f>
        <v>713934</v>
      </c>
      <c r="Z380" s="253">
        <f>SUM(AA380:AB380)</f>
        <v>614776.5</v>
      </c>
      <c r="AA380" s="162">
        <f>4*V380*O380</f>
        <v>502398</v>
      </c>
      <c r="AB380" s="163">
        <f>SUM(4*O380)+(0.5*(R380-15)*O380)</f>
        <v>112378.5</v>
      </c>
      <c r="AC380" s="177"/>
      <c r="AD380" s="178"/>
      <c r="AE380" s="179"/>
      <c r="AF380" s="180"/>
      <c r="AG380" s="165">
        <f>ROUND(Y380+Z380,0)</f>
        <v>1328711</v>
      </c>
      <c r="AH380" s="165">
        <f t="shared" ref="AH380:AH389" si="319">ROUND(AC380,0)</f>
        <v>0</v>
      </c>
      <c r="AI380" s="165"/>
      <c r="AJ380" s="167">
        <f t="shared" ref="AJ380:AJ389" si="320">AG380+AH380+AI380</f>
        <v>1328711</v>
      </c>
    </row>
    <row r="381" spans="1:36" s="119" customFormat="1" ht="50.25" customHeight="1" x14ac:dyDescent="0.25">
      <c r="A381" s="153">
        <v>2</v>
      </c>
      <c r="B381" s="201" t="s">
        <v>1073</v>
      </c>
      <c r="C381" s="251">
        <v>25131</v>
      </c>
      <c r="D381" s="199" t="s">
        <v>1074</v>
      </c>
      <c r="E381" s="266" t="s">
        <v>1075</v>
      </c>
      <c r="F381" s="155">
        <v>3.99</v>
      </c>
      <c r="G381" s="113"/>
      <c r="H381" s="157">
        <v>0.2</v>
      </c>
      <c r="I381" s="156"/>
      <c r="J381" s="156"/>
      <c r="K381" s="157"/>
      <c r="L381" s="157"/>
      <c r="M381" s="157">
        <f>(F381+G381+H381+I381)*25%</f>
        <v>1.0475000000000001</v>
      </c>
      <c r="N381" s="157"/>
      <c r="O381" s="190">
        <f t="shared" si="298"/>
        <v>12255.750000000002</v>
      </c>
      <c r="P381" s="199">
        <v>47788</v>
      </c>
      <c r="Q381" s="174">
        <v>45901</v>
      </c>
      <c r="R381" s="113">
        <f t="shared" si="316"/>
        <v>17.5</v>
      </c>
      <c r="S381" s="113">
        <v>17</v>
      </c>
      <c r="T381" s="113">
        <v>1</v>
      </c>
      <c r="U381" s="113">
        <f t="shared" si="317"/>
        <v>62</v>
      </c>
      <c r="V381" s="187">
        <f t="shared" si="318"/>
        <v>5.5</v>
      </c>
      <c r="W381" s="113">
        <v>5</v>
      </c>
      <c r="X381" s="113">
        <v>2</v>
      </c>
      <c r="Y381" s="252">
        <f>0.9*60*O381</f>
        <v>661810.50000000012</v>
      </c>
      <c r="Z381" s="253">
        <f>SUM(AA381:AB381)</f>
        <v>333969.18750000006</v>
      </c>
      <c r="AA381" s="162">
        <f>4*V381*O381</f>
        <v>269626.50000000006</v>
      </c>
      <c r="AB381" s="163">
        <f>SUM(4*O381)+(0.5*(R381-15)*O381)</f>
        <v>64342.687500000007</v>
      </c>
      <c r="AC381" s="203"/>
      <c r="AD381" s="178"/>
      <c r="AE381" s="179"/>
      <c r="AF381" s="180"/>
      <c r="AG381" s="165">
        <f>ROUND(Y381+Z381,0)</f>
        <v>995780</v>
      </c>
      <c r="AH381" s="165">
        <f t="shared" si="319"/>
        <v>0</v>
      </c>
      <c r="AI381" s="166"/>
      <c r="AJ381" s="167">
        <f t="shared" si="320"/>
        <v>995780</v>
      </c>
    </row>
    <row r="382" spans="1:36" s="119" customFormat="1" ht="50.25" customHeight="1" x14ac:dyDescent="0.25">
      <c r="A382" s="153">
        <v>3</v>
      </c>
      <c r="B382" s="201" t="s">
        <v>1076</v>
      </c>
      <c r="C382" s="199">
        <v>25419</v>
      </c>
      <c r="D382" s="199" t="s">
        <v>49</v>
      </c>
      <c r="E382" s="202" t="s">
        <v>1077</v>
      </c>
      <c r="F382" s="155">
        <v>3.63</v>
      </c>
      <c r="G382" s="113"/>
      <c r="H382" s="113"/>
      <c r="I382" s="267">
        <f>F382*5%</f>
        <v>0.18149999999999999</v>
      </c>
      <c r="J382" s="156"/>
      <c r="K382" s="157"/>
      <c r="L382" s="157"/>
      <c r="M382" s="157"/>
      <c r="N382" s="157"/>
      <c r="O382" s="190">
        <f t="shared" si="298"/>
        <v>8918.91</v>
      </c>
      <c r="P382" s="199">
        <v>48092</v>
      </c>
      <c r="Q382" s="174">
        <v>45901</v>
      </c>
      <c r="R382" s="113">
        <f t="shared" si="316"/>
        <v>26</v>
      </c>
      <c r="S382" s="113">
        <v>25</v>
      </c>
      <c r="T382" s="113">
        <v>11</v>
      </c>
      <c r="U382" s="113">
        <f t="shared" si="317"/>
        <v>72</v>
      </c>
      <c r="V382" s="187">
        <f t="shared" si="318"/>
        <v>6</v>
      </c>
      <c r="W382" s="113">
        <v>6</v>
      </c>
      <c r="X382" s="113">
        <v>0</v>
      </c>
      <c r="Y382" s="252">
        <f>0.9*60*O382</f>
        <v>481621.14</v>
      </c>
      <c r="Z382" s="253">
        <f>SUM(AA382:AB382)</f>
        <v>298783.48499999999</v>
      </c>
      <c r="AA382" s="162">
        <f>4*V382*O382</f>
        <v>214053.84</v>
      </c>
      <c r="AB382" s="163">
        <f>SUM(4*O382)+(0.5*(R382-15)*O382)</f>
        <v>84729.64499999999</v>
      </c>
      <c r="AC382" s="200"/>
      <c r="AD382" s="178"/>
      <c r="AE382" s="179"/>
      <c r="AF382" s="180"/>
      <c r="AG382" s="165">
        <f>ROUND(Y382+Z382,0)</f>
        <v>780405</v>
      </c>
      <c r="AH382" s="165">
        <f t="shared" si="319"/>
        <v>0</v>
      </c>
      <c r="AI382" s="166"/>
      <c r="AJ382" s="167">
        <f t="shared" si="320"/>
        <v>780405</v>
      </c>
    </row>
    <row r="383" spans="1:36" s="119" customFormat="1" ht="50.25" customHeight="1" x14ac:dyDescent="0.25">
      <c r="A383" s="153">
        <v>4</v>
      </c>
      <c r="B383" s="201" t="s">
        <v>1078</v>
      </c>
      <c r="C383" s="199">
        <v>27079</v>
      </c>
      <c r="D383" s="199" t="s">
        <v>1079</v>
      </c>
      <c r="E383" s="202" t="s">
        <v>1080</v>
      </c>
      <c r="F383" s="155">
        <v>4.32</v>
      </c>
      <c r="G383" s="113"/>
      <c r="H383" s="113"/>
      <c r="I383" s="156"/>
      <c r="J383" s="156"/>
      <c r="K383" s="157"/>
      <c r="L383" s="157"/>
      <c r="M383" s="157">
        <f>(F383+G383+H383+I383)*25%</f>
        <v>1.08</v>
      </c>
      <c r="N383" s="157"/>
      <c r="O383" s="190">
        <f t="shared" si="298"/>
        <v>12636</v>
      </c>
      <c r="P383" s="199">
        <v>49735</v>
      </c>
      <c r="Q383" s="174"/>
      <c r="R383" s="113">
        <f t="shared" si="316"/>
        <v>20.5</v>
      </c>
      <c r="S383" s="113">
        <v>20</v>
      </c>
      <c r="T383" s="113">
        <v>3</v>
      </c>
      <c r="U383" s="113">
        <f t="shared" si="317"/>
        <v>126</v>
      </c>
      <c r="V383" s="187">
        <f t="shared" si="318"/>
        <v>11</v>
      </c>
      <c r="W383" s="113">
        <v>10</v>
      </c>
      <c r="X383" s="113">
        <v>6</v>
      </c>
      <c r="Y383" s="160"/>
      <c r="Z383" s="161"/>
      <c r="AA383" s="162"/>
      <c r="AB383" s="163"/>
      <c r="AC383" s="200">
        <f t="shared" ref="AC383:AC389" si="321">AD383+AE383+AF383</f>
        <v>1032993</v>
      </c>
      <c r="AD383" s="178">
        <f t="shared" ref="AD383:AD389" si="322">0.8*60*O383</f>
        <v>606528</v>
      </c>
      <c r="AE383" s="179">
        <f t="shared" ref="AE383:AE389" si="323">1.5*O383*R383</f>
        <v>388557</v>
      </c>
      <c r="AF383" s="180">
        <f>3*O383</f>
        <v>37908</v>
      </c>
      <c r="AG383" s="165"/>
      <c r="AH383" s="165">
        <f t="shared" si="319"/>
        <v>1032993</v>
      </c>
      <c r="AI383" s="166"/>
      <c r="AJ383" s="167">
        <f t="shared" si="320"/>
        <v>1032993</v>
      </c>
    </row>
    <row r="384" spans="1:36" s="119" customFormat="1" ht="50.25" customHeight="1" x14ac:dyDescent="0.25">
      <c r="A384" s="153">
        <v>5</v>
      </c>
      <c r="B384" s="201" t="s">
        <v>1017</v>
      </c>
      <c r="C384" s="199">
        <v>28327</v>
      </c>
      <c r="D384" s="199" t="s">
        <v>1081</v>
      </c>
      <c r="E384" s="202" t="s">
        <v>1080</v>
      </c>
      <c r="F384" s="155">
        <v>4.32</v>
      </c>
      <c r="G384" s="113"/>
      <c r="H384" s="113">
        <v>0.2</v>
      </c>
      <c r="I384" s="156"/>
      <c r="J384" s="156"/>
      <c r="K384" s="157"/>
      <c r="L384" s="157"/>
      <c r="M384" s="157">
        <f>(F384+G384+H384+I384)*25%</f>
        <v>1.1300000000000001</v>
      </c>
      <c r="N384" s="157"/>
      <c r="O384" s="190">
        <f t="shared" si="298"/>
        <v>13221</v>
      </c>
      <c r="P384" s="199">
        <v>50253</v>
      </c>
      <c r="Q384" s="174"/>
      <c r="R384" s="113">
        <f t="shared" si="316"/>
        <v>27</v>
      </c>
      <c r="S384" s="113">
        <v>26</v>
      </c>
      <c r="T384" s="113">
        <v>9</v>
      </c>
      <c r="U384" s="113">
        <f t="shared" si="317"/>
        <v>143</v>
      </c>
      <c r="V384" s="187">
        <f t="shared" si="318"/>
        <v>12</v>
      </c>
      <c r="W384" s="113">
        <v>11</v>
      </c>
      <c r="X384" s="113">
        <v>11</v>
      </c>
      <c r="Y384" s="160"/>
      <c r="Z384" s="161"/>
      <c r="AA384" s="162"/>
      <c r="AB384" s="163"/>
      <c r="AC384" s="200">
        <f t="shared" si="321"/>
        <v>1209721.5</v>
      </c>
      <c r="AD384" s="178">
        <f t="shared" si="322"/>
        <v>634608</v>
      </c>
      <c r="AE384" s="179">
        <f t="shared" si="323"/>
        <v>535450.5</v>
      </c>
      <c r="AF384" s="180">
        <f>3*O384</f>
        <v>39663</v>
      </c>
      <c r="AG384" s="165"/>
      <c r="AH384" s="165">
        <f t="shared" si="319"/>
        <v>1209722</v>
      </c>
      <c r="AI384" s="166"/>
      <c r="AJ384" s="167">
        <f t="shared" si="320"/>
        <v>1209722</v>
      </c>
    </row>
    <row r="385" spans="1:36" s="119" customFormat="1" ht="50.25" customHeight="1" x14ac:dyDescent="0.25">
      <c r="A385" s="153">
        <v>6</v>
      </c>
      <c r="B385" s="201" t="s">
        <v>1082</v>
      </c>
      <c r="C385" s="199">
        <v>29403</v>
      </c>
      <c r="D385" s="199" t="s">
        <v>1071</v>
      </c>
      <c r="E385" s="202" t="s">
        <v>1083</v>
      </c>
      <c r="F385" s="155">
        <v>3.99</v>
      </c>
      <c r="G385" s="113"/>
      <c r="H385" s="113"/>
      <c r="I385" s="156"/>
      <c r="J385" s="156"/>
      <c r="K385" s="157"/>
      <c r="L385" s="157"/>
      <c r="M385" s="157">
        <f>(F385+G385+H385+I385)*25%</f>
        <v>0.99750000000000005</v>
      </c>
      <c r="N385" s="157"/>
      <c r="O385" s="190">
        <f t="shared" si="298"/>
        <v>11670.750000000002</v>
      </c>
      <c r="P385" s="199">
        <v>52079</v>
      </c>
      <c r="Q385" s="174"/>
      <c r="R385" s="113">
        <f t="shared" si="316"/>
        <v>21</v>
      </c>
      <c r="S385" s="113">
        <v>20</v>
      </c>
      <c r="T385" s="113">
        <v>7</v>
      </c>
      <c r="U385" s="113">
        <f t="shared" si="317"/>
        <v>203</v>
      </c>
      <c r="V385" s="187">
        <f t="shared" si="318"/>
        <v>17</v>
      </c>
      <c r="W385" s="113">
        <v>16</v>
      </c>
      <c r="X385" s="113">
        <v>11</v>
      </c>
      <c r="Y385" s="160"/>
      <c r="Z385" s="161"/>
      <c r="AA385" s="162"/>
      <c r="AB385" s="163"/>
      <c r="AC385" s="200">
        <f t="shared" si="321"/>
        <v>962836.87500000023</v>
      </c>
      <c r="AD385" s="178">
        <f t="shared" si="322"/>
        <v>560196.00000000012</v>
      </c>
      <c r="AE385" s="179">
        <f t="shared" si="323"/>
        <v>367628.62500000006</v>
      </c>
      <c r="AF385" s="180">
        <f>3*O385</f>
        <v>35012.250000000007</v>
      </c>
      <c r="AG385" s="165"/>
      <c r="AH385" s="165">
        <f t="shared" si="319"/>
        <v>962837</v>
      </c>
      <c r="AI385" s="166"/>
      <c r="AJ385" s="167">
        <f t="shared" si="320"/>
        <v>962837</v>
      </c>
    </row>
    <row r="386" spans="1:36" s="119" customFormat="1" ht="50.25" customHeight="1" x14ac:dyDescent="0.25">
      <c r="A386" s="153">
        <v>7</v>
      </c>
      <c r="B386" s="201" t="s">
        <v>1084</v>
      </c>
      <c r="C386" s="199">
        <v>27877</v>
      </c>
      <c r="D386" s="199" t="s">
        <v>1085</v>
      </c>
      <c r="E386" s="202" t="s">
        <v>1002</v>
      </c>
      <c r="F386" s="155">
        <v>3.46</v>
      </c>
      <c r="G386" s="113"/>
      <c r="H386" s="113"/>
      <c r="I386" s="156"/>
      <c r="J386" s="156"/>
      <c r="K386" s="157"/>
      <c r="L386" s="157"/>
      <c r="M386" s="157"/>
      <c r="N386" s="157"/>
      <c r="O386" s="190">
        <f t="shared" si="298"/>
        <v>8096.4</v>
      </c>
      <c r="P386" s="199">
        <v>49796</v>
      </c>
      <c r="Q386" s="174"/>
      <c r="R386" s="113">
        <f t="shared" si="316"/>
        <v>26</v>
      </c>
      <c r="S386" s="113">
        <v>25</v>
      </c>
      <c r="T386" s="113">
        <v>8</v>
      </c>
      <c r="U386" s="113">
        <f t="shared" si="317"/>
        <v>128</v>
      </c>
      <c r="V386" s="187">
        <f t="shared" si="318"/>
        <v>11</v>
      </c>
      <c r="W386" s="113">
        <v>10</v>
      </c>
      <c r="X386" s="113">
        <v>8</v>
      </c>
      <c r="Y386" s="160"/>
      <c r="Z386" s="161"/>
      <c r="AA386" s="162"/>
      <c r="AB386" s="163"/>
      <c r="AC386" s="200">
        <f t="shared" si="321"/>
        <v>704386.79999999993</v>
      </c>
      <c r="AD386" s="178">
        <f t="shared" si="322"/>
        <v>388627.19999999995</v>
      </c>
      <c r="AE386" s="179">
        <f t="shared" si="323"/>
        <v>315759.59999999998</v>
      </c>
      <c r="AF386" s="180"/>
      <c r="AG386" s="165"/>
      <c r="AH386" s="165">
        <f t="shared" si="319"/>
        <v>704387</v>
      </c>
      <c r="AI386" s="166"/>
      <c r="AJ386" s="167">
        <f t="shared" si="320"/>
        <v>704387</v>
      </c>
    </row>
    <row r="387" spans="1:36" s="119" customFormat="1" ht="50.25" customHeight="1" x14ac:dyDescent="0.25">
      <c r="A387" s="153">
        <v>8</v>
      </c>
      <c r="B387" s="201" t="s">
        <v>1086</v>
      </c>
      <c r="C387" s="199">
        <v>34316</v>
      </c>
      <c r="D387" s="199" t="s">
        <v>1087</v>
      </c>
      <c r="E387" s="202" t="s">
        <v>1002</v>
      </c>
      <c r="F387" s="155">
        <v>2.86</v>
      </c>
      <c r="G387" s="113"/>
      <c r="H387" s="113"/>
      <c r="I387" s="156"/>
      <c r="J387" s="156"/>
      <c r="K387" s="157"/>
      <c r="L387" s="157"/>
      <c r="M387" s="157"/>
      <c r="N387" s="157"/>
      <c r="O387" s="190">
        <f t="shared" si="298"/>
        <v>6692.4</v>
      </c>
      <c r="P387" s="199">
        <v>56980</v>
      </c>
      <c r="Q387" s="174"/>
      <c r="R387" s="113">
        <f t="shared" si="316"/>
        <v>10.5</v>
      </c>
      <c r="S387" s="113">
        <v>10</v>
      </c>
      <c r="T387" s="113">
        <v>3</v>
      </c>
      <c r="U387" s="113">
        <f t="shared" si="317"/>
        <v>364</v>
      </c>
      <c r="V387" s="187">
        <f t="shared" si="318"/>
        <v>30.5</v>
      </c>
      <c r="W387" s="113">
        <v>30</v>
      </c>
      <c r="X387" s="113">
        <v>4</v>
      </c>
      <c r="Y387" s="160"/>
      <c r="Z387" s="161"/>
      <c r="AA387" s="162"/>
      <c r="AB387" s="163"/>
      <c r="AC387" s="200">
        <f t="shared" si="321"/>
        <v>426640.49999999994</v>
      </c>
      <c r="AD387" s="178">
        <f t="shared" si="322"/>
        <v>321235.19999999995</v>
      </c>
      <c r="AE387" s="179">
        <f t="shared" si="323"/>
        <v>105405.29999999999</v>
      </c>
      <c r="AF387" s="180"/>
      <c r="AG387" s="165"/>
      <c r="AH387" s="165">
        <f t="shared" si="319"/>
        <v>426641</v>
      </c>
      <c r="AI387" s="166"/>
      <c r="AJ387" s="167">
        <f t="shared" si="320"/>
        <v>426641</v>
      </c>
    </row>
    <row r="388" spans="1:36" s="119" customFormat="1" ht="50.25" customHeight="1" x14ac:dyDescent="0.25">
      <c r="A388" s="153">
        <v>9</v>
      </c>
      <c r="B388" s="201" t="s">
        <v>1088</v>
      </c>
      <c r="C388" s="199">
        <v>26288</v>
      </c>
      <c r="D388" s="199" t="s">
        <v>751</v>
      </c>
      <c r="E388" s="202" t="s">
        <v>1089</v>
      </c>
      <c r="F388" s="155">
        <v>2.0499999999999998</v>
      </c>
      <c r="G388" s="113"/>
      <c r="H388" s="113"/>
      <c r="I388" s="156"/>
      <c r="J388" s="156"/>
      <c r="K388" s="157"/>
      <c r="L388" s="157"/>
      <c r="M388" s="157"/>
      <c r="N388" s="157"/>
      <c r="O388" s="190">
        <f t="shared" si="298"/>
        <v>4797</v>
      </c>
      <c r="P388" s="199">
        <v>48945</v>
      </c>
      <c r="Q388" s="174"/>
      <c r="R388" s="113">
        <f t="shared" si="316"/>
        <v>15</v>
      </c>
      <c r="S388" s="113">
        <v>14</v>
      </c>
      <c r="T388" s="113">
        <v>11</v>
      </c>
      <c r="U388" s="113">
        <f t="shared" si="317"/>
        <v>100</v>
      </c>
      <c r="V388" s="187">
        <f t="shared" si="318"/>
        <v>8.5</v>
      </c>
      <c r="W388" s="113">
        <v>8</v>
      </c>
      <c r="X388" s="113">
        <v>4</v>
      </c>
      <c r="Y388" s="160"/>
      <c r="Z388" s="161"/>
      <c r="AA388" s="162"/>
      <c r="AB388" s="163"/>
      <c r="AC388" s="200">
        <f t="shared" si="321"/>
        <v>338188.5</v>
      </c>
      <c r="AD388" s="178">
        <f t="shared" si="322"/>
        <v>230256</v>
      </c>
      <c r="AE388" s="179">
        <f t="shared" si="323"/>
        <v>107932.5</v>
      </c>
      <c r="AF388" s="180"/>
      <c r="AG388" s="165"/>
      <c r="AH388" s="165">
        <f t="shared" si="319"/>
        <v>338189</v>
      </c>
      <c r="AI388" s="166"/>
      <c r="AJ388" s="167">
        <f t="shared" si="320"/>
        <v>338189</v>
      </c>
    </row>
    <row r="389" spans="1:36" s="119" customFormat="1" ht="50.25" customHeight="1" x14ac:dyDescent="0.25">
      <c r="A389" s="153">
        <v>10</v>
      </c>
      <c r="B389" s="168" t="s">
        <v>1090</v>
      </c>
      <c r="C389" s="169">
        <v>30994</v>
      </c>
      <c r="D389" s="199" t="s">
        <v>1091</v>
      </c>
      <c r="E389" s="442" t="s">
        <v>598</v>
      </c>
      <c r="F389" s="113">
        <v>4.32</v>
      </c>
      <c r="G389" s="157"/>
      <c r="H389" s="157"/>
      <c r="I389" s="156"/>
      <c r="J389" s="156"/>
      <c r="K389" s="157"/>
      <c r="L389" s="171"/>
      <c r="M389" s="157">
        <f>(F389+G389+H389+I389)*25%</f>
        <v>1.08</v>
      </c>
      <c r="N389" s="172"/>
      <c r="O389" s="190">
        <f t="shared" si="298"/>
        <v>12636</v>
      </c>
      <c r="P389" s="112">
        <v>52932</v>
      </c>
      <c r="Q389" s="174"/>
      <c r="R389" s="113">
        <f t="shared" si="316"/>
        <v>20.5</v>
      </c>
      <c r="S389" s="113">
        <v>20</v>
      </c>
      <c r="T389" s="113">
        <v>5</v>
      </c>
      <c r="U389" s="113">
        <f t="shared" si="317"/>
        <v>231</v>
      </c>
      <c r="V389" s="187">
        <f t="shared" si="318"/>
        <v>19.5</v>
      </c>
      <c r="W389" s="113">
        <v>19</v>
      </c>
      <c r="X389" s="113">
        <v>3</v>
      </c>
      <c r="Y389" s="160"/>
      <c r="Z389" s="161"/>
      <c r="AA389" s="176"/>
      <c r="AB389" s="176"/>
      <c r="AC389" s="200">
        <f t="shared" si="321"/>
        <v>1032993</v>
      </c>
      <c r="AD389" s="178">
        <f t="shared" si="322"/>
        <v>606528</v>
      </c>
      <c r="AE389" s="179">
        <f t="shared" si="323"/>
        <v>388557</v>
      </c>
      <c r="AF389" s="180">
        <f>3*O389</f>
        <v>37908</v>
      </c>
      <c r="AG389" s="165">
        <f>ROUND(Y389+Z389,0)</f>
        <v>0</v>
      </c>
      <c r="AH389" s="165">
        <f t="shared" si="319"/>
        <v>1032993</v>
      </c>
      <c r="AI389" s="165"/>
      <c r="AJ389" s="167">
        <f t="shared" si="320"/>
        <v>1032993</v>
      </c>
    </row>
    <row r="390" spans="1:36" s="146" customFormat="1" ht="51.75" customHeight="1" x14ac:dyDescent="0.25">
      <c r="A390" s="181">
        <v>65</v>
      </c>
      <c r="B390" s="182" t="s">
        <v>1092</v>
      </c>
      <c r="C390" s="183"/>
      <c r="D390" s="183"/>
      <c r="E390" s="183"/>
      <c r="F390" s="185"/>
      <c r="G390" s="183"/>
      <c r="H390" s="183"/>
      <c r="I390" s="183"/>
      <c r="J390" s="185"/>
      <c r="K390" s="183"/>
      <c r="L390" s="183"/>
      <c r="M390" s="157"/>
      <c r="N390" s="185"/>
      <c r="O390" s="190">
        <f t="shared" si="298"/>
        <v>0</v>
      </c>
      <c r="P390" s="183"/>
      <c r="Q390" s="185"/>
      <c r="R390" s="113"/>
      <c r="S390" s="153"/>
      <c r="T390" s="153"/>
      <c r="U390" s="183"/>
      <c r="V390" s="183"/>
      <c r="W390" s="183"/>
      <c r="X390" s="183"/>
      <c r="Y390" s="181">
        <f t="shared" ref="Y390:AJ390" si="324">SUM(Y391:Y394)</f>
        <v>1566864</v>
      </c>
      <c r="Z390" s="181">
        <f t="shared" si="324"/>
        <v>983370.375</v>
      </c>
      <c r="AA390" s="181">
        <f t="shared" si="324"/>
        <v>638352</v>
      </c>
      <c r="AB390" s="181">
        <f t="shared" si="324"/>
        <v>345018.375</v>
      </c>
      <c r="AC390" s="181">
        <f t="shared" si="324"/>
        <v>2281851.0000000005</v>
      </c>
      <c r="AD390" s="181">
        <f t="shared" si="324"/>
        <v>1287468.0000000002</v>
      </c>
      <c r="AE390" s="181">
        <f t="shared" si="324"/>
        <v>913916.25000000023</v>
      </c>
      <c r="AF390" s="181">
        <f t="shared" si="324"/>
        <v>80466.750000000015</v>
      </c>
      <c r="AG390" s="181">
        <f t="shared" si="324"/>
        <v>2550235</v>
      </c>
      <c r="AH390" s="181">
        <f t="shared" si="324"/>
        <v>2281851</v>
      </c>
      <c r="AI390" s="181">
        <f t="shared" si="324"/>
        <v>0</v>
      </c>
      <c r="AJ390" s="186">
        <f t="shared" si="324"/>
        <v>4832086</v>
      </c>
    </row>
    <row r="391" spans="1:36" s="132" customFormat="1" ht="60" customHeight="1" x14ac:dyDescent="0.25">
      <c r="A391" s="153">
        <v>1</v>
      </c>
      <c r="B391" s="201" t="s">
        <v>1093</v>
      </c>
      <c r="C391" s="251">
        <v>25113</v>
      </c>
      <c r="D391" s="199" t="s">
        <v>1094</v>
      </c>
      <c r="E391" s="266" t="s">
        <v>647</v>
      </c>
      <c r="F391" s="155">
        <v>5.76</v>
      </c>
      <c r="G391" s="113"/>
      <c r="H391" s="113">
        <v>0.5</v>
      </c>
      <c r="I391" s="156"/>
      <c r="J391" s="156"/>
      <c r="K391" s="157"/>
      <c r="L391" s="157"/>
      <c r="M391" s="157">
        <f>(F391+G391+H391+I391)*25%</f>
        <v>1.5649999999999999</v>
      </c>
      <c r="N391" s="157"/>
      <c r="O391" s="190">
        <f t="shared" si="298"/>
        <v>18310.5</v>
      </c>
      <c r="P391" s="199">
        <v>47788</v>
      </c>
      <c r="Q391" s="174">
        <v>45901</v>
      </c>
      <c r="R391" s="113">
        <f>(S391)+(IF(T391=0,0,IF(T391&lt;7,1/2,1)))</f>
        <v>36.5</v>
      </c>
      <c r="S391" s="113">
        <v>36</v>
      </c>
      <c r="T391" s="113">
        <v>2</v>
      </c>
      <c r="U391" s="113">
        <f>(W391*12)+X391</f>
        <v>62</v>
      </c>
      <c r="V391" s="187">
        <f>(W391)+(IF(X391=0,0,IF(X391&lt;6,1/2,1)))</f>
        <v>5.5</v>
      </c>
      <c r="W391" s="113">
        <v>5</v>
      </c>
      <c r="X391" s="113">
        <v>2</v>
      </c>
      <c r="Y391" s="252">
        <f>0.9*60*O391</f>
        <v>988767</v>
      </c>
      <c r="Z391" s="253">
        <f>SUM(AA391:AB391)</f>
        <v>672910.875</v>
      </c>
      <c r="AA391" s="162">
        <f>4*V391*O391</f>
        <v>402831</v>
      </c>
      <c r="AB391" s="163">
        <f>SUM(4*O391)+(0.5*(R391-15)*O391)</f>
        <v>270079.875</v>
      </c>
      <c r="AC391" s="203"/>
      <c r="AD391" s="178"/>
      <c r="AE391" s="179"/>
      <c r="AF391" s="180"/>
      <c r="AG391" s="165">
        <f>ROUND(Y391+Z391,0)</f>
        <v>1661678</v>
      </c>
      <c r="AH391" s="165">
        <f>ROUND(AC391,0)</f>
        <v>0</v>
      </c>
      <c r="AI391" s="166"/>
      <c r="AJ391" s="167">
        <f>AG391+AH391+AI391</f>
        <v>1661678</v>
      </c>
    </row>
    <row r="392" spans="1:36" s="132" customFormat="1" ht="46.5" customHeight="1" x14ac:dyDescent="0.25">
      <c r="A392" s="153">
        <v>2</v>
      </c>
      <c r="B392" s="201" t="s">
        <v>1095</v>
      </c>
      <c r="C392" s="199">
        <v>26446</v>
      </c>
      <c r="D392" s="199" t="s">
        <v>1096</v>
      </c>
      <c r="E392" s="202" t="s">
        <v>1097</v>
      </c>
      <c r="F392" s="155">
        <v>3.66</v>
      </c>
      <c r="G392" s="113"/>
      <c r="H392" s="113"/>
      <c r="I392" s="156"/>
      <c r="J392" s="156"/>
      <c r="K392" s="157"/>
      <c r="L392" s="157"/>
      <c r="M392" s="157">
        <f>(F392+G392+H392+I392)*25%</f>
        <v>0.91500000000000004</v>
      </c>
      <c r="N392" s="157"/>
      <c r="O392" s="190">
        <f t="shared" si="298"/>
        <v>10705.5</v>
      </c>
      <c r="P392" s="199">
        <v>47757</v>
      </c>
      <c r="Q392" s="174">
        <v>45901</v>
      </c>
      <c r="R392" s="113">
        <f>(S392)+(IF(T392=0,0,IF(T392&lt;7,1/2,1)))</f>
        <v>21</v>
      </c>
      <c r="S392" s="113">
        <v>21</v>
      </c>
      <c r="T392" s="113">
        <v>0</v>
      </c>
      <c r="U392" s="113">
        <f>(W392*12)+X392</f>
        <v>61</v>
      </c>
      <c r="V392" s="187">
        <f>(W392)+(IF(X392=0,0,IF(X392&lt;6,1/2,1)))</f>
        <v>5.5</v>
      </c>
      <c r="W392" s="113">
        <v>5</v>
      </c>
      <c r="X392" s="113">
        <v>1</v>
      </c>
      <c r="Y392" s="252">
        <f>0.9*60*O392</f>
        <v>578097</v>
      </c>
      <c r="Z392" s="253">
        <f>SUM(AA392:AB392)</f>
        <v>310459.5</v>
      </c>
      <c r="AA392" s="162">
        <f>4*V392*O392</f>
        <v>235521</v>
      </c>
      <c r="AB392" s="163">
        <f>SUM(4*O392)+(0.5*(R392-15)*O392)</f>
        <v>74938.5</v>
      </c>
      <c r="AC392" s="203"/>
      <c r="AD392" s="178"/>
      <c r="AE392" s="179"/>
      <c r="AF392" s="180"/>
      <c r="AG392" s="165">
        <f>ROUND(Y392+Z392,0)</f>
        <v>888557</v>
      </c>
      <c r="AH392" s="165">
        <f>ROUND(AC392,0)</f>
        <v>0</v>
      </c>
      <c r="AI392" s="166"/>
      <c r="AJ392" s="167">
        <f>AG392+AH392+AI392</f>
        <v>888557</v>
      </c>
    </row>
    <row r="393" spans="1:36" s="119" customFormat="1" ht="46.5" customHeight="1" x14ac:dyDescent="0.25">
      <c r="A393" s="153">
        <v>3</v>
      </c>
      <c r="B393" s="168" t="s">
        <v>1098</v>
      </c>
      <c r="C393" s="169">
        <v>27778</v>
      </c>
      <c r="D393" s="199" t="s">
        <v>1099</v>
      </c>
      <c r="E393" s="442" t="s">
        <v>631</v>
      </c>
      <c r="F393" s="113">
        <v>3.99</v>
      </c>
      <c r="G393" s="157"/>
      <c r="H393" s="157">
        <v>0.2</v>
      </c>
      <c r="I393" s="156"/>
      <c r="J393" s="156"/>
      <c r="K393" s="157"/>
      <c r="L393" s="171"/>
      <c r="M393" s="157">
        <f>(F393+G393+H393)*25%</f>
        <v>1.0475000000000001</v>
      </c>
      <c r="N393" s="172"/>
      <c r="O393" s="190">
        <f t="shared" si="298"/>
        <v>12255.750000000002</v>
      </c>
      <c r="P393" s="112">
        <v>50437</v>
      </c>
      <c r="Q393" s="174"/>
      <c r="R393" s="113">
        <f>(S393)+(IF(T393=0,0,IF(T393&lt;7,1/2,1)))</f>
        <v>20</v>
      </c>
      <c r="S393" s="113">
        <v>19</v>
      </c>
      <c r="T393" s="113">
        <v>10</v>
      </c>
      <c r="U393" s="113">
        <f>(W393*12)+X393</f>
        <v>149</v>
      </c>
      <c r="V393" s="187">
        <f>(W393)+(IF(X393=0,0,IF(X393&lt;6,1/2,1)))</f>
        <v>12.5</v>
      </c>
      <c r="W393" s="113">
        <v>12</v>
      </c>
      <c r="X393" s="113">
        <v>5</v>
      </c>
      <c r="Y393" s="160"/>
      <c r="Z393" s="161"/>
      <c r="AA393" s="176"/>
      <c r="AB393" s="176"/>
      <c r="AC393" s="200">
        <f>AD393+AE393+AF393</f>
        <v>992715.75000000023</v>
      </c>
      <c r="AD393" s="178">
        <f>0.8*60*O393</f>
        <v>588276.00000000012</v>
      </c>
      <c r="AE393" s="179">
        <f>1.5*O393*R393</f>
        <v>367672.50000000006</v>
      </c>
      <c r="AF393" s="180">
        <f>3*O393</f>
        <v>36767.250000000007</v>
      </c>
      <c r="AG393" s="165">
        <f>ROUND(Y393+Z393,0)</f>
        <v>0</v>
      </c>
      <c r="AH393" s="165">
        <f>ROUND(AC393,0)</f>
        <v>992716</v>
      </c>
      <c r="AI393" s="165"/>
      <c r="AJ393" s="167">
        <f>AG393+AH393+AI393</f>
        <v>992716</v>
      </c>
    </row>
    <row r="394" spans="1:36" s="119" customFormat="1" ht="46.5" customHeight="1" x14ac:dyDescent="0.25">
      <c r="A394" s="215">
        <v>4</v>
      </c>
      <c r="B394" s="216" t="s">
        <v>1100</v>
      </c>
      <c r="C394" s="217">
        <v>28431</v>
      </c>
      <c r="D394" s="218" t="s">
        <v>1101</v>
      </c>
      <c r="E394" s="443" t="s">
        <v>1102</v>
      </c>
      <c r="F394" s="222">
        <v>4.9800000000000004</v>
      </c>
      <c r="G394" s="220"/>
      <c r="H394" s="220"/>
      <c r="I394" s="221"/>
      <c r="J394" s="221"/>
      <c r="K394" s="220"/>
      <c r="L394" s="227"/>
      <c r="M394" s="220">
        <f>(F394+G394+H394)*25%</f>
        <v>1.2450000000000001</v>
      </c>
      <c r="N394" s="224"/>
      <c r="O394" s="268">
        <f t="shared" si="298"/>
        <v>14566.500000000002</v>
      </c>
      <c r="P394" s="225">
        <v>50375</v>
      </c>
      <c r="Q394" s="226"/>
      <c r="R394" s="228">
        <f>(S394)+(IF(T394=0,0,IF(T394&lt;7,1/2,1)))</f>
        <v>25</v>
      </c>
      <c r="S394" s="228">
        <v>25</v>
      </c>
      <c r="T394" s="228">
        <v>0</v>
      </c>
      <c r="U394" s="228">
        <f>(W394*12)+X394</f>
        <v>147</v>
      </c>
      <c r="V394" s="269">
        <f>(W394)+(IF(X394=0,0,IF(X394&lt;6,1/2,1)))</f>
        <v>12.5</v>
      </c>
      <c r="W394" s="228">
        <v>12</v>
      </c>
      <c r="X394" s="228">
        <v>3</v>
      </c>
      <c r="Y394" s="230"/>
      <c r="Z394" s="231"/>
      <c r="AA394" s="232"/>
      <c r="AB394" s="232"/>
      <c r="AC394" s="270">
        <f>AD394+AE394+AF394</f>
        <v>1289135.2500000002</v>
      </c>
      <c r="AD394" s="234">
        <f>0.8*60*O394</f>
        <v>699192.00000000012</v>
      </c>
      <c r="AE394" s="271">
        <f>1.5*O394*R394</f>
        <v>546243.75000000012</v>
      </c>
      <c r="AF394" s="236">
        <f>3*O394</f>
        <v>43699.500000000007</v>
      </c>
      <c r="AG394" s="237"/>
      <c r="AH394" s="237">
        <f>ROUND(AC394,0)</f>
        <v>1289135</v>
      </c>
      <c r="AI394" s="237"/>
      <c r="AJ394" s="238">
        <f>AG394+AH394+AI394</f>
        <v>1289135</v>
      </c>
    </row>
    <row r="395" spans="1:36" x14ac:dyDescent="0.25">
      <c r="B395" s="585" t="s">
        <v>1204</v>
      </c>
      <c r="C395" s="586"/>
    </row>
  </sheetData>
  <mergeCells count="46">
    <mergeCell ref="B395:C395"/>
    <mergeCell ref="AD7:AD8"/>
    <mergeCell ref="AE7:AE8"/>
    <mergeCell ref="AF7:AF8"/>
    <mergeCell ref="AG7:AH7"/>
    <mergeCell ref="G7:G8"/>
    <mergeCell ref="H7:H8"/>
    <mergeCell ref="I7:I8"/>
    <mergeCell ref="J7:J8"/>
    <mergeCell ref="K7:K8"/>
    <mergeCell ref="L7:L8"/>
    <mergeCell ref="M7:M8"/>
    <mergeCell ref="U6:U8"/>
    <mergeCell ref="V6:V8"/>
    <mergeCell ref="W6:X6"/>
    <mergeCell ref="Y6:Y8"/>
    <mergeCell ref="AI7:AI8"/>
    <mergeCell ref="AJ7:AJ8"/>
    <mergeCell ref="AC6:AC8"/>
    <mergeCell ref="AD6:AF6"/>
    <mergeCell ref="AG6:AJ6"/>
    <mergeCell ref="Z6:Z8"/>
    <mergeCell ref="Q6:Q8"/>
    <mergeCell ref="R6:R8"/>
    <mergeCell ref="AA6:AB6"/>
    <mergeCell ref="W7:W8"/>
    <mergeCell ref="X7:X8"/>
    <mergeCell ref="AA7:AA8"/>
    <mergeCell ref="AB7:AB8"/>
    <mergeCell ref="S6:T6"/>
    <mergeCell ref="N7:N8"/>
    <mergeCell ref="S7:S8"/>
    <mergeCell ref="T7:T8"/>
    <mergeCell ref="A2:AJ3"/>
    <mergeCell ref="A4:AJ4"/>
    <mergeCell ref="B5:D5"/>
    <mergeCell ref="AI5:AJ5"/>
    <mergeCell ref="A6:A8"/>
    <mergeCell ref="B6:B8"/>
    <mergeCell ref="C6:C8"/>
    <mergeCell ref="D6:D8"/>
    <mergeCell ref="E6:E8"/>
    <mergeCell ref="F6:F8"/>
    <mergeCell ref="G6:N6"/>
    <mergeCell ref="O6:O8"/>
    <mergeCell ref="P6:P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  <headerFooter>
    <oddFooter>Page 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21"/>
  <sheetViews>
    <sheetView workbookViewId="0">
      <selection activeCell="S5" sqref="S5:S6"/>
    </sheetView>
  </sheetViews>
  <sheetFormatPr defaultColWidth="9.109375" defaultRowHeight="13.8" x14ac:dyDescent="0.25"/>
  <cols>
    <col min="1" max="1" width="6.5546875" style="473" customWidth="1"/>
    <col min="2" max="2" width="21.109375" style="473" customWidth="1"/>
    <col min="3" max="3" width="13.5546875" style="473" customWidth="1"/>
    <col min="4" max="18" width="9.109375" style="473" hidden="1" customWidth="1"/>
    <col min="19" max="19" width="23.33203125" style="473" customWidth="1"/>
    <col min="20" max="26" width="9.109375" style="473" hidden="1" customWidth="1"/>
    <col min="27" max="27" width="10.88671875" style="473" hidden="1" customWidth="1"/>
    <col min="28" max="37" width="9.109375" style="473" hidden="1" customWidth="1"/>
    <col min="38" max="38" width="11.33203125" style="473" hidden="1" customWidth="1"/>
    <col min="39" max="41" width="9.109375" style="473" hidden="1" customWidth="1"/>
    <col min="42" max="45" width="15.33203125" style="473" customWidth="1"/>
    <col min="46" max="48" width="12" style="473" customWidth="1"/>
    <col min="49" max="49" width="12.44140625" style="473" customWidth="1"/>
    <col min="50" max="50" width="9.109375" style="473"/>
    <col min="51" max="51" width="10.6640625" style="473" bestFit="1" customWidth="1"/>
    <col min="52" max="16384" width="9.109375" style="473"/>
  </cols>
  <sheetData>
    <row r="1" spans="1:51" ht="15.6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596" t="s">
        <v>1104</v>
      </c>
      <c r="AT1" s="596"/>
      <c r="AU1" s="596"/>
      <c r="AV1" s="596"/>
      <c r="AW1" s="596"/>
      <c r="AX1" s="596"/>
    </row>
    <row r="2" spans="1:51" ht="42.75" customHeight="1" x14ac:dyDescent="0.25">
      <c r="A2" s="597" t="s">
        <v>369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7"/>
      <c r="O2" s="597"/>
      <c r="P2" s="597"/>
      <c r="Q2" s="597"/>
      <c r="R2" s="597"/>
      <c r="S2" s="597"/>
      <c r="T2" s="597"/>
      <c r="U2" s="597"/>
      <c r="V2" s="597"/>
      <c r="W2" s="597"/>
      <c r="X2" s="597"/>
      <c r="Y2" s="597"/>
      <c r="Z2" s="597"/>
      <c r="AA2" s="597"/>
      <c r="AB2" s="597"/>
      <c r="AC2" s="597"/>
      <c r="AD2" s="597"/>
      <c r="AE2" s="597"/>
      <c r="AF2" s="597"/>
      <c r="AG2" s="597"/>
      <c r="AH2" s="597"/>
      <c r="AI2" s="597"/>
      <c r="AJ2" s="597"/>
      <c r="AK2" s="597"/>
      <c r="AL2" s="597"/>
      <c r="AM2" s="597"/>
      <c r="AN2" s="597"/>
      <c r="AO2" s="597"/>
      <c r="AP2" s="597"/>
      <c r="AQ2" s="597"/>
      <c r="AR2" s="597"/>
      <c r="AS2" s="597"/>
      <c r="AT2" s="597"/>
      <c r="AU2" s="597"/>
      <c r="AV2" s="597"/>
      <c r="AW2" s="597"/>
      <c r="AX2" s="597"/>
    </row>
    <row r="3" spans="1:51" ht="25.5" customHeight="1" x14ac:dyDescent="0.25">
      <c r="A3" s="598" t="s">
        <v>1203</v>
      </c>
      <c r="B3" s="598"/>
      <c r="C3" s="598"/>
      <c r="D3" s="598"/>
      <c r="E3" s="598"/>
      <c r="F3" s="598"/>
      <c r="G3" s="598"/>
      <c r="H3" s="598"/>
      <c r="I3" s="598"/>
      <c r="J3" s="598"/>
      <c r="K3" s="598"/>
      <c r="L3" s="598"/>
      <c r="M3" s="598"/>
      <c r="N3" s="598"/>
      <c r="O3" s="598"/>
      <c r="P3" s="598"/>
      <c r="Q3" s="598"/>
      <c r="R3" s="598"/>
      <c r="S3" s="598"/>
      <c r="T3" s="598"/>
      <c r="U3" s="598"/>
      <c r="V3" s="598"/>
      <c r="W3" s="598"/>
      <c r="X3" s="598"/>
      <c r="Y3" s="598"/>
      <c r="Z3" s="598"/>
      <c r="AA3" s="598"/>
      <c r="AB3" s="598"/>
      <c r="AC3" s="598"/>
      <c r="AD3" s="598"/>
      <c r="AE3" s="598"/>
      <c r="AF3" s="598"/>
      <c r="AG3" s="598"/>
      <c r="AH3" s="598"/>
      <c r="AI3" s="598"/>
      <c r="AJ3" s="598"/>
      <c r="AK3" s="598"/>
      <c r="AL3" s="598"/>
      <c r="AM3" s="598"/>
      <c r="AN3" s="598"/>
      <c r="AO3" s="598"/>
      <c r="AP3" s="598"/>
      <c r="AQ3" s="598"/>
      <c r="AR3" s="598"/>
      <c r="AS3" s="598"/>
      <c r="AT3" s="598"/>
      <c r="AU3" s="598"/>
      <c r="AV3" s="598"/>
      <c r="AW3" s="598"/>
      <c r="AX3" s="598"/>
    </row>
    <row r="4" spans="1:51" ht="15.6" x14ac:dyDescent="0.25">
      <c r="A4" s="3"/>
      <c r="B4" s="3"/>
      <c r="C4" s="3"/>
      <c r="D4" s="3"/>
      <c r="E4" s="3"/>
      <c r="F4" s="3"/>
      <c r="G4" s="4"/>
      <c r="H4" s="5"/>
      <c r="I4" s="5"/>
      <c r="J4" s="5"/>
      <c r="K4" s="5"/>
      <c r="L4" s="5"/>
      <c r="M4" s="5"/>
      <c r="N4" s="5"/>
      <c r="O4" s="5"/>
      <c r="P4" s="5"/>
      <c r="Q4" s="6"/>
      <c r="R4" s="6"/>
      <c r="S4" s="7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6"/>
      <c r="AI4" s="6"/>
      <c r="AJ4" s="6"/>
      <c r="AK4" s="6"/>
      <c r="AL4" s="3"/>
      <c r="AM4" s="3"/>
      <c r="AN4" s="3"/>
      <c r="AO4" s="3"/>
      <c r="AP4" s="6"/>
      <c r="AQ4" s="3"/>
      <c r="AR4" s="599" t="s">
        <v>1194</v>
      </c>
      <c r="AS4" s="599"/>
      <c r="AT4" s="599"/>
      <c r="AU4" s="599"/>
      <c r="AV4" s="599"/>
      <c r="AW4" s="599"/>
      <c r="AX4" s="599"/>
    </row>
    <row r="5" spans="1:51" ht="47.25" customHeight="1" x14ac:dyDescent="0.25">
      <c r="A5" s="600" t="s">
        <v>0</v>
      </c>
      <c r="B5" s="601" t="s">
        <v>1</v>
      </c>
      <c r="C5" s="600" t="s">
        <v>2</v>
      </c>
      <c r="D5" s="602" t="s">
        <v>227</v>
      </c>
      <c r="E5" s="603"/>
      <c r="F5" s="604"/>
      <c r="G5" s="605" t="s">
        <v>228</v>
      </c>
      <c r="H5" s="607" t="s">
        <v>229</v>
      </c>
      <c r="I5" s="609" t="s">
        <v>230</v>
      </c>
      <c r="J5" s="609"/>
      <c r="K5" s="607" t="s">
        <v>231</v>
      </c>
      <c r="L5" s="609" t="s">
        <v>230</v>
      </c>
      <c r="M5" s="609"/>
      <c r="N5" s="607" t="s">
        <v>232</v>
      </c>
      <c r="O5" s="609" t="s">
        <v>230</v>
      </c>
      <c r="P5" s="609"/>
      <c r="Q5" s="610" t="s">
        <v>233</v>
      </c>
      <c r="R5" s="610" t="s">
        <v>3</v>
      </c>
      <c r="S5" s="600" t="s">
        <v>234</v>
      </c>
      <c r="T5" s="590" t="s">
        <v>235</v>
      </c>
      <c r="U5" s="614" t="s">
        <v>236</v>
      </c>
      <c r="V5" s="600" t="s">
        <v>237</v>
      </c>
      <c r="W5" s="600"/>
      <c r="X5" s="600" t="s">
        <v>238</v>
      </c>
      <c r="Y5" s="600"/>
      <c r="Z5" s="614" t="s">
        <v>239</v>
      </c>
      <c r="AA5" s="620" t="s">
        <v>240</v>
      </c>
      <c r="AB5" s="620" t="s">
        <v>241</v>
      </c>
      <c r="AC5" s="616" t="s">
        <v>242</v>
      </c>
      <c r="AD5" s="616"/>
      <c r="AE5" s="616"/>
      <c r="AF5" s="616"/>
      <c r="AG5" s="616"/>
      <c r="AH5" s="620" t="s">
        <v>230</v>
      </c>
      <c r="AI5" s="620"/>
      <c r="AJ5" s="620" t="s">
        <v>243</v>
      </c>
      <c r="AK5" s="620"/>
      <c r="AL5" s="600" t="s">
        <v>244</v>
      </c>
      <c r="AM5" s="614" t="s">
        <v>245</v>
      </c>
      <c r="AN5" s="616" t="s">
        <v>246</v>
      </c>
      <c r="AO5" s="617" t="s">
        <v>247</v>
      </c>
      <c r="AP5" s="600" t="s">
        <v>248</v>
      </c>
      <c r="AQ5" s="603" t="s">
        <v>288</v>
      </c>
      <c r="AR5" s="603"/>
      <c r="AS5" s="604"/>
      <c r="AT5" s="600" t="s">
        <v>248</v>
      </c>
      <c r="AU5" s="600" t="s">
        <v>289</v>
      </c>
      <c r="AV5" s="600"/>
      <c r="AW5" s="618" t="s">
        <v>254</v>
      </c>
      <c r="AX5" s="600" t="s">
        <v>249</v>
      </c>
    </row>
    <row r="6" spans="1:51" ht="118.2" customHeight="1" x14ac:dyDescent="0.25">
      <c r="A6" s="600"/>
      <c r="B6" s="600"/>
      <c r="C6" s="600"/>
      <c r="D6" s="8" t="s">
        <v>250</v>
      </c>
      <c r="E6" s="8" t="s">
        <v>13</v>
      </c>
      <c r="F6" s="8" t="s">
        <v>12</v>
      </c>
      <c r="G6" s="606"/>
      <c r="H6" s="608"/>
      <c r="I6" s="9" t="s">
        <v>251</v>
      </c>
      <c r="J6" s="9" t="s">
        <v>13</v>
      </c>
      <c r="K6" s="608"/>
      <c r="L6" s="9" t="s">
        <v>251</v>
      </c>
      <c r="M6" s="9" t="s">
        <v>13</v>
      </c>
      <c r="N6" s="608"/>
      <c r="O6" s="9" t="s">
        <v>251</v>
      </c>
      <c r="P6" s="9" t="s">
        <v>13</v>
      </c>
      <c r="Q6" s="611"/>
      <c r="R6" s="611"/>
      <c r="S6" s="600"/>
      <c r="T6" s="592"/>
      <c r="U6" s="615"/>
      <c r="V6" s="12" t="s">
        <v>252</v>
      </c>
      <c r="W6" s="13" t="s">
        <v>253</v>
      </c>
      <c r="X6" s="12" t="s">
        <v>252</v>
      </c>
      <c r="Y6" s="13" t="s">
        <v>253</v>
      </c>
      <c r="Z6" s="615"/>
      <c r="AA6" s="620"/>
      <c r="AB6" s="620"/>
      <c r="AC6" s="11" t="s">
        <v>254</v>
      </c>
      <c r="AD6" s="14" t="s">
        <v>255</v>
      </c>
      <c r="AE6" s="14" t="s">
        <v>256</v>
      </c>
      <c r="AF6" s="15" t="s">
        <v>257</v>
      </c>
      <c r="AG6" s="15" t="s">
        <v>258</v>
      </c>
      <c r="AH6" s="10" t="s">
        <v>251</v>
      </c>
      <c r="AI6" s="10" t="s">
        <v>13</v>
      </c>
      <c r="AJ6" s="10" t="s">
        <v>251</v>
      </c>
      <c r="AK6" s="10" t="s">
        <v>13</v>
      </c>
      <c r="AL6" s="600"/>
      <c r="AM6" s="615"/>
      <c r="AN6" s="616"/>
      <c r="AO6" s="617"/>
      <c r="AP6" s="600"/>
      <c r="AQ6" s="8" t="s">
        <v>259</v>
      </c>
      <c r="AR6" s="8" t="s">
        <v>260</v>
      </c>
      <c r="AS6" s="8" t="s">
        <v>261</v>
      </c>
      <c r="AT6" s="600"/>
      <c r="AU6" s="474" t="s">
        <v>285</v>
      </c>
      <c r="AV6" s="74" t="s">
        <v>286</v>
      </c>
      <c r="AW6" s="619"/>
      <c r="AX6" s="600"/>
    </row>
    <row r="7" spans="1:51" ht="19.5" customHeight="1" x14ac:dyDescent="0.25">
      <c r="A7" s="78">
        <v>1</v>
      </c>
      <c r="B7" s="78">
        <v>2</v>
      </c>
      <c r="C7" s="78">
        <v>3</v>
      </c>
      <c r="D7" s="78"/>
      <c r="E7" s="78"/>
      <c r="F7" s="78"/>
      <c r="G7" s="80"/>
      <c r="H7" s="81"/>
      <c r="I7" s="81"/>
      <c r="J7" s="81"/>
      <c r="K7" s="81"/>
      <c r="L7" s="81"/>
      <c r="M7" s="81"/>
      <c r="N7" s="81"/>
      <c r="O7" s="81"/>
      <c r="P7" s="81"/>
      <c r="Q7" s="82">
        <v>4</v>
      </c>
      <c r="R7" s="82">
        <v>4</v>
      </c>
      <c r="S7" s="78">
        <v>4</v>
      </c>
      <c r="T7" s="78">
        <v>6</v>
      </c>
      <c r="U7" s="78">
        <v>7</v>
      </c>
      <c r="V7" s="78">
        <v>8</v>
      </c>
      <c r="W7" s="78">
        <v>9</v>
      </c>
      <c r="X7" s="78">
        <v>10</v>
      </c>
      <c r="Y7" s="78">
        <v>11</v>
      </c>
      <c r="Z7" s="78">
        <v>18</v>
      </c>
      <c r="AA7" s="78">
        <v>21</v>
      </c>
      <c r="AB7" s="78">
        <v>22</v>
      </c>
      <c r="AC7" s="78">
        <v>23</v>
      </c>
      <c r="AD7" s="78">
        <v>24</v>
      </c>
      <c r="AE7" s="78">
        <v>25</v>
      </c>
      <c r="AF7" s="83">
        <v>26</v>
      </c>
      <c r="AG7" s="82">
        <v>27</v>
      </c>
      <c r="AH7" s="82">
        <v>28</v>
      </c>
      <c r="AI7" s="82">
        <v>29</v>
      </c>
      <c r="AJ7" s="82">
        <v>30</v>
      </c>
      <c r="AK7" s="82">
        <v>31</v>
      </c>
      <c r="AL7" s="78">
        <v>32</v>
      </c>
      <c r="AM7" s="78">
        <v>33</v>
      </c>
      <c r="AN7" s="78">
        <v>34</v>
      </c>
      <c r="AO7" s="78">
        <v>35</v>
      </c>
      <c r="AP7" s="78" t="s">
        <v>262</v>
      </c>
      <c r="AQ7" s="78">
        <v>6</v>
      </c>
      <c r="AR7" s="78">
        <v>7</v>
      </c>
      <c r="AS7" s="78">
        <v>8</v>
      </c>
      <c r="AT7" s="84" t="s">
        <v>1195</v>
      </c>
      <c r="AU7" s="84">
        <v>10</v>
      </c>
      <c r="AV7" s="84">
        <v>11</v>
      </c>
      <c r="AW7" s="84" t="s">
        <v>1196</v>
      </c>
      <c r="AX7" s="78">
        <v>13</v>
      </c>
    </row>
    <row r="8" spans="1:51" ht="30" customHeight="1" x14ac:dyDescent="0.25">
      <c r="A8" s="85"/>
      <c r="B8" s="86" t="s">
        <v>54</v>
      </c>
      <c r="C8" s="85"/>
      <c r="D8" s="85"/>
      <c r="E8" s="85"/>
      <c r="F8" s="85"/>
      <c r="G8" s="87"/>
      <c r="H8" s="88"/>
      <c r="I8" s="88"/>
      <c r="J8" s="88"/>
      <c r="K8" s="88"/>
      <c r="L8" s="88"/>
      <c r="M8" s="88"/>
      <c r="N8" s="88"/>
      <c r="O8" s="88"/>
      <c r="P8" s="88"/>
      <c r="Q8" s="89"/>
      <c r="R8" s="89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90"/>
      <c r="AG8" s="89"/>
      <c r="AH8" s="89"/>
      <c r="AI8" s="89"/>
      <c r="AJ8" s="89"/>
      <c r="AK8" s="89"/>
      <c r="AL8" s="85"/>
      <c r="AM8" s="85"/>
      <c r="AN8" s="85"/>
      <c r="AO8" s="85"/>
      <c r="AP8" s="91" t="e">
        <f>AP9+AP12+AP14+AP17</f>
        <v>#VALUE!</v>
      </c>
      <c r="AQ8" s="91" t="e">
        <f t="shared" ref="AQ8:AV8" si="0">AQ9+AQ12+AQ14+AQ17</f>
        <v>#VALUE!</v>
      </c>
      <c r="AR8" s="91" t="e">
        <f t="shared" si="0"/>
        <v>#VALUE!</v>
      </c>
      <c r="AS8" s="91" t="e">
        <f t="shared" si="0"/>
        <v>#VALUE!</v>
      </c>
      <c r="AT8" s="91">
        <f t="shared" si="0"/>
        <v>786507</v>
      </c>
      <c r="AU8" s="91">
        <f t="shared" si="0"/>
        <v>737350.40339999995</v>
      </c>
      <c r="AV8" s="91">
        <f t="shared" si="0"/>
        <v>49156.69356</v>
      </c>
      <c r="AW8" s="92" t="e">
        <f>AP8+AT8</f>
        <v>#VALUE!</v>
      </c>
      <c r="AX8" s="85"/>
      <c r="AY8" s="475"/>
    </row>
    <row r="9" spans="1:51" s="476" customFormat="1" ht="22.2" customHeight="1" x14ac:dyDescent="0.25">
      <c r="A9" s="16" t="s">
        <v>57</v>
      </c>
      <c r="B9" s="496" t="s">
        <v>267</v>
      </c>
      <c r="C9" s="496"/>
      <c r="D9" s="496"/>
      <c r="E9" s="496"/>
      <c r="F9" s="496"/>
      <c r="G9" s="496"/>
      <c r="H9" s="496"/>
      <c r="I9" s="496"/>
      <c r="J9" s="496"/>
      <c r="K9" s="496"/>
      <c r="L9" s="496"/>
      <c r="M9" s="496"/>
      <c r="N9" s="496"/>
      <c r="O9" s="496"/>
      <c r="P9" s="496"/>
      <c r="Q9" s="496"/>
      <c r="R9" s="496"/>
      <c r="S9" s="496"/>
      <c r="T9" s="17"/>
      <c r="U9" s="16"/>
      <c r="V9" s="16"/>
      <c r="W9" s="16"/>
      <c r="X9" s="16"/>
      <c r="Y9" s="18"/>
      <c r="Z9" s="16"/>
      <c r="AA9" s="19"/>
      <c r="AB9" s="20"/>
      <c r="AC9" s="21"/>
      <c r="AD9" s="21"/>
      <c r="AE9" s="21"/>
      <c r="AF9" s="22"/>
      <c r="AG9" s="22"/>
      <c r="AH9" s="17"/>
      <c r="AI9" s="17"/>
      <c r="AJ9" s="17"/>
      <c r="AK9" s="17"/>
      <c r="AL9" s="23"/>
      <c r="AM9" s="23"/>
      <c r="AN9" s="24"/>
      <c r="AO9" s="24"/>
      <c r="AP9" s="25">
        <f>AP10+AP11</f>
        <v>1000364</v>
      </c>
      <c r="AQ9" s="25">
        <f t="shared" ref="AQ9:AS9" si="1">AQ10+AQ11</f>
        <v>716724.45</v>
      </c>
      <c r="AR9" s="25">
        <f t="shared" si="1"/>
        <v>143344.89000000001</v>
      </c>
      <c r="AS9" s="25">
        <f t="shared" si="1"/>
        <v>140294.34899999999</v>
      </c>
      <c r="AT9" s="75"/>
      <c r="AU9" s="75"/>
      <c r="AV9" s="75"/>
      <c r="AW9" s="75">
        <f>AP9+AT9</f>
        <v>1000364</v>
      </c>
      <c r="AX9" s="16"/>
    </row>
    <row r="10" spans="1:51" s="42" customFormat="1" ht="27.6" x14ac:dyDescent="0.3">
      <c r="A10" s="93">
        <v>1</v>
      </c>
      <c r="B10" s="26" t="s">
        <v>268</v>
      </c>
      <c r="C10" s="27" t="s">
        <v>270</v>
      </c>
      <c r="D10" s="28">
        <f>DAY(C10)</f>
        <v>26</v>
      </c>
      <c r="E10" s="28">
        <f>MONTH(C10)</f>
        <v>3</v>
      </c>
      <c r="F10" s="29">
        <f>YEAR(C10)</f>
        <v>1972</v>
      </c>
      <c r="G10" s="30">
        <f>DATE(F10,E10,1)</f>
        <v>26359</v>
      </c>
      <c r="H10" s="31">
        <f>IF(Q10="nam",VLOOKUP(G10,'[2]TUOI NGHI HUU'!$A$2:$B$757,2,0),VLOOKUP(G10,'[2]TUOI NGHI HUU'!$C$2:$D$697,2,0))</f>
        <v>58.4</v>
      </c>
      <c r="I10" s="31">
        <f>INT(H10)</f>
        <v>58</v>
      </c>
      <c r="J10" s="31">
        <f>ROUND((H10-I10)*10,0)</f>
        <v>4</v>
      </c>
      <c r="K10" s="31">
        <f>IF(Q10="nam",VLOOKUP(G10,'[2]TUOI NGHI HUU'!$E$2:$F$697,2,0),VLOOKUP(G10,'[2]TUOI NGHI HUU'!$G$2:$H$637,2,0))</f>
        <v>50.8</v>
      </c>
      <c r="L10" s="31">
        <f>INT(K10)</f>
        <v>50</v>
      </c>
      <c r="M10" s="31">
        <f>ROUND((K10-L10)*10,0)</f>
        <v>8</v>
      </c>
      <c r="N10" s="31">
        <f>IF(AF10=0.7,K10,H10)</f>
        <v>58.4</v>
      </c>
      <c r="O10" s="31">
        <f>INT(N10)</f>
        <v>58</v>
      </c>
      <c r="P10" s="31">
        <f>ROUND((N10-O10)*10,0)</f>
        <v>4</v>
      </c>
      <c r="Q10" s="32" t="s">
        <v>263</v>
      </c>
      <c r="R10" s="32"/>
      <c r="S10" s="33" t="s">
        <v>272</v>
      </c>
      <c r="T10" s="34">
        <v>4.8899999999999997</v>
      </c>
      <c r="U10" s="35" t="s">
        <v>264</v>
      </c>
      <c r="V10" s="36">
        <v>0.28999999999999998</v>
      </c>
      <c r="W10" s="37">
        <f>V10*(T10+U10+Y10)</f>
        <v>1.4180999999999999</v>
      </c>
      <c r="X10" s="36"/>
      <c r="Y10" s="37">
        <f>X10*T10</f>
        <v>0</v>
      </c>
      <c r="Z10" s="38"/>
      <c r="AA10" s="39">
        <f>(T10+U10+W10+Y10+Z10)*2340</f>
        <v>14760.954</v>
      </c>
      <c r="AB10" s="40"/>
      <c r="AC10" s="94">
        <f>IF(AE10&gt;6,AD10+1,IF(AE10=0,AD10,AD10+0.5))</f>
        <v>31</v>
      </c>
      <c r="AD10" s="95">
        <v>31</v>
      </c>
      <c r="AE10" s="95">
        <v>0</v>
      </c>
      <c r="AF10" s="32"/>
      <c r="AG10" s="96"/>
      <c r="AH10" s="96">
        <f>O10</f>
        <v>58</v>
      </c>
      <c r="AI10" s="96">
        <f>P10</f>
        <v>4</v>
      </c>
      <c r="AJ10" s="96">
        <f>IF(MONTH(AL10)&gt;MONTH(C10),YEAR(AL10)-YEAR(C10),YEAR(AL10)-YEAR(C10)-1)</f>
        <v>53</v>
      </c>
      <c r="AK10" s="96">
        <f>IF(MONTH(AL10)&gt;MONTH(C10),MONTH(AL10)-MONTH(C10)-1,MONTH(AL10)+12-MONTH(C10)-1)</f>
        <v>5</v>
      </c>
      <c r="AL10" s="97">
        <v>45901</v>
      </c>
      <c r="AM10" s="94">
        <f>IF(AO10&gt;6,AN10+1,IF(AO10=0,AN10,AN10+0.5))</f>
        <v>5</v>
      </c>
      <c r="AN10" s="98">
        <f>IF(12-AK10+AI10&gt;=12,AH10+1-(AJ10+1),IF(AK10&gt;0,AH10-(AJ10+1),(AH10-AJ10)))</f>
        <v>4</v>
      </c>
      <c r="AO10" s="98">
        <f>IF(12-AK10+AI10&gt;=12,(12-AK10+AI10)-12,IF(AK10=0,AI10,12-AK10+AI10))</f>
        <v>11</v>
      </c>
      <c r="AP10" s="99">
        <f>ROUND((AQ10+AR10+AS10),0)</f>
        <v>524014</v>
      </c>
      <c r="AQ10" s="41">
        <f>5*AM10*AA10</f>
        <v>369023.85</v>
      </c>
      <c r="AR10" s="99">
        <f>5*AA10</f>
        <v>73804.77</v>
      </c>
      <c r="AS10" s="99">
        <f>(AC10-20)*0.5*AA10</f>
        <v>81185.247000000003</v>
      </c>
      <c r="AT10" s="100"/>
      <c r="AU10" s="100"/>
      <c r="AV10" s="100"/>
      <c r="AW10" s="79">
        <f t="shared" ref="AW10:AW19" si="2">AP10+AT10</f>
        <v>524014</v>
      </c>
      <c r="AX10" s="101"/>
    </row>
    <row r="11" spans="1:51" s="42" customFormat="1" ht="27.6" x14ac:dyDescent="0.3">
      <c r="A11" s="93">
        <v>2</v>
      </c>
      <c r="B11" s="26" t="s">
        <v>269</v>
      </c>
      <c r="C11" s="27" t="s">
        <v>271</v>
      </c>
      <c r="D11" s="28">
        <f>DAY(C11)</f>
        <v>8</v>
      </c>
      <c r="E11" s="28">
        <f>MONTH(C11)</f>
        <v>8</v>
      </c>
      <c r="F11" s="29">
        <f>YEAR(C11)</f>
        <v>1968</v>
      </c>
      <c r="G11" s="30">
        <f>DATE(F11,E11,1)</f>
        <v>25051</v>
      </c>
      <c r="H11" s="31">
        <f>IF(Q11="nam",VLOOKUP(G11,'[2]TUOI NGHI HUU'!$A$2:$B$757,2,0),VLOOKUP(G11,'[2]TUOI NGHI HUU'!$C$2:$D$697,2,0))</f>
        <v>62</v>
      </c>
      <c r="I11" s="31">
        <f>INT(H11)</f>
        <v>62</v>
      </c>
      <c r="J11" s="31">
        <f>ROUND((H11-I11)*10,0)</f>
        <v>0</v>
      </c>
      <c r="K11" s="31">
        <f>IF(Q11="nam",VLOOKUP(G11,'[2]TUOI NGHI HUU'!$E$2:$F$697,2,0),VLOOKUP(G11,'[2]TUOI NGHI HUU'!$G$2:$H$637,2,0))</f>
        <v>56</v>
      </c>
      <c r="L11" s="31">
        <f>INT(K11)</f>
        <v>56</v>
      </c>
      <c r="M11" s="31">
        <f>ROUND((K11-L11)*10,0)</f>
        <v>0</v>
      </c>
      <c r="N11" s="31">
        <f>IF(AF11=0.7,K11,H11)</f>
        <v>62</v>
      </c>
      <c r="O11" s="31">
        <f>INT(N11)</f>
        <v>62</v>
      </c>
      <c r="P11" s="31">
        <f>ROUND((N11-O11)*10,0)</f>
        <v>0</v>
      </c>
      <c r="Q11" s="32" t="s">
        <v>266</v>
      </c>
      <c r="R11" s="32"/>
      <c r="S11" s="33" t="s">
        <v>273</v>
      </c>
      <c r="T11" s="34">
        <v>4.68</v>
      </c>
      <c r="U11" s="35" t="s">
        <v>264</v>
      </c>
      <c r="V11" s="36">
        <v>0.27</v>
      </c>
      <c r="W11" s="37">
        <f>V11*(T11+U11+Y11)</f>
        <v>1.2636000000000001</v>
      </c>
      <c r="X11" s="36"/>
      <c r="Y11" s="37">
        <f>X11*T11</f>
        <v>0</v>
      </c>
      <c r="Z11" s="38"/>
      <c r="AA11" s="39">
        <f>(T11+U11+W11+Y11+Z11)*2340</f>
        <v>13908.023999999999</v>
      </c>
      <c r="AB11" s="40"/>
      <c r="AC11" s="94">
        <f>IF(AE11&gt;6,AD11+1,IF(AE11=0,AD11,AD11+0.5))</f>
        <v>28.5</v>
      </c>
      <c r="AD11" s="95">
        <v>28</v>
      </c>
      <c r="AE11" s="95">
        <v>2</v>
      </c>
      <c r="AF11" s="32"/>
      <c r="AG11" s="96"/>
      <c r="AH11" s="96">
        <f>O11</f>
        <v>62</v>
      </c>
      <c r="AI11" s="96">
        <f>P11</f>
        <v>0</v>
      </c>
      <c r="AJ11" s="96">
        <f>IF(MONTH(AL11)&gt;MONTH(C11),YEAR(AL11)-YEAR(C11),YEAR(AL11)-YEAR(C11)-1)</f>
        <v>57</v>
      </c>
      <c r="AK11" s="96">
        <f>IF(MONTH(AL11)&gt;MONTH(C11),MONTH(AL11)-MONTH(C11)-1,MONTH(AL11)+12-MONTH(C11)-1)</f>
        <v>0</v>
      </c>
      <c r="AL11" s="97">
        <v>45901</v>
      </c>
      <c r="AM11" s="94">
        <f>IF(AO11&gt;6,AN11+1,IF(AO11=0,AN11,AN11+0.5))</f>
        <v>5</v>
      </c>
      <c r="AN11" s="98">
        <f>IF(12-AK11+AI11&gt;=12,AH11+1-(AJ11+1),IF(AK11&gt;0,AH11-(AJ11+1),(AH11-AJ11)))</f>
        <v>5</v>
      </c>
      <c r="AO11" s="98">
        <f>IF(12-AK11+AI11&gt;=12,(12-AK11+AI11)-12,IF(AK11=0,AI11,12-AK11+AI11))</f>
        <v>0</v>
      </c>
      <c r="AP11" s="99">
        <f>ROUND((AQ11+AR11+AS11),0)</f>
        <v>476350</v>
      </c>
      <c r="AQ11" s="41">
        <f>5*AM11*AA11</f>
        <v>347700.6</v>
      </c>
      <c r="AR11" s="99">
        <f>5*AA11</f>
        <v>69540.12</v>
      </c>
      <c r="AS11" s="99">
        <f>(AC11-20)*0.5*AA11</f>
        <v>59109.101999999999</v>
      </c>
      <c r="AT11" s="76"/>
      <c r="AU11" s="76"/>
      <c r="AV11" s="76"/>
      <c r="AW11" s="79">
        <f t="shared" si="2"/>
        <v>476350</v>
      </c>
      <c r="AX11" s="101"/>
    </row>
    <row r="12" spans="1:51" s="42" customFormat="1" ht="26.4" customHeight="1" x14ac:dyDescent="0.3">
      <c r="A12" s="16" t="s">
        <v>64</v>
      </c>
      <c r="B12" s="612" t="s">
        <v>274</v>
      </c>
      <c r="C12" s="612"/>
      <c r="D12" s="612"/>
      <c r="E12" s="612"/>
      <c r="F12" s="612"/>
      <c r="G12" s="612"/>
      <c r="H12" s="612"/>
      <c r="I12" s="612"/>
      <c r="J12" s="612"/>
      <c r="K12" s="612"/>
      <c r="L12" s="612"/>
      <c r="M12" s="612"/>
      <c r="N12" s="612"/>
      <c r="O12" s="612"/>
      <c r="P12" s="612"/>
      <c r="Q12" s="612"/>
      <c r="R12" s="612"/>
      <c r="S12" s="612"/>
      <c r="T12" s="34"/>
      <c r="U12" s="35"/>
      <c r="V12" s="36"/>
      <c r="W12" s="37"/>
      <c r="X12" s="36"/>
      <c r="Y12" s="37"/>
      <c r="Z12" s="38"/>
      <c r="AA12" s="39"/>
      <c r="AB12" s="40"/>
      <c r="AC12" s="94"/>
      <c r="AD12" s="95"/>
      <c r="AE12" s="95"/>
      <c r="AF12" s="32"/>
      <c r="AG12" s="96"/>
      <c r="AH12" s="96"/>
      <c r="AI12" s="96"/>
      <c r="AJ12" s="96"/>
      <c r="AK12" s="96"/>
      <c r="AL12" s="97"/>
      <c r="AM12" s="94"/>
      <c r="AN12" s="98"/>
      <c r="AO12" s="98"/>
      <c r="AP12" s="102" t="e">
        <f>AP13</f>
        <v>#VALUE!</v>
      </c>
      <c r="AQ12" s="102" t="e">
        <f t="shared" ref="AQ12:AS12" si="3">AQ13</f>
        <v>#VALUE!</v>
      </c>
      <c r="AR12" s="102" t="e">
        <f t="shared" si="3"/>
        <v>#VALUE!</v>
      </c>
      <c r="AS12" s="102" t="e">
        <f t="shared" si="3"/>
        <v>#VALUE!</v>
      </c>
      <c r="AT12" s="100"/>
      <c r="AU12" s="100"/>
      <c r="AV12" s="100"/>
      <c r="AW12" s="75" t="e">
        <f t="shared" si="2"/>
        <v>#VALUE!</v>
      </c>
      <c r="AX12" s="101"/>
    </row>
    <row r="13" spans="1:51" s="42" customFormat="1" ht="28.2" customHeight="1" x14ac:dyDescent="0.3">
      <c r="A13" s="93">
        <v>1</v>
      </c>
      <c r="B13" s="26" t="s">
        <v>275</v>
      </c>
      <c r="C13" s="1">
        <v>25676</v>
      </c>
      <c r="D13" s="28">
        <f>DAY(C13)</f>
        <v>18</v>
      </c>
      <c r="E13" s="28">
        <f>MONTH(C13)</f>
        <v>4</v>
      </c>
      <c r="F13" s="29">
        <f>YEAR(C13)</f>
        <v>1970</v>
      </c>
      <c r="G13" s="30">
        <f>DATE(F13,E13,1)</f>
        <v>25659</v>
      </c>
      <c r="H13" s="31">
        <f>IF(Q13="nam",VLOOKUP(G13,'[2]TUOI NGHI HUU'!$A$2:$B$757,2,0),VLOOKUP(G13,'[2]TUOI NGHI HUU'!$C$2:$D$697,2,0))</f>
        <v>57.4</v>
      </c>
      <c r="I13" s="31">
        <f>INT(H13)</f>
        <v>57</v>
      </c>
      <c r="J13" s="31">
        <f>ROUND((H13-I13)*10,0)</f>
        <v>4</v>
      </c>
      <c r="K13" s="31" t="e">
        <f>IF(Q13="nam",VLOOKUP(G13,'[2]TUOI NGHI HUU'!$E$2:$F$697,2,0),VLOOKUP(G13,'[2]TUOI NGHI HUU'!$G$2:$H$637,2,0))</f>
        <v>#N/A</v>
      </c>
      <c r="L13" s="31" t="e">
        <f>INT(K13)</f>
        <v>#N/A</v>
      </c>
      <c r="M13" s="31" t="e">
        <f>ROUND((K13-L13)*10,0)</f>
        <v>#N/A</v>
      </c>
      <c r="N13" s="31">
        <f>IF(AF13=0.7,K13,H13)</f>
        <v>57.4</v>
      </c>
      <c r="O13" s="31">
        <f>INT(N13)</f>
        <v>57</v>
      </c>
      <c r="P13" s="31">
        <f>ROUND((N13-O13)*10,0)</f>
        <v>4</v>
      </c>
      <c r="Q13" s="32" t="s">
        <v>263</v>
      </c>
      <c r="R13" s="32"/>
      <c r="S13" s="33" t="s">
        <v>276</v>
      </c>
      <c r="T13" s="34">
        <v>5.7</v>
      </c>
      <c r="U13" s="35" t="s">
        <v>277</v>
      </c>
      <c r="V13" s="36">
        <v>0.31</v>
      </c>
      <c r="W13" s="37" t="e">
        <f>V13*(T13+U13+Y13)</f>
        <v>#VALUE!</v>
      </c>
      <c r="X13" s="36"/>
      <c r="Y13" s="37">
        <f>X13*T13</f>
        <v>0</v>
      </c>
      <c r="Z13" s="38"/>
      <c r="AA13" s="39" t="e">
        <f>(T13+U13+W13+Y13+Z13)*2340</f>
        <v>#VALUE!</v>
      </c>
      <c r="AB13" s="40"/>
      <c r="AC13" s="94">
        <f>IF(AE13&gt;6,AD13+1,IF(AE13=0,AD13,AD13+0.5))</f>
        <v>33</v>
      </c>
      <c r="AD13" s="95">
        <v>33</v>
      </c>
      <c r="AE13" s="95">
        <v>0</v>
      </c>
      <c r="AF13" s="32"/>
      <c r="AG13" s="96"/>
      <c r="AH13" s="96">
        <f>O13</f>
        <v>57</v>
      </c>
      <c r="AI13" s="96">
        <f>P13</f>
        <v>4</v>
      </c>
      <c r="AJ13" s="96">
        <f>IF(MONTH(AL13)&gt;MONTH(C13),YEAR(AL13)-YEAR(C13),YEAR(AL13)-YEAR(C13)-1)</f>
        <v>55</v>
      </c>
      <c r="AK13" s="96">
        <f>IF(MONTH(AL13)&gt;MONTH(C13),MONTH(AL13)-MONTH(C13)-1,MONTH(AL13)+12-MONTH(C13)-1)</f>
        <v>4</v>
      </c>
      <c r="AL13" s="97">
        <v>45901</v>
      </c>
      <c r="AM13" s="94">
        <f>IF(AO13&gt;6,AN13+1,IF(AO13=0,AN13,AN13+0.5))</f>
        <v>2</v>
      </c>
      <c r="AN13" s="98">
        <f>IF(12-AK13+AI13&gt;=12,AH13+1-(AJ13+1),IF(AK13&gt;0,AH13-(AJ13+1),(AH13-AJ13)))</f>
        <v>2</v>
      </c>
      <c r="AO13" s="98">
        <f>IF(12-AK13+AI13&gt;=12,(12-AK13+AI13)-12,IF(AK13=0,AI13,12-AK13+AI13))</f>
        <v>0</v>
      </c>
      <c r="AP13" s="99" t="e">
        <f>ROUND((AQ13+AR13+AS13),0)</f>
        <v>#VALUE!</v>
      </c>
      <c r="AQ13" s="41" t="e">
        <f>5*AM13*AA13</f>
        <v>#VALUE!</v>
      </c>
      <c r="AR13" s="99" t="e">
        <f>5*AA13</f>
        <v>#VALUE!</v>
      </c>
      <c r="AS13" s="99" t="e">
        <f>(AC13-20)*0.5*AA13</f>
        <v>#VALUE!</v>
      </c>
      <c r="AT13" s="100"/>
      <c r="AU13" s="100"/>
      <c r="AV13" s="100"/>
      <c r="AW13" s="79" t="e">
        <f t="shared" si="2"/>
        <v>#VALUE!</v>
      </c>
      <c r="AX13" s="101"/>
    </row>
    <row r="14" spans="1:51" s="50" customFormat="1" ht="27" customHeight="1" x14ac:dyDescent="0.3">
      <c r="A14" s="103" t="s">
        <v>67</v>
      </c>
      <c r="B14" s="613" t="s">
        <v>278</v>
      </c>
      <c r="C14" s="613"/>
      <c r="D14" s="613"/>
      <c r="E14" s="613"/>
      <c r="F14" s="613"/>
      <c r="G14" s="613"/>
      <c r="H14" s="613"/>
      <c r="I14" s="613"/>
      <c r="J14" s="613"/>
      <c r="K14" s="613"/>
      <c r="L14" s="613"/>
      <c r="M14" s="613"/>
      <c r="N14" s="613"/>
      <c r="O14" s="613"/>
      <c r="P14" s="613"/>
      <c r="Q14" s="613"/>
      <c r="R14" s="613"/>
      <c r="S14" s="613"/>
      <c r="T14" s="43"/>
      <c r="U14" s="44"/>
      <c r="V14" s="45"/>
      <c r="W14" s="46"/>
      <c r="X14" s="45"/>
      <c r="Y14" s="46"/>
      <c r="Z14" s="47"/>
      <c r="AA14" s="48"/>
      <c r="AB14" s="49"/>
      <c r="AC14" s="104"/>
      <c r="AD14" s="105"/>
      <c r="AE14" s="105"/>
      <c r="AF14" s="106"/>
      <c r="AG14" s="107"/>
      <c r="AH14" s="107"/>
      <c r="AI14" s="107"/>
      <c r="AJ14" s="107"/>
      <c r="AK14" s="107"/>
      <c r="AL14" s="108"/>
      <c r="AM14" s="104"/>
      <c r="AN14" s="109"/>
      <c r="AO14" s="109"/>
      <c r="AP14" s="102">
        <f>AP15</f>
        <v>477315</v>
      </c>
      <c r="AQ14" s="102">
        <f t="shared" ref="AQ14:AS14" si="4">AQ15</f>
        <v>335612.16000000003</v>
      </c>
      <c r="AR14" s="102">
        <f t="shared" si="4"/>
        <v>74580.48000000001</v>
      </c>
      <c r="AS14" s="102">
        <f t="shared" si="4"/>
        <v>67122.432000000001</v>
      </c>
      <c r="AT14" s="100"/>
      <c r="AU14" s="100"/>
      <c r="AV14" s="100"/>
      <c r="AW14" s="75">
        <f t="shared" si="2"/>
        <v>477315</v>
      </c>
      <c r="AX14" s="110"/>
    </row>
    <row r="15" spans="1:51" ht="46.8" x14ac:dyDescent="0.25">
      <c r="A15" s="93">
        <v>1</v>
      </c>
      <c r="B15" s="111" t="s">
        <v>279</v>
      </c>
      <c r="C15" s="112">
        <v>24873</v>
      </c>
      <c r="D15" s="28">
        <f>DAY(C15)</f>
        <v>5</v>
      </c>
      <c r="E15" s="28">
        <f>MONTH(C15)</f>
        <v>2</v>
      </c>
      <c r="F15" s="29">
        <f>YEAR(C15)</f>
        <v>1968</v>
      </c>
      <c r="G15" s="30">
        <f>DATE(F15,E15,1)</f>
        <v>24869</v>
      </c>
      <c r="H15" s="31">
        <f>IF(Q15="nam",VLOOKUP(G15,'[2]TUOI NGHI HUU'!$A$2:$B$757,2,0),VLOOKUP(G15,'[2]TUOI NGHI HUU'!$C$2:$D$697,2,0))</f>
        <v>62</v>
      </c>
      <c r="I15" s="31">
        <f>INT(H15)</f>
        <v>62</v>
      </c>
      <c r="J15" s="31">
        <f>ROUND((H15-I15)*10,0)</f>
        <v>0</v>
      </c>
      <c r="K15" s="31">
        <f>IF(Q15="nam",VLOOKUP(G15,'[2]TUOI NGHI HUU'!$E$2:$F$697,2,0),VLOOKUP(G15,'[2]TUOI NGHI HUU'!$G$2:$H$637,2,0))</f>
        <v>55.9</v>
      </c>
      <c r="L15" s="31">
        <f>INT(K15)</f>
        <v>55</v>
      </c>
      <c r="M15" s="31">
        <f>ROUND((K15-L15)*10,0)</f>
        <v>9</v>
      </c>
      <c r="N15" s="31">
        <f>IF(AF15=0.7,K15,H15)</f>
        <v>62</v>
      </c>
      <c r="O15" s="31">
        <f>INT(N15)</f>
        <v>62</v>
      </c>
      <c r="P15" s="31">
        <f>ROUND((N15-O15)*10,0)</f>
        <v>0</v>
      </c>
      <c r="Q15" s="32" t="s">
        <v>266</v>
      </c>
      <c r="R15" s="32"/>
      <c r="S15" s="113" t="s">
        <v>281</v>
      </c>
      <c r="T15" s="34">
        <v>4.9800000000000004</v>
      </c>
      <c r="U15" s="35"/>
      <c r="V15" s="36">
        <v>0.28000000000000003</v>
      </c>
      <c r="W15" s="37">
        <f>V15*(T15+U15+Y15)</f>
        <v>1.3944000000000003</v>
      </c>
      <c r="X15" s="36"/>
      <c r="Y15" s="37">
        <f>X15*T15</f>
        <v>0</v>
      </c>
      <c r="Z15" s="38"/>
      <c r="AA15" s="39">
        <f>(T15+U15+W15+Y15+Z15)*2340</f>
        <v>14916.096000000001</v>
      </c>
      <c r="AB15" s="40"/>
      <c r="AC15" s="94">
        <f>IF(AE15&gt;6,AD15+1,IF(AE15=0,AD15,AD15+0.5))</f>
        <v>29</v>
      </c>
      <c r="AD15" s="113">
        <v>28</v>
      </c>
      <c r="AE15" s="113">
        <v>11</v>
      </c>
      <c r="AF15" s="32"/>
      <c r="AG15" s="96"/>
      <c r="AH15" s="96">
        <f>O15</f>
        <v>62</v>
      </c>
      <c r="AI15" s="96">
        <f>P15</f>
        <v>0</v>
      </c>
      <c r="AJ15" s="96">
        <f>IF(MONTH(AL15)&gt;MONTH(C15),YEAR(AL15)-YEAR(C15),YEAR(AL15)-YEAR(C15)-1)</f>
        <v>57</v>
      </c>
      <c r="AK15" s="96">
        <f>IF(MONTH(AL15)&gt;MONTH(C15),MONTH(AL15)-MONTH(C15)-1,MONTH(AL15)+12-MONTH(C15)-1)</f>
        <v>6</v>
      </c>
      <c r="AL15" s="97">
        <v>45901</v>
      </c>
      <c r="AM15" s="94">
        <f>IF(AO15&gt;6,AN15+1,IF(AO15=0,AN15,AN15+0.5))</f>
        <v>4.5</v>
      </c>
      <c r="AN15" s="98">
        <f>IF(12-AK15+AI15&gt;=12,AH15+1-(AJ15+1),IF(AK15&gt;0,AH15-(AJ15+1),(AH15-AJ15)))</f>
        <v>4</v>
      </c>
      <c r="AO15" s="98">
        <f>IF(12-AK15+AI15&gt;=12,(12-AK15+AI15)-12,IF(AK15=0,AI15,12-AK15+AI15))</f>
        <v>6</v>
      </c>
      <c r="AP15" s="99">
        <f>ROUND((AQ15+AR15+AS15),0)</f>
        <v>477315</v>
      </c>
      <c r="AQ15" s="41">
        <f>5*AM15*AA15</f>
        <v>335612.16000000003</v>
      </c>
      <c r="AR15" s="99">
        <f>5*AA15</f>
        <v>74580.48000000001</v>
      </c>
      <c r="AS15" s="99">
        <f>(AC15-20)*0.5*AA15</f>
        <v>67122.432000000001</v>
      </c>
      <c r="AT15" s="100"/>
      <c r="AU15" s="100"/>
      <c r="AV15" s="100"/>
      <c r="AW15" s="79">
        <f t="shared" si="2"/>
        <v>477315</v>
      </c>
      <c r="AX15" s="101"/>
    </row>
    <row r="16" spans="1:51" ht="31.2" x14ac:dyDescent="0.25">
      <c r="A16" s="93">
        <v>2</v>
      </c>
      <c r="B16" s="111" t="s">
        <v>280</v>
      </c>
      <c r="C16" s="112">
        <v>24327</v>
      </c>
      <c r="D16" s="28">
        <f>DAY(C16)</f>
        <v>8</v>
      </c>
      <c r="E16" s="28">
        <f>MONTH(C16)</f>
        <v>8</v>
      </c>
      <c r="F16" s="29">
        <f>YEAR(C16)</f>
        <v>1966</v>
      </c>
      <c r="G16" s="30">
        <f>DATE(F16,E16,1)</f>
        <v>24320</v>
      </c>
      <c r="H16" s="31">
        <f>IF(Q16="nam",VLOOKUP(G16,'[2]TUOI NGHI HUU'!$A$2:$B$757,2,0),VLOOKUP(G16,'[2]TUOI NGHI HUU'!$C$2:$D$697,2,0))</f>
        <v>62</v>
      </c>
      <c r="I16" s="31">
        <f>INT(H16)</f>
        <v>62</v>
      </c>
      <c r="J16" s="31">
        <f>ROUND((H16-I16)*10,0)</f>
        <v>0</v>
      </c>
      <c r="K16" s="31">
        <f>IF(Q16="nam",VLOOKUP(G16,'[2]TUOI NGHI HUU'!$E$2:$F$697,2,0),VLOOKUP(G16,'[2]TUOI NGHI HUU'!$G$2:$H$637,2,0))</f>
        <v>55.3</v>
      </c>
      <c r="L16" s="31">
        <f>INT(K16)</f>
        <v>55</v>
      </c>
      <c r="M16" s="31">
        <f>ROUND((K16-L16)*10,0)</f>
        <v>3</v>
      </c>
      <c r="N16" s="31">
        <f>IF(AF16=0.7,K16,H16)</f>
        <v>62</v>
      </c>
      <c r="O16" s="31">
        <f>INT(N16)</f>
        <v>62</v>
      </c>
      <c r="P16" s="31">
        <f>ROUND((N16-O16)*10,0)</f>
        <v>0</v>
      </c>
      <c r="Q16" s="32" t="s">
        <v>266</v>
      </c>
      <c r="R16" s="32"/>
      <c r="S16" s="113" t="s">
        <v>282</v>
      </c>
      <c r="T16" s="34">
        <v>6.04</v>
      </c>
      <c r="U16" s="35"/>
      <c r="V16" s="36">
        <v>0.3</v>
      </c>
      <c r="W16" s="37">
        <f>V16*(T16+U16+Y16)</f>
        <v>1.8119999999999998</v>
      </c>
      <c r="X16" s="36"/>
      <c r="Y16" s="37">
        <f>X16*T16</f>
        <v>0</v>
      </c>
      <c r="Z16" s="38"/>
      <c r="AA16" s="39">
        <f>(T16+U16+W16+Y16+Z16)*2340</f>
        <v>18373.68</v>
      </c>
      <c r="AB16" s="40"/>
      <c r="AC16" s="94">
        <f>IF(AE16&gt;6,AD16+1,IF(AE16=0,AD16,AD16+0.5))</f>
        <v>34</v>
      </c>
      <c r="AD16" s="113">
        <v>33</v>
      </c>
      <c r="AE16" s="113">
        <v>8</v>
      </c>
      <c r="AF16" s="32"/>
      <c r="AG16" s="96"/>
      <c r="AH16" s="96">
        <f>O16</f>
        <v>62</v>
      </c>
      <c r="AI16" s="96">
        <f>P16</f>
        <v>0</v>
      </c>
      <c r="AJ16" s="96">
        <f>IF(MONTH(AL16)&gt;MONTH(C16),YEAR(AL16)-YEAR(C16),YEAR(AL16)-YEAR(C16)-1)</f>
        <v>59</v>
      </c>
      <c r="AK16" s="96">
        <f>IF(MONTH(AL16)&gt;MONTH(C16),MONTH(AL16)-MONTH(C16)-1,MONTH(AL16)+12-MONTH(C16)-1)</f>
        <v>0</v>
      </c>
      <c r="AL16" s="97">
        <v>45901</v>
      </c>
      <c r="AM16" s="94">
        <f>IF(AO16&gt;6,AN16+1,IF(AO16=0,AN16,AN16+0.5))</f>
        <v>3</v>
      </c>
      <c r="AN16" s="98">
        <f>IF(12-AK16+AI16&gt;=12,AH16+1-(AJ16+1),IF(AK16&gt;0,AH16-(AJ16+1),(AH16-AJ16)))</f>
        <v>3</v>
      </c>
      <c r="AO16" s="98">
        <f>IF(12-AK16+AI16&gt;=12,(12-AK16+AI16)-12,IF(AK16=0,AI16,12-AK16+AI16))</f>
        <v>0</v>
      </c>
      <c r="AP16" s="99">
        <f>ROUND((AQ16+AR16+AS16),0)</f>
        <v>496089</v>
      </c>
      <c r="AQ16" s="41">
        <f>5*AM16*AA16</f>
        <v>275605.2</v>
      </c>
      <c r="AR16" s="99">
        <f>5*AA16</f>
        <v>91868.4</v>
      </c>
      <c r="AS16" s="99">
        <f>(AC16-20)*0.5*AA16</f>
        <v>128615.76000000001</v>
      </c>
      <c r="AT16" s="100"/>
      <c r="AU16" s="100"/>
      <c r="AV16" s="100"/>
      <c r="AW16" s="79">
        <f t="shared" si="2"/>
        <v>496089</v>
      </c>
      <c r="AX16" s="101"/>
    </row>
    <row r="17" spans="1:50" s="50" customFormat="1" ht="22.95" customHeight="1" x14ac:dyDescent="0.3">
      <c r="A17" s="103" t="s">
        <v>73</v>
      </c>
      <c r="B17" s="613" t="s">
        <v>265</v>
      </c>
      <c r="C17" s="613"/>
      <c r="D17" s="613"/>
      <c r="E17" s="613"/>
      <c r="F17" s="613"/>
      <c r="G17" s="613"/>
      <c r="H17" s="613"/>
      <c r="I17" s="613"/>
      <c r="J17" s="613"/>
      <c r="K17" s="613"/>
      <c r="L17" s="613"/>
      <c r="M17" s="613"/>
      <c r="N17" s="613"/>
      <c r="O17" s="613"/>
      <c r="P17" s="613"/>
      <c r="Q17" s="613"/>
      <c r="R17" s="613"/>
      <c r="S17" s="613"/>
      <c r="T17" s="43"/>
      <c r="U17" s="44"/>
      <c r="V17" s="45"/>
      <c r="W17" s="46"/>
      <c r="X17" s="45"/>
      <c r="Y17" s="46"/>
      <c r="Z17" s="47"/>
      <c r="AA17" s="48"/>
      <c r="AB17" s="49"/>
      <c r="AC17" s="104"/>
      <c r="AD17" s="105"/>
      <c r="AE17" s="105"/>
      <c r="AF17" s="106"/>
      <c r="AG17" s="107"/>
      <c r="AH17" s="107"/>
      <c r="AI17" s="107"/>
      <c r="AJ17" s="107"/>
      <c r="AK17" s="107"/>
      <c r="AL17" s="108"/>
      <c r="AM17" s="104"/>
      <c r="AN17" s="109"/>
      <c r="AO17" s="109"/>
      <c r="AP17" s="102">
        <f>AP18</f>
        <v>0</v>
      </c>
      <c r="AQ17" s="102">
        <f t="shared" ref="AQ17:AV17" si="5">AQ18</f>
        <v>0</v>
      </c>
      <c r="AR17" s="102">
        <f t="shared" si="5"/>
        <v>0</v>
      </c>
      <c r="AS17" s="102">
        <f t="shared" si="5"/>
        <v>0</v>
      </c>
      <c r="AT17" s="102">
        <f t="shared" si="5"/>
        <v>786507</v>
      </c>
      <c r="AU17" s="102">
        <f t="shared" si="5"/>
        <v>737350.40339999995</v>
      </c>
      <c r="AV17" s="102">
        <f t="shared" si="5"/>
        <v>49156.69356</v>
      </c>
      <c r="AW17" s="75">
        <f t="shared" si="2"/>
        <v>786507</v>
      </c>
      <c r="AX17" s="110"/>
    </row>
    <row r="18" spans="1:50" ht="46.8" x14ac:dyDescent="0.25">
      <c r="A18" s="93">
        <v>1</v>
      </c>
      <c r="B18" s="111" t="s">
        <v>283</v>
      </c>
      <c r="C18" s="112">
        <v>25539</v>
      </c>
      <c r="D18" s="28">
        <f>DAY(C18)</f>
        <v>2</v>
      </c>
      <c r="E18" s="28">
        <f>MONTH(C18)</f>
        <v>12</v>
      </c>
      <c r="F18" s="29">
        <f>YEAR(C18)</f>
        <v>1969</v>
      </c>
      <c r="G18" s="30">
        <f>DATE(F18,E18,1)</f>
        <v>25538</v>
      </c>
      <c r="H18" s="31">
        <f>IF(Q18="nam",VLOOKUP(G18,'[2]TUOI NGHI HUU'!$A$2:$B$757,2,0),VLOOKUP(G18,'[2]TUOI NGHI HUU'!$C$2:$D$697,2,0))</f>
        <v>62</v>
      </c>
      <c r="I18" s="31">
        <f>INT(H18)</f>
        <v>62</v>
      </c>
      <c r="J18" s="31">
        <f>ROUND((H18-I18)*10,0)</f>
        <v>0</v>
      </c>
      <c r="K18" s="31">
        <f>IF(Q18="nam",VLOOKUP(G18,'[2]TUOI NGHI HUU'!$E$2:$F$697,2,0),VLOOKUP(G18,'[2]TUOI NGHI HUU'!$G$2:$H$637,2,0))</f>
        <v>56.6</v>
      </c>
      <c r="L18" s="31">
        <f>INT(K18)</f>
        <v>56</v>
      </c>
      <c r="M18" s="31">
        <f>ROUND((K18-L18)*10,0)</f>
        <v>6</v>
      </c>
      <c r="N18" s="31">
        <f>IF(AF18=0.7,K18,H18)</f>
        <v>62</v>
      </c>
      <c r="O18" s="31">
        <f>INT(N18)</f>
        <v>62</v>
      </c>
      <c r="P18" s="31">
        <f>ROUND((N18-O18)*10,0)</f>
        <v>0</v>
      </c>
      <c r="Q18" s="32" t="s">
        <v>266</v>
      </c>
      <c r="R18" s="32"/>
      <c r="S18" s="113" t="s">
        <v>284</v>
      </c>
      <c r="T18" s="34">
        <v>4.9800000000000004</v>
      </c>
      <c r="U18" s="35"/>
      <c r="V18" s="36">
        <v>0.28999999999999998</v>
      </c>
      <c r="W18" s="37">
        <f>V18*(T18+U18+Y18)</f>
        <v>1.5741780000000001</v>
      </c>
      <c r="X18" s="36">
        <v>0.09</v>
      </c>
      <c r="Y18" s="37">
        <f>X18*T18</f>
        <v>0.44820000000000004</v>
      </c>
      <c r="Z18" s="38"/>
      <c r="AA18" s="39">
        <f>(T18+U18+W18+Y18+Z18)*2340</f>
        <v>16385.56452</v>
      </c>
      <c r="AB18" s="40"/>
      <c r="AC18" s="94">
        <f>IF(AE18&gt;6,AD18+1,IF(AE18=0,AD18,AD18+0.5))</f>
        <v>30</v>
      </c>
      <c r="AD18" s="113">
        <v>30</v>
      </c>
      <c r="AE18" s="113">
        <v>0</v>
      </c>
      <c r="AF18" s="32"/>
      <c r="AG18" s="96"/>
      <c r="AH18" s="96">
        <f>O18</f>
        <v>62</v>
      </c>
      <c r="AI18" s="96">
        <f>P18</f>
        <v>0</v>
      </c>
      <c r="AJ18" s="96">
        <f>IF(MONTH(AL18)&gt;MONTH(C18),YEAR(AL18)-YEAR(C18),YEAR(AL18)-YEAR(C18)-1)</f>
        <v>55</v>
      </c>
      <c r="AK18" s="96">
        <f>IF(MONTH(AL18)&gt;MONTH(C18),MONTH(AL18)-MONTH(C18)-1,MONTH(AL18)+12-MONTH(C18)-1)</f>
        <v>8</v>
      </c>
      <c r="AL18" s="97">
        <v>45901</v>
      </c>
      <c r="AM18" s="94">
        <f>IF(AO18&gt;6,AN18+1,IF(AO18=0,AN18,AN18+0.5))</f>
        <v>6.5</v>
      </c>
      <c r="AN18" s="98">
        <f>IF(12-AK18+AI18&gt;=12,AH18+1-(AJ18+1),IF(AK18&gt;0,AH18-(AJ18+1),(AH18-AJ18)))</f>
        <v>6</v>
      </c>
      <c r="AO18" s="98">
        <f>IF(12-AK18+AI18&gt;=12,(12-AK18+AI18)-12,IF(AK18=0,AI18,12-AK18+AI18))</f>
        <v>4</v>
      </c>
      <c r="AP18" s="99">
        <f>ROUND((AQ18+AR18+AS18),0)</f>
        <v>0</v>
      </c>
      <c r="AQ18" s="41"/>
      <c r="AR18" s="99"/>
      <c r="AS18" s="99"/>
      <c r="AT18" s="100">
        <f t="shared" ref="AT18" si="6">ROUND((AU18+AV18),0)</f>
        <v>786507</v>
      </c>
      <c r="AU18" s="100">
        <f>1.5*AA18*AC18</f>
        <v>737350.40339999995</v>
      </c>
      <c r="AV18" s="100">
        <f>3*AA18</f>
        <v>49156.69356</v>
      </c>
      <c r="AW18" s="79">
        <f t="shared" si="2"/>
        <v>786507</v>
      </c>
      <c r="AX18" s="101"/>
    </row>
    <row r="19" spans="1:50" x14ac:dyDescent="0.25">
      <c r="A19" s="51"/>
      <c r="B19" s="52"/>
      <c r="C19" s="53"/>
      <c r="D19" s="54"/>
      <c r="E19" s="54"/>
      <c r="F19" s="55"/>
      <c r="G19" s="56"/>
      <c r="H19" s="57"/>
      <c r="I19" s="57"/>
      <c r="J19" s="57"/>
      <c r="K19" s="57"/>
      <c r="L19" s="57"/>
      <c r="M19" s="57"/>
      <c r="N19" s="57"/>
      <c r="O19" s="57"/>
      <c r="P19" s="57"/>
      <c r="Q19" s="58"/>
      <c r="R19" s="58"/>
      <c r="S19" s="51"/>
      <c r="T19" s="59"/>
      <c r="U19" s="60"/>
      <c r="V19" s="61"/>
      <c r="W19" s="62"/>
      <c r="X19" s="61"/>
      <c r="Y19" s="62"/>
      <c r="Z19" s="63"/>
      <c r="AA19" s="64"/>
      <c r="AB19" s="65"/>
      <c r="AC19" s="66"/>
      <c r="AD19" s="67"/>
      <c r="AE19" s="67"/>
      <c r="AF19" s="58"/>
      <c r="AG19" s="68"/>
      <c r="AH19" s="68"/>
      <c r="AI19" s="68"/>
      <c r="AJ19" s="68"/>
      <c r="AK19" s="68"/>
      <c r="AL19" s="69"/>
      <c r="AM19" s="66"/>
      <c r="AN19" s="70"/>
      <c r="AO19" s="70"/>
      <c r="AP19" s="71"/>
      <c r="AQ19" s="477"/>
      <c r="AR19" s="71"/>
      <c r="AS19" s="72"/>
      <c r="AT19" s="77"/>
      <c r="AU19" s="77"/>
      <c r="AV19" s="77"/>
      <c r="AW19" s="114">
        <f t="shared" si="2"/>
        <v>0</v>
      </c>
      <c r="AX19" s="73"/>
    </row>
    <row r="20" spans="1:50" s="478" customFormat="1" ht="18" x14ac:dyDescent="0.25">
      <c r="B20" s="479" t="s">
        <v>290</v>
      </c>
      <c r="AT20" s="473"/>
      <c r="AU20" s="473"/>
      <c r="AV20" s="473"/>
      <c r="AW20" s="473"/>
    </row>
    <row r="21" spans="1:50" x14ac:dyDescent="0.25">
      <c r="AQ21" s="480"/>
    </row>
  </sheetData>
  <mergeCells count="50">
    <mergeCell ref="AB5:AB6"/>
    <mergeCell ref="AC5:AG5"/>
    <mergeCell ref="AH5:AI5"/>
    <mergeCell ref="AJ5:AK5"/>
    <mergeCell ref="R5:R6"/>
    <mergeCell ref="S5:S6"/>
    <mergeCell ref="T5:T6"/>
    <mergeCell ref="U5:U6"/>
    <mergeCell ref="B17:S17"/>
    <mergeCell ref="B9:C9"/>
    <mergeCell ref="D9:E9"/>
    <mergeCell ref="F9:G9"/>
    <mergeCell ref="H9:I9"/>
    <mergeCell ref="J9:K9"/>
    <mergeCell ref="L9:M9"/>
    <mergeCell ref="N9:O9"/>
    <mergeCell ref="P9:Q9"/>
    <mergeCell ref="R9:S9"/>
    <mergeCell ref="O5:P5"/>
    <mergeCell ref="Q5:Q6"/>
    <mergeCell ref="AX5:AX6"/>
    <mergeCell ref="B12:S12"/>
    <mergeCell ref="B14:S14"/>
    <mergeCell ref="AL5:AL6"/>
    <mergeCell ref="AM5:AM6"/>
    <mergeCell ref="AN5:AN6"/>
    <mergeCell ref="AO5:AO6"/>
    <mergeCell ref="AP5:AP6"/>
    <mergeCell ref="AQ5:AS5"/>
    <mergeCell ref="Z5:Z6"/>
    <mergeCell ref="AW5:AW6"/>
    <mergeCell ref="AT5:AT6"/>
    <mergeCell ref="AU5:AV5"/>
    <mergeCell ref="AA5:AA6"/>
    <mergeCell ref="AS1:AX1"/>
    <mergeCell ref="A2:AX2"/>
    <mergeCell ref="A3:AX3"/>
    <mergeCell ref="AR4:AX4"/>
    <mergeCell ref="A5:A6"/>
    <mergeCell ref="B5:B6"/>
    <mergeCell ref="C5:C6"/>
    <mergeCell ref="D5:F5"/>
    <mergeCell ref="G5:G6"/>
    <mergeCell ref="H5:H6"/>
    <mergeCell ref="V5:W5"/>
    <mergeCell ref="X5:Y5"/>
    <mergeCell ref="I5:J5"/>
    <mergeCell ref="K5:K6"/>
    <mergeCell ref="L5:M5"/>
    <mergeCell ref="N5:N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verticalDpi="0" r:id="rId1"/>
  <headerFoot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J17"/>
  <sheetViews>
    <sheetView tabSelected="1" topLeftCell="A7" zoomScale="98" zoomScaleNormal="98" zoomScaleSheetLayoutView="70" workbookViewId="0">
      <selection activeCell="E12" sqref="E12"/>
    </sheetView>
  </sheetViews>
  <sheetFormatPr defaultColWidth="9.109375" defaultRowHeight="15.6" x14ac:dyDescent="0.25"/>
  <cols>
    <col min="1" max="1" width="5.109375" style="281" customWidth="1"/>
    <col min="2" max="2" width="25.44140625" style="337" customWidth="1"/>
    <col min="3" max="3" width="15.109375" style="281" customWidth="1"/>
    <col min="4" max="4" width="12.6640625" style="125" hidden="1" customWidth="1"/>
    <col min="5" max="5" width="19.44140625" style="125" customWidth="1"/>
    <col min="6" max="6" width="9.44140625" style="281" hidden="1" customWidth="1"/>
    <col min="7" max="7" width="7.109375" style="125" hidden="1" customWidth="1"/>
    <col min="8" max="8" width="8.5546875" style="125" hidden="1" customWidth="1"/>
    <col min="9" max="9" width="8.6640625" style="125" hidden="1" customWidth="1"/>
    <col min="10" max="10" width="9" style="125" hidden="1" customWidth="1"/>
    <col min="11" max="11" width="6.5546875" style="125" hidden="1" customWidth="1"/>
    <col min="12" max="12" width="7" style="125" hidden="1" customWidth="1"/>
    <col min="13" max="13" width="8.5546875" style="125" hidden="1" customWidth="1"/>
    <col min="14" max="14" width="11" style="125" hidden="1" customWidth="1"/>
    <col min="15" max="15" width="10" style="125" hidden="1" customWidth="1"/>
    <col min="16" max="16" width="12.6640625" style="281" hidden="1" customWidth="1"/>
    <col min="17" max="17" width="12.88671875" style="281" hidden="1" customWidth="1"/>
    <col min="18" max="18" width="11.109375" style="125" hidden="1" customWidth="1"/>
    <col min="19" max="19" width="6.109375" style="125" hidden="1" customWidth="1"/>
    <col min="20" max="20" width="7.6640625" style="125" hidden="1" customWidth="1"/>
    <col min="21" max="21" width="9" style="125" hidden="1" customWidth="1"/>
    <col min="22" max="22" width="12.109375" style="125" hidden="1" customWidth="1"/>
    <col min="23" max="23" width="5.33203125" style="125" hidden="1" customWidth="1"/>
    <col min="24" max="24" width="6.33203125" style="125" hidden="1" customWidth="1"/>
    <col min="25" max="25" width="16.109375" style="282" hidden="1" customWidth="1"/>
    <col min="26" max="26" width="17.6640625" style="283" hidden="1" customWidth="1"/>
    <col min="27" max="28" width="17.33203125" style="282" hidden="1" customWidth="1"/>
    <col min="29" max="29" width="16.109375" style="284" hidden="1" customWidth="1"/>
    <col min="30" max="30" width="16.6640625" style="284" hidden="1" customWidth="1"/>
    <col min="31" max="32" width="16.109375" style="284" hidden="1" customWidth="1"/>
    <col min="33" max="33" width="17.33203125" style="285" customWidth="1"/>
    <col min="34" max="34" width="17" style="282" customWidth="1"/>
    <col min="35" max="35" width="18" style="282" hidden="1" customWidth="1"/>
    <col min="36" max="36" width="20.6640625" style="285" customWidth="1"/>
    <col min="37" max="16384" width="9.109375" style="125"/>
  </cols>
  <sheetData>
    <row r="1" spans="1:36" s="275" customFormat="1" ht="13.5" customHeight="1" x14ac:dyDescent="0.25">
      <c r="A1" s="274"/>
      <c r="E1" s="276"/>
      <c r="P1" s="274"/>
      <c r="Q1" s="274"/>
      <c r="V1" s="277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 t="s">
        <v>1180</v>
      </c>
    </row>
    <row r="2" spans="1:36" ht="13.5" customHeight="1" x14ac:dyDescent="0.25">
      <c r="A2" s="597" t="s">
        <v>1193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  <c r="M2" s="597"/>
      <c r="N2" s="597"/>
      <c r="O2" s="597"/>
      <c r="P2" s="597"/>
      <c r="Q2" s="597"/>
      <c r="R2" s="597"/>
      <c r="S2" s="597"/>
      <c r="T2" s="597"/>
      <c r="U2" s="597"/>
      <c r="V2" s="597"/>
      <c r="W2" s="597"/>
      <c r="X2" s="597"/>
      <c r="Y2" s="597"/>
      <c r="Z2" s="597"/>
      <c r="AA2" s="597"/>
      <c r="AB2" s="597"/>
      <c r="AC2" s="597"/>
      <c r="AD2" s="597"/>
      <c r="AE2" s="597"/>
      <c r="AF2" s="597"/>
      <c r="AG2" s="597"/>
      <c r="AH2" s="597"/>
      <c r="AI2" s="597"/>
      <c r="AJ2" s="597"/>
    </row>
    <row r="3" spans="1:36" ht="29.4" customHeight="1" x14ac:dyDescent="0.25">
      <c r="A3" s="597"/>
      <c r="B3" s="597"/>
      <c r="C3" s="597"/>
      <c r="D3" s="597"/>
      <c r="E3" s="597"/>
      <c r="F3" s="597"/>
      <c r="G3" s="597"/>
      <c r="H3" s="597"/>
      <c r="I3" s="597"/>
      <c r="J3" s="597"/>
      <c r="K3" s="597"/>
      <c r="L3" s="597"/>
      <c r="M3" s="597"/>
      <c r="N3" s="597"/>
      <c r="O3" s="597"/>
      <c r="P3" s="597"/>
      <c r="Q3" s="597"/>
      <c r="R3" s="597"/>
      <c r="S3" s="597"/>
      <c r="T3" s="597"/>
      <c r="U3" s="597"/>
      <c r="V3" s="597"/>
      <c r="W3" s="597"/>
      <c r="X3" s="597"/>
      <c r="Y3" s="597"/>
      <c r="Z3" s="597"/>
      <c r="AA3" s="597"/>
      <c r="AB3" s="597"/>
      <c r="AC3" s="597"/>
      <c r="AD3" s="597"/>
      <c r="AE3" s="597"/>
      <c r="AF3" s="597"/>
      <c r="AG3" s="597"/>
      <c r="AH3" s="597"/>
      <c r="AI3" s="597"/>
      <c r="AJ3" s="597"/>
    </row>
    <row r="4" spans="1:36" ht="13.5" customHeight="1" x14ac:dyDescent="0.25">
      <c r="A4" s="598" t="s">
        <v>1202</v>
      </c>
      <c r="B4" s="598"/>
      <c r="C4" s="598"/>
      <c r="D4" s="598"/>
      <c r="E4" s="598"/>
      <c r="F4" s="598"/>
      <c r="G4" s="598"/>
      <c r="H4" s="598"/>
      <c r="I4" s="598"/>
      <c r="J4" s="598"/>
      <c r="K4" s="598"/>
      <c r="L4" s="598"/>
      <c r="M4" s="598"/>
      <c r="N4" s="598"/>
      <c r="O4" s="598"/>
      <c r="P4" s="598"/>
      <c r="Q4" s="598"/>
      <c r="R4" s="598"/>
      <c r="S4" s="598"/>
      <c r="T4" s="598"/>
      <c r="U4" s="598"/>
      <c r="V4" s="598"/>
      <c r="W4" s="598"/>
      <c r="X4" s="598"/>
      <c r="Y4" s="598"/>
      <c r="Z4" s="598"/>
      <c r="AA4" s="598"/>
      <c r="AB4" s="598"/>
      <c r="AC4" s="598"/>
      <c r="AD4" s="598"/>
      <c r="AE4" s="598"/>
      <c r="AF4" s="598"/>
      <c r="AG4" s="598"/>
      <c r="AH4" s="598"/>
      <c r="AI4" s="598"/>
      <c r="AJ4" s="598"/>
    </row>
    <row r="5" spans="1:36" ht="29.4" customHeight="1" x14ac:dyDescent="0.25">
      <c r="A5" s="279"/>
      <c r="B5" s="280"/>
      <c r="C5" s="280"/>
      <c r="D5" s="280"/>
      <c r="E5" s="280"/>
      <c r="Z5" s="283">
        <f>L13</f>
        <v>0</v>
      </c>
      <c r="AI5" s="492" t="s">
        <v>50</v>
      </c>
      <c r="AJ5" s="492"/>
    </row>
    <row r="6" spans="1:36" ht="49.2" customHeight="1" x14ac:dyDescent="0.25">
      <c r="A6" s="523" t="s">
        <v>0</v>
      </c>
      <c r="B6" s="523" t="s">
        <v>1</v>
      </c>
      <c r="C6" s="524" t="s">
        <v>2</v>
      </c>
      <c r="D6" s="523" t="s">
        <v>3</v>
      </c>
      <c r="E6" s="621" t="s">
        <v>28</v>
      </c>
      <c r="F6" s="512" t="s">
        <v>9</v>
      </c>
      <c r="G6" s="507" t="s">
        <v>19</v>
      </c>
      <c r="H6" s="507"/>
      <c r="I6" s="507"/>
      <c r="J6" s="507"/>
      <c r="K6" s="507"/>
      <c r="L6" s="507"/>
      <c r="M6" s="507"/>
      <c r="N6" s="507"/>
      <c r="O6" s="508" t="s">
        <v>27</v>
      </c>
      <c r="P6" s="515" t="s">
        <v>14</v>
      </c>
      <c r="Q6" s="524" t="s">
        <v>15</v>
      </c>
      <c r="R6" s="508" t="s">
        <v>10</v>
      </c>
      <c r="S6" s="540" t="s">
        <v>11</v>
      </c>
      <c r="T6" s="541"/>
      <c r="U6" s="512" t="s">
        <v>4</v>
      </c>
      <c r="V6" s="519" t="s">
        <v>32</v>
      </c>
      <c r="W6" s="518" t="s">
        <v>11</v>
      </c>
      <c r="X6" s="518"/>
      <c r="Y6" s="501" t="s">
        <v>21</v>
      </c>
      <c r="Z6" s="542" t="s">
        <v>29</v>
      </c>
      <c r="AA6" s="522" t="s">
        <v>11</v>
      </c>
      <c r="AB6" s="522"/>
      <c r="AC6" s="501" t="s">
        <v>30</v>
      </c>
      <c r="AD6" s="504" t="s">
        <v>11</v>
      </c>
      <c r="AE6" s="505"/>
      <c r="AF6" s="506"/>
      <c r="AG6" s="534" t="s">
        <v>1182</v>
      </c>
      <c r="AH6" s="535"/>
      <c r="AI6" s="535"/>
      <c r="AJ6" s="536"/>
    </row>
    <row r="7" spans="1:36" ht="48" customHeight="1" x14ac:dyDescent="0.25">
      <c r="A7" s="523"/>
      <c r="B7" s="523"/>
      <c r="C7" s="524"/>
      <c r="D7" s="523"/>
      <c r="E7" s="621"/>
      <c r="F7" s="513"/>
      <c r="G7" s="525" t="s">
        <v>48</v>
      </c>
      <c r="H7" s="511" t="s">
        <v>42</v>
      </c>
      <c r="I7" s="511" t="s">
        <v>43</v>
      </c>
      <c r="J7" s="511" t="s">
        <v>44</v>
      </c>
      <c r="K7" s="511" t="s">
        <v>45</v>
      </c>
      <c r="L7" s="511" t="s">
        <v>46</v>
      </c>
      <c r="M7" s="511" t="s">
        <v>18</v>
      </c>
      <c r="N7" s="511" t="s">
        <v>47</v>
      </c>
      <c r="O7" s="509"/>
      <c r="P7" s="516"/>
      <c r="Q7" s="524"/>
      <c r="R7" s="509"/>
      <c r="S7" s="527" t="s">
        <v>12</v>
      </c>
      <c r="T7" s="527" t="s">
        <v>13</v>
      </c>
      <c r="U7" s="513"/>
      <c r="V7" s="520"/>
      <c r="W7" s="518" t="s">
        <v>24</v>
      </c>
      <c r="X7" s="518" t="s">
        <v>25</v>
      </c>
      <c r="Y7" s="503"/>
      <c r="Z7" s="543"/>
      <c r="AA7" s="532" t="s">
        <v>5</v>
      </c>
      <c r="AB7" s="532" t="s">
        <v>6</v>
      </c>
      <c r="AC7" s="503"/>
      <c r="AD7" s="532" t="s">
        <v>7</v>
      </c>
      <c r="AE7" s="532" t="s">
        <v>41</v>
      </c>
      <c r="AF7" s="532" t="s">
        <v>8</v>
      </c>
      <c r="AG7" s="622" t="s">
        <v>26</v>
      </c>
      <c r="AH7" s="622"/>
      <c r="AI7" s="538" t="s">
        <v>31</v>
      </c>
      <c r="AJ7" s="501" t="s">
        <v>51</v>
      </c>
    </row>
    <row r="8" spans="1:36" ht="65.25" customHeight="1" x14ac:dyDescent="0.25">
      <c r="A8" s="523"/>
      <c r="B8" s="523"/>
      <c r="C8" s="524"/>
      <c r="D8" s="523"/>
      <c r="E8" s="621"/>
      <c r="F8" s="514"/>
      <c r="G8" s="526"/>
      <c r="H8" s="511"/>
      <c r="I8" s="511"/>
      <c r="J8" s="511"/>
      <c r="K8" s="511"/>
      <c r="L8" s="511"/>
      <c r="M8" s="511"/>
      <c r="N8" s="511"/>
      <c r="O8" s="510"/>
      <c r="P8" s="517"/>
      <c r="Q8" s="524"/>
      <c r="R8" s="510"/>
      <c r="S8" s="528"/>
      <c r="T8" s="528"/>
      <c r="U8" s="514"/>
      <c r="V8" s="521"/>
      <c r="W8" s="518"/>
      <c r="X8" s="518"/>
      <c r="Y8" s="502"/>
      <c r="Z8" s="544"/>
      <c r="AA8" s="533"/>
      <c r="AB8" s="533"/>
      <c r="AC8" s="502"/>
      <c r="AD8" s="533"/>
      <c r="AE8" s="533"/>
      <c r="AF8" s="533"/>
      <c r="AG8" s="289" t="s">
        <v>52</v>
      </c>
      <c r="AH8" s="289" t="s">
        <v>1183</v>
      </c>
      <c r="AI8" s="539"/>
      <c r="AJ8" s="502"/>
    </row>
    <row r="9" spans="1:36" s="295" customFormat="1" x14ac:dyDescent="0.25">
      <c r="A9" s="290">
        <v>1</v>
      </c>
      <c r="B9" s="290">
        <v>2</v>
      </c>
      <c r="C9" s="290">
        <v>3</v>
      </c>
      <c r="D9" s="290"/>
      <c r="E9" s="290" t="s">
        <v>20</v>
      </c>
      <c r="F9" s="291">
        <v>5</v>
      </c>
      <c r="G9" s="290" t="s">
        <v>16</v>
      </c>
      <c r="H9" s="290"/>
      <c r="I9" s="290" t="s">
        <v>17</v>
      </c>
      <c r="J9" s="291">
        <v>8</v>
      </c>
      <c r="K9" s="290" t="s">
        <v>22</v>
      </c>
      <c r="L9" s="290" t="s">
        <v>33</v>
      </c>
      <c r="M9" s="291">
        <v>11</v>
      </c>
      <c r="N9" s="291"/>
      <c r="O9" s="290" t="s">
        <v>34</v>
      </c>
      <c r="P9" s="290" t="s">
        <v>23</v>
      </c>
      <c r="Q9" s="291">
        <v>5</v>
      </c>
      <c r="R9" s="290" t="s">
        <v>35</v>
      </c>
      <c r="S9" s="290" t="s">
        <v>33</v>
      </c>
      <c r="T9" s="291">
        <v>11</v>
      </c>
      <c r="U9" s="290" t="s">
        <v>36</v>
      </c>
      <c r="V9" s="290" t="s">
        <v>37</v>
      </c>
      <c r="W9" s="292"/>
      <c r="X9" s="290"/>
      <c r="Y9" s="293" t="s">
        <v>38</v>
      </c>
      <c r="Z9" s="294" t="s">
        <v>40</v>
      </c>
      <c r="AA9" s="294">
        <v>20</v>
      </c>
      <c r="AB9" s="294">
        <v>21</v>
      </c>
      <c r="AC9" s="294" t="s">
        <v>39</v>
      </c>
      <c r="AD9" s="294">
        <v>23</v>
      </c>
      <c r="AE9" s="294">
        <v>24</v>
      </c>
      <c r="AF9" s="294">
        <v>25</v>
      </c>
      <c r="AG9" s="294">
        <v>5</v>
      </c>
      <c r="AH9" s="294">
        <v>6</v>
      </c>
      <c r="AI9" s="294">
        <v>7</v>
      </c>
      <c r="AJ9" s="294" t="s">
        <v>1197</v>
      </c>
    </row>
    <row r="10" spans="1:36" s="295" customFormat="1" ht="32.25" customHeight="1" x14ac:dyDescent="0.25">
      <c r="A10" s="141"/>
      <c r="B10" s="141" t="s">
        <v>54</v>
      </c>
      <c r="C10" s="142"/>
      <c r="D10" s="142"/>
      <c r="E10" s="143"/>
      <c r="F10" s="144"/>
      <c r="G10" s="142"/>
      <c r="H10" s="142"/>
      <c r="I10" s="142"/>
      <c r="J10" s="144"/>
      <c r="K10" s="142"/>
      <c r="L10" s="142"/>
      <c r="M10" s="144"/>
      <c r="N10" s="144"/>
      <c r="O10" s="142"/>
      <c r="P10" s="142"/>
      <c r="Q10" s="144"/>
      <c r="R10" s="142"/>
      <c r="S10" s="142"/>
      <c r="T10" s="144"/>
      <c r="U10" s="142"/>
      <c r="V10" s="142"/>
      <c r="W10" s="142"/>
      <c r="X10" s="142"/>
      <c r="Y10" s="287">
        <f>Y11+Y13</f>
        <v>1622965.5</v>
      </c>
      <c r="Z10" s="287">
        <f t="shared" ref="Z10:AJ10" si="0">Z11+Z13</f>
        <v>1337573.25</v>
      </c>
      <c r="AA10" s="287">
        <f t="shared" si="0"/>
        <v>686205</v>
      </c>
      <c r="AB10" s="287">
        <f t="shared" si="0"/>
        <v>651368.25</v>
      </c>
      <c r="AC10" s="287">
        <f t="shared" si="0"/>
        <v>0</v>
      </c>
      <c r="AD10" s="287">
        <f t="shared" si="0"/>
        <v>0</v>
      </c>
      <c r="AE10" s="287">
        <f t="shared" si="0"/>
        <v>0</v>
      </c>
      <c r="AF10" s="287">
        <f t="shared" si="0"/>
        <v>0</v>
      </c>
      <c r="AG10" s="287">
        <f t="shared" si="0"/>
        <v>2960539</v>
      </c>
      <c r="AH10" s="287">
        <f t="shared" si="0"/>
        <v>0</v>
      </c>
      <c r="AI10" s="287">
        <f t="shared" si="0"/>
        <v>0</v>
      </c>
      <c r="AJ10" s="287">
        <f t="shared" si="0"/>
        <v>2960539</v>
      </c>
    </row>
    <row r="11" spans="1:36" s="295" customFormat="1" ht="33.75" customHeight="1" x14ac:dyDescent="0.25">
      <c r="A11" s="298" t="s">
        <v>57</v>
      </c>
      <c r="B11" s="623" t="s">
        <v>220</v>
      </c>
      <c r="C11" s="623"/>
      <c r="D11" s="623"/>
      <c r="E11" s="623"/>
      <c r="F11" s="299"/>
      <c r="G11" s="300"/>
      <c r="H11" s="300"/>
      <c r="I11" s="300"/>
      <c r="J11" s="299"/>
      <c r="K11" s="300"/>
      <c r="L11" s="300"/>
      <c r="M11" s="299"/>
      <c r="N11" s="299"/>
      <c r="O11" s="300"/>
      <c r="P11" s="300"/>
      <c r="Q11" s="299"/>
      <c r="R11" s="300"/>
      <c r="S11" s="300"/>
      <c r="T11" s="299"/>
      <c r="U11" s="300"/>
      <c r="V11" s="300"/>
      <c r="W11" s="300"/>
      <c r="X11" s="300"/>
      <c r="Y11" s="301">
        <f>Y12</f>
        <v>785538</v>
      </c>
      <c r="Z11" s="301">
        <f t="shared" ref="Z11:AJ11" si="1">Z12</f>
        <v>643704.75</v>
      </c>
      <c r="AA11" s="301">
        <f t="shared" si="1"/>
        <v>327307.5</v>
      </c>
      <c r="AB11" s="301">
        <f t="shared" si="1"/>
        <v>316397.25</v>
      </c>
      <c r="AC11" s="301">
        <f t="shared" si="1"/>
        <v>0</v>
      </c>
      <c r="AD11" s="301">
        <f t="shared" si="1"/>
        <v>0</v>
      </c>
      <c r="AE11" s="301">
        <f t="shared" si="1"/>
        <v>0</v>
      </c>
      <c r="AF11" s="301">
        <f t="shared" si="1"/>
        <v>0</v>
      </c>
      <c r="AG11" s="301">
        <f t="shared" si="1"/>
        <v>1429243</v>
      </c>
      <c r="AH11" s="301">
        <f t="shared" si="1"/>
        <v>0</v>
      </c>
      <c r="AI11" s="301">
        <f t="shared" si="1"/>
        <v>0</v>
      </c>
      <c r="AJ11" s="301">
        <f t="shared" si="1"/>
        <v>1429243</v>
      </c>
    </row>
    <row r="12" spans="1:36" s="318" customFormat="1" ht="50.25" customHeight="1" x14ac:dyDescent="0.25">
      <c r="A12" s="302">
        <v>1</v>
      </c>
      <c r="B12" s="303" t="s">
        <v>224</v>
      </c>
      <c r="C12" s="304">
        <v>24346</v>
      </c>
      <c r="D12" s="304" t="s">
        <v>59</v>
      </c>
      <c r="E12" s="305" t="s">
        <v>225</v>
      </c>
      <c r="F12" s="306">
        <v>6.56</v>
      </c>
      <c r="G12" s="307"/>
      <c r="H12" s="307">
        <v>0.9</v>
      </c>
      <c r="I12" s="308"/>
      <c r="J12" s="308"/>
      <c r="K12" s="309"/>
      <c r="L12" s="309"/>
      <c r="M12" s="309">
        <f t="shared" ref="M12" si="2">(F12+G12+H12+I12)*25%</f>
        <v>1.865</v>
      </c>
      <c r="N12" s="309"/>
      <c r="O12" s="310">
        <f t="shared" ref="O12" si="3">SUM(F12:N12)*2340</f>
        <v>21820.5</v>
      </c>
      <c r="P12" s="304"/>
      <c r="Q12" s="311" t="s">
        <v>56</v>
      </c>
      <c r="R12" s="312">
        <f>(S12)+(IF(T12=0,0,IF(T12&lt;7,1/2,1)))</f>
        <v>36</v>
      </c>
      <c r="S12" s="307">
        <v>35</v>
      </c>
      <c r="T12" s="307">
        <v>10</v>
      </c>
      <c r="U12" s="307">
        <f>(W12*12)+X12</f>
        <v>36</v>
      </c>
      <c r="V12" s="313">
        <f>(W12)+(IF(X12=0,0,IF(X12&lt;7,1/2,1)))</f>
        <v>3</v>
      </c>
      <c r="W12" s="307">
        <v>3</v>
      </c>
      <c r="X12" s="307"/>
      <c r="Y12" s="314">
        <f>O12*U12</f>
        <v>785538</v>
      </c>
      <c r="Z12" s="309">
        <f t="shared" ref="Z12" si="4">SUM(AA12:AB12)</f>
        <v>643704.75</v>
      </c>
      <c r="AA12" s="309">
        <f>5*V12*O12</f>
        <v>327307.5</v>
      </c>
      <c r="AB12" s="309">
        <f t="shared" ref="AB12" si="5">SUM(4*O12)+(0.5*(R12-15)*O12)</f>
        <v>316397.25</v>
      </c>
      <c r="AC12" s="315"/>
      <c r="AD12" s="315"/>
      <c r="AE12" s="315"/>
      <c r="AF12" s="315"/>
      <c r="AG12" s="316">
        <f>ROUND(Y12+Z12,0)</f>
        <v>1429243</v>
      </c>
      <c r="AH12" s="316">
        <v>0</v>
      </c>
      <c r="AI12" s="316"/>
      <c r="AJ12" s="317">
        <f>AG12+AH12+AI12</f>
        <v>1429243</v>
      </c>
    </row>
    <row r="13" spans="1:36" s="295" customFormat="1" ht="32.25" customHeight="1" x14ac:dyDescent="0.25">
      <c r="A13" s="319" t="s">
        <v>64</v>
      </c>
      <c r="B13" s="624" t="s">
        <v>221</v>
      </c>
      <c r="C13" s="624"/>
      <c r="D13" s="624"/>
      <c r="E13" s="624"/>
      <c r="F13" s="320"/>
      <c r="G13" s="321"/>
      <c r="H13" s="321"/>
      <c r="I13" s="321"/>
      <c r="J13" s="320"/>
      <c r="K13" s="321"/>
      <c r="L13" s="321"/>
      <c r="M13" s="320"/>
      <c r="N13" s="320"/>
      <c r="O13" s="321"/>
      <c r="P13" s="321"/>
      <c r="Q13" s="320"/>
      <c r="R13" s="321"/>
      <c r="S13" s="321"/>
      <c r="T13" s="320"/>
      <c r="U13" s="321"/>
      <c r="V13" s="321"/>
      <c r="W13" s="321"/>
      <c r="X13" s="321"/>
      <c r="Y13" s="322">
        <f>Y14</f>
        <v>837427.5</v>
      </c>
      <c r="Z13" s="322">
        <f t="shared" ref="Z13:AJ13" si="6">Z14</f>
        <v>693868.5</v>
      </c>
      <c r="AA13" s="322">
        <f t="shared" si="6"/>
        <v>358897.5</v>
      </c>
      <c r="AB13" s="322">
        <f t="shared" si="6"/>
        <v>334971</v>
      </c>
      <c r="AC13" s="322">
        <f t="shared" si="6"/>
        <v>0</v>
      </c>
      <c r="AD13" s="322">
        <f t="shared" si="6"/>
        <v>0</v>
      </c>
      <c r="AE13" s="322">
        <f t="shared" si="6"/>
        <v>0</v>
      </c>
      <c r="AF13" s="322">
        <f t="shared" si="6"/>
        <v>0</v>
      </c>
      <c r="AG13" s="322">
        <f t="shared" si="6"/>
        <v>1531296</v>
      </c>
      <c r="AH13" s="322">
        <f t="shared" si="6"/>
        <v>0</v>
      </c>
      <c r="AI13" s="322">
        <f t="shared" si="6"/>
        <v>0</v>
      </c>
      <c r="AJ13" s="322">
        <f t="shared" si="6"/>
        <v>1531296</v>
      </c>
    </row>
    <row r="14" spans="1:36" s="318" customFormat="1" ht="55.5" customHeight="1" x14ac:dyDescent="0.25">
      <c r="A14" s="323">
        <v>1</v>
      </c>
      <c r="B14" s="324" t="s">
        <v>222</v>
      </c>
      <c r="C14" s="325">
        <v>25894</v>
      </c>
      <c r="D14" s="325" t="s">
        <v>59</v>
      </c>
      <c r="E14" s="326" t="s">
        <v>223</v>
      </c>
      <c r="F14" s="327">
        <v>7.28</v>
      </c>
      <c r="G14" s="328"/>
      <c r="H14" s="328">
        <v>0.9</v>
      </c>
      <c r="I14" s="329"/>
      <c r="J14" s="329"/>
      <c r="K14" s="314"/>
      <c r="L14" s="314"/>
      <c r="M14" s="314">
        <f t="shared" ref="M14" si="7">(F14+G14+H14+I14)*25%</f>
        <v>2.0449999999999999</v>
      </c>
      <c r="N14" s="314"/>
      <c r="O14" s="330">
        <f t="shared" ref="O14" si="8">SUM(F14:N14)*2340</f>
        <v>23926.5</v>
      </c>
      <c r="P14" s="325">
        <v>46966</v>
      </c>
      <c r="Q14" s="331" t="s">
        <v>56</v>
      </c>
      <c r="R14" s="332">
        <f>(S14)+(IF(T14=0,0,IF(T14&lt;7,1/2,1)))</f>
        <v>35</v>
      </c>
      <c r="S14" s="328">
        <v>34</v>
      </c>
      <c r="T14" s="328">
        <v>8</v>
      </c>
      <c r="U14" s="328">
        <f>(W14*12)+X14</f>
        <v>35</v>
      </c>
      <c r="V14" s="333">
        <f>(W14)+(IF(X14=0,0,IF(X14&lt;7,1/2,1)))</f>
        <v>3</v>
      </c>
      <c r="W14" s="328">
        <v>2</v>
      </c>
      <c r="X14" s="328">
        <v>11</v>
      </c>
      <c r="Y14" s="314">
        <f>O14*U14</f>
        <v>837427.5</v>
      </c>
      <c r="Z14" s="314">
        <f t="shared" ref="Z14" si="9">SUM(AA14:AB14)</f>
        <v>693868.5</v>
      </c>
      <c r="AA14" s="314">
        <f>5*V14*O14</f>
        <v>358897.5</v>
      </c>
      <c r="AB14" s="314">
        <f t="shared" ref="AB14" si="10">SUM(4*O14)+(0.5*(R14-15)*O14)</f>
        <v>334971</v>
      </c>
      <c r="AC14" s="334"/>
      <c r="AD14" s="334"/>
      <c r="AE14" s="334"/>
      <c r="AF14" s="334"/>
      <c r="AG14" s="335">
        <f>ROUND(Y14+Z14,0)</f>
        <v>1531296</v>
      </c>
      <c r="AH14" s="335">
        <v>0</v>
      </c>
      <c r="AI14" s="335"/>
      <c r="AJ14" s="336">
        <f>AG14+AH14+AI14</f>
        <v>1531296</v>
      </c>
    </row>
    <row r="15" spans="1:36" s="379" customFormat="1" ht="16.2" x14ac:dyDescent="0.25">
      <c r="A15" s="295"/>
      <c r="B15" s="378" t="s">
        <v>1185</v>
      </c>
      <c r="C15" s="295"/>
      <c r="F15" s="295"/>
      <c r="P15" s="295"/>
      <c r="Q15" s="295"/>
      <c r="Y15" s="380"/>
      <c r="Z15" s="297"/>
      <c r="AA15" s="380"/>
      <c r="AB15" s="380"/>
      <c r="AC15" s="381"/>
      <c r="AD15" s="381"/>
      <c r="AE15" s="381"/>
      <c r="AF15" s="381"/>
      <c r="AG15" s="382"/>
      <c r="AH15" s="380"/>
      <c r="AI15" s="380"/>
      <c r="AJ15" s="382"/>
    </row>
    <row r="17" spans="25:25" x14ac:dyDescent="0.25">
      <c r="Y17" s="338"/>
    </row>
  </sheetData>
  <mergeCells count="46">
    <mergeCell ref="AJ7:AJ8"/>
    <mergeCell ref="AD6:AF6"/>
    <mergeCell ref="AG6:AJ6"/>
    <mergeCell ref="B11:E11"/>
    <mergeCell ref="B13:E13"/>
    <mergeCell ref="AD7:AD8"/>
    <mergeCell ref="AE7:AE8"/>
    <mergeCell ref="AF7:AF8"/>
    <mergeCell ref="G7:G8"/>
    <mergeCell ref="H7:H8"/>
    <mergeCell ref="I7:I8"/>
    <mergeCell ref="J7:J8"/>
    <mergeCell ref="K7:K8"/>
    <mergeCell ref="L7:L8"/>
    <mergeCell ref="M7:M8"/>
    <mergeCell ref="N7:N8"/>
    <mergeCell ref="U6:U8"/>
    <mergeCell ref="S7:S8"/>
    <mergeCell ref="T7:T8"/>
    <mergeCell ref="AG7:AH7"/>
    <mergeCell ref="AI7:AI8"/>
    <mergeCell ref="V6:V8"/>
    <mergeCell ref="W6:X6"/>
    <mergeCell ref="Y6:Y8"/>
    <mergeCell ref="AA6:AB6"/>
    <mergeCell ref="AC6:AC8"/>
    <mergeCell ref="W7:W8"/>
    <mergeCell ref="X7:X8"/>
    <mergeCell ref="AA7:AA8"/>
    <mergeCell ref="AB7:AB8"/>
    <mergeCell ref="A2:AJ3"/>
    <mergeCell ref="A4:AJ4"/>
    <mergeCell ref="AI5:AJ5"/>
    <mergeCell ref="A6:A8"/>
    <mergeCell ref="B6:B8"/>
    <mergeCell ref="C6:C8"/>
    <mergeCell ref="D6:D8"/>
    <mergeCell ref="E6:E8"/>
    <mergeCell ref="F6:F8"/>
    <mergeCell ref="G6:N6"/>
    <mergeCell ref="O6:O8"/>
    <mergeCell ref="P6:P8"/>
    <mergeCell ref="Q6:Q8"/>
    <mergeCell ref="R6:R8"/>
    <mergeCell ref="S6:T6"/>
    <mergeCell ref="Z6:Z8"/>
  </mergeCells>
  <printOptions horizontalCentered="1"/>
  <pageMargins left="0.23622047244094491" right="0.23622047244094491" top="0.59055118110236227" bottom="0.59055118110236227" header="0.31496062992125984" footer="0.31496062992125984"/>
  <pageSetup paperSize="8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Bieu TH</vt:lpstr>
      <vt:lpstr>178 khoi tinh</vt:lpstr>
      <vt:lpstr>178Khoi xa</vt:lpstr>
      <vt:lpstr>154</vt:lpstr>
      <vt:lpstr>177</vt:lpstr>
      <vt:lpstr>'177'!Print_Area</vt:lpstr>
      <vt:lpstr>'178 khoi tinh'!Print_Area</vt:lpstr>
      <vt:lpstr>'154'!Print_Titles</vt:lpstr>
      <vt:lpstr>'177'!Print_Titles</vt:lpstr>
      <vt:lpstr>'178 khoi tinh'!Print_Titles</vt:lpstr>
      <vt:lpstr>'178Khoi xa'!Print_Titles</vt:lpstr>
      <vt:lpstr>'Bieu TH'!Print_Titles</vt:lpstr>
    </vt:vector>
  </TitlesOfParts>
  <Company>minhtuan6990@gmail.com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Nguyễn Thành Minh</dc:creator>
  <cp:lastModifiedBy>ls vpubnd</cp:lastModifiedBy>
  <cp:lastPrinted>2025-09-01T07:54:27Z</cp:lastPrinted>
  <dcterms:created xsi:type="dcterms:W3CDTF">2024-12-16T01:46:33Z</dcterms:created>
  <dcterms:modified xsi:type="dcterms:W3CDTF">2025-09-01T07:55:30Z</dcterms:modified>
</cp:coreProperties>
</file>