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nphong\AppData\Roaming\VNPT Plugin\Files\FileTemp\"/>
    </mc:Choice>
  </mc:AlternateContent>
  <xr:revisionPtr revIDLastSave="0" documentId="13_ncr:1_{A5B660EE-ED7D-4EA5-8E5C-2541CB492BF5}" xr6:coauthVersionLast="47" xr6:coauthVersionMax="47" xr10:uidLastSave="{00000000-0000-0000-0000-000000000000}"/>
  <bookViews>
    <workbookView xWindow="-98" yWindow="-98" windowWidth="21795" windowHeight="13875" tabRatio="593" firstSheet="1" activeTab="1" xr2:uid="{00000000-000D-0000-FFFF-FFFF00000000}"/>
  </bookViews>
  <sheets>
    <sheet name="SGV" sheetId="10" state="veryHidden" r:id="rId1"/>
    <sheet name="DANH SACH" sheetId="4" r:id="rId2"/>
  </sheets>
  <definedNames>
    <definedName name="_xlnm.Print_Titles" localSheetId="1">'DANH SACH'!$9:$12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25" i="4" l="1"/>
  <c r="AK21" i="4"/>
  <c r="AK17" i="4"/>
  <c r="AK15" i="4"/>
  <c r="AI14" i="4"/>
  <c r="AI13" i="4"/>
  <c r="AH13" i="4"/>
  <c r="AH14" i="4"/>
  <c r="AI39" i="4"/>
  <c r="W39" i="4"/>
  <c r="V39" i="4"/>
  <c r="S39" i="4"/>
  <c r="L39" i="4"/>
  <c r="K39" i="4"/>
  <c r="AG25" i="4"/>
  <c r="AJ25" i="4"/>
  <c r="AG21" i="4"/>
  <c r="AJ21" i="4"/>
  <c r="AA17" i="4"/>
  <c r="AB17" i="4"/>
  <c r="AC17" i="4"/>
  <c r="AD17" i="4"/>
  <c r="AE17" i="4"/>
  <c r="AF17" i="4"/>
  <c r="AG17" i="4"/>
  <c r="AJ17" i="4"/>
  <c r="AD15" i="4"/>
  <c r="AE15" i="4"/>
  <c r="AF15" i="4"/>
  <c r="AG15" i="4"/>
  <c r="AI15" i="4"/>
  <c r="AJ15" i="4"/>
  <c r="AG14" i="4" l="1"/>
  <c r="P39" i="4"/>
  <c r="Z39" i="4" s="1"/>
  <c r="AJ14" i="4"/>
  <c r="AC39" i="4" l="1"/>
  <c r="AB39" i="4"/>
  <c r="AA39" i="4" l="1"/>
  <c r="AH39" i="4" s="1"/>
  <c r="AK39" i="4" s="1"/>
  <c r="AD42" i="4"/>
  <c r="AD41" i="4" s="1"/>
  <c r="AE42" i="4"/>
  <c r="AE41" i="4" s="1"/>
  <c r="AF42" i="4"/>
  <c r="AF41" i="4" s="1"/>
  <c r="AG42" i="4"/>
  <c r="AG41" i="4" s="1"/>
  <c r="AG13" i="4" s="1"/>
  <c r="AJ42" i="4"/>
  <c r="AJ41" i="4" s="1"/>
  <c r="AJ13" i="4" s="1"/>
  <c r="AH40" i="4"/>
  <c r="W40" i="4"/>
  <c r="V40" i="4"/>
  <c r="S40" i="4"/>
  <c r="L40" i="4"/>
  <c r="K40" i="4"/>
  <c r="P40" i="4" s="1"/>
  <c r="AF40" i="4" s="1"/>
  <c r="AF25" i="4" s="1"/>
  <c r="L26" i="4"/>
  <c r="K26" i="4"/>
  <c r="J27" i="4"/>
  <c r="K27" i="4" s="1"/>
  <c r="L27" i="4" l="1"/>
  <c r="AE40" i="4"/>
  <c r="AD40" i="4" l="1"/>
  <c r="AI40" i="4" s="1"/>
  <c r="AK40" i="4" s="1"/>
  <c r="AE25" i="4"/>
  <c r="J38" i="4"/>
  <c r="P38" i="4" s="1"/>
  <c r="V38" i="4"/>
  <c r="J37" i="4"/>
  <c r="V37" i="4"/>
  <c r="V36" i="4"/>
  <c r="K35" i="4"/>
  <c r="L35" i="4"/>
  <c r="V35" i="4"/>
  <c r="P36" i="4"/>
  <c r="L34" i="4"/>
  <c r="K34" i="4"/>
  <c r="V34" i="4"/>
  <c r="L33" i="4"/>
  <c r="K33" i="4"/>
  <c r="K31" i="4"/>
  <c r="K30" i="4"/>
  <c r="J32" i="4"/>
  <c r="L32" i="4" s="1"/>
  <c r="L31" i="4"/>
  <c r="L30" i="4"/>
  <c r="J28" i="4"/>
  <c r="K28" i="4" s="1"/>
  <c r="J29" i="4"/>
  <c r="L29" i="4" s="1"/>
  <c r="L28" i="4" l="1"/>
  <c r="P28" i="4" s="1"/>
  <c r="Z28" i="4" s="1"/>
  <c r="P35" i="4"/>
  <c r="Z35" i="4" s="1"/>
  <c r="AD25" i="4"/>
  <c r="P34" i="4"/>
  <c r="Z34" i="4" s="1"/>
  <c r="P33" i="4"/>
  <c r="Z38" i="4"/>
  <c r="K32" i="4"/>
  <c r="P32" i="4" s="1"/>
  <c r="K29" i="4"/>
  <c r="P29" i="4" s="1"/>
  <c r="P37" i="4"/>
  <c r="Z37" i="4" s="1"/>
  <c r="N43" i="4"/>
  <c r="P43" i="4" s="1"/>
  <c r="Z43" i="4" s="1"/>
  <c r="L22" i="4"/>
  <c r="K22" i="4"/>
  <c r="J23" i="4"/>
  <c r="P23" i="4" s="1"/>
  <c r="J20" i="4"/>
  <c r="L20" i="4" s="1"/>
  <c r="K19" i="4"/>
  <c r="L19" i="4"/>
  <c r="L18" i="4"/>
  <c r="K18" i="4"/>
  <c r="W43" i="4"/>
  <c r="V43" i="4"/>
  <c r="S43" i="4"/>
  <c r="AI22" i="4"/>
  <c r="AI23" i="4"/>
  <c r="AI27" i="4"/>
  <c r="AI29" i="4"/>
  <c r="AI30" i="4"/>
  <c r="AI33" i="4"/>
  <c r="AI34" i="4"/>
  <c r="AI35" i="4"/>
  <c r="AI36" i="4"/>
  <c r="AI37" i="4"/>
  <c r="AI38" i="4"/>
  <c r="Z36" i="4"/>
  <c r="W34" i="4"/>
  <c r="W35" i="4"/>
  <c r="W36" i="4"/>
  <c r="AB36" i="4" s="1"/>
  <c r="W37" i="4"/>
  <c r="W38" i="4"/>
  <c r="AB38" i="4" s="1"/>
  <c r="S34" i="4"/>
  <c r="S35" i="4"/>
  <c r="S36" i="4"/>
  <c r="AC36" i="4" s="1"/>
  <c r="S37" i="4"/>
  <c r="S38" i="4"/>
  <c r="AC38" i="4" s="1"/>
  <c r="P30" i="4"/>
  <c r="S30" i="4"/>
  <c r="V30" i="4"/>
  <c r="W30" i="4"/>
  <c r="P31" i="4"/>
  <c r="S31" i="4"/>
  <c r="V31" i="4"/>
  <c r="W31" i="4"/>
  <c r="W33" i="4"/>
  <c r="V33" i="4"/>
  <c r="S33" i="4"/>
  <c r="W32" i="4"/>
  <c r="V32" i="4"/>
  <c r="S32" i="4"/>
  <c r="W29" i="4"/>
  <c r="V29" i="4"/>
  <c r="S29" i="4"/>
  <c r="W28" i="4"/>
  <c r="AB28" i="4" s="1"/>
  <c r="V28" i="4"/>
  <c r="S28" i="4"/>
  <c r="AC28" i="4" s="1"/>
  <c r="P27" i="4"/>
  <c r="Z27" i="4" s="1"/>
  <c r="S27" i="4"/>
  <c r="V27" i="4"/>
  <c r="W27" i="4"/>
  <c r="P26" i="4"/>
  <c r="S26" i="4"/>
  <c r="V26" i="4"/>
  <c r="W26" i="4"/>
  <c r="W24" i="4"/>
  <c r="V24" i="4"/>
  <c r="S24" i="4"/>
  <c r="P24" i="4"/>
  <c r="AH24" i="4" s="1"/>
  <c r="W23" i="4"/>
  <c r="V23" i="4"/>
  <c r="S23" i="4"/>
  <c r="W22" i="4"/>
  <c r="V22" i="4"/>
  <c r="S22" i="4"/>
  <c r="W20" i="4"/>
  <c r="V20" i="4"/>
  <c r="S20" i="4"/>
  <c r="W16" i="4"/>
  <c r="V16" i="4"/>
  <c r="S16" i="4"/>
  <c r="P16" i="4"/>
  <c r="K20" i="4" l="1"/>
  <c r="P18" i="4"/>
  <c r="AB43" i="4"/>
  <c r="AC26" i="4"/>
  <c r="Z16" i="4"/>
  <c r="AA28" i="4"/>
  <c r="AB16" i="4"/>
  <c r="AB15" i="4" s="1"/>
  <c r="P22" i="4"/>
  <c r="AB22" i="4" s="1"/>
  <c r="AC16" i="4"/>
  <c r="AC15" i="4" s="1"/>
  <c r="Z23" i="4"/>
  <c r="AB23" i="4"/>
  <c r="AC29" i="4"/>
  <c r="AB42" i="4"/>
  <c r="AB41" i="4" s="1"/>
  <c r="Z42" i="4"/>
  <c r="AC43" i="4"/>
  <c r="AC42" i="4" s="1"/>
  <c r="AC41" i="4" s="1"/>
  <c r="AE24" i="4"/>
  <c r="AE21" i="4" s="1"/>
  <c r="AE14" i="4" s="1"/>
  <c r="AE13" i="4" s="1"/>
  <c r="AC23" i="4"/>
  <c r="AA23" i="4" s="1"/>
  <c r="Z26" i="4"/>
  <c r="Z29" i="4"/>
  <c r="AA38" i="4"/>
  <c r="AH38" i="4" s="1"/>
  <c r="AK38" i="4" s="1"/>
  <c r="AF24" i="4"/>
  <c r="AF21" i="4" s="1"/>
  <c r="AF14" i="4" s="1"/>
  <c r="AF13" i="4" s="1"/>
  <c r="AC32" i="4"/>
  <c r="Z32" i="4"/>
  <c r="AB26" i="4"/>
  <c r="AB29" i="4"/>
  <c r="AB32" i="4"/>
  <c r="AH37" i="4"/>
  <c r="AK37" i="4" s="1"/>
  <c r="AC30" i="4"/>
  <c r="AB30" i="4"/>
  <c r="Z30" i="4"/>
  <c r="Z31" i="4"/>
  <c r="AC31" i="4"/>
  <c r="AB31" i="4"/>
  <c r="Z22" i="4"/>
  <c r="P20" i="4"/>
  <c r="AA36" i="4"/>
  <c r="AH36" i="4" s="1"/>
  <c r="AK36" i="4" s="1"/>
  <c r="AH34" i="4"/>
  <c r="AK34" i="4" s="1"/>
  <c r="AH35" i="4"/>
  <c r="AK35" i="4" s="1"/>
  <c r="Z33" i="4"/>
  <c r="AC33" i="4"/>
  <c r="AB33" i="4"/>
  <c r="AC27" i="4"/>
  <c r="AB27" i="4"/>
  <c r="AC22" i="4" l="1"/>
  <c r="AA32" i="4"/>
  <c r="AH23" i="4"/>
  <c r="AK23" i="4" s="1"/>
  <c r="AC25" i="4"/>
  <c r="AC21" i="4"/>
  <c r="AH28" i="4"/>
  <c r="Z15" i="4"/>
  <c r="AB21" i="4"/>
  <c r="Z41" i="4"/>
  <c r="AA26" i="4"/>
  <c r="AH26" i="4" s="1"/>
  <c r="AB25" i="4"/>
  <c r="Z21" i="4"/>
  <c r="Z25" i="4"/>
  <c r="AA29" i="4"/>
  <c r="AA16" i="4"/>
  <c r="AA15" i="4" s="1"/>
  <c r="AD24" i="4"/>
  <c r="AH32" i="4"/>
  <c r="AA43" i="4"/>
  <c r="AA30" i="4"/>
  <c r="AA31" i="4"/>
  <c r="AH31" i="4" s="1"/>
  <c r="AA22" i="4"/>
  <c r="Z20" i="4"/>
  <c r="AI43" i="4"/>
  <c r="AA33" i="4"/>
  <c r="AH33" i="4" s="1"/>
  <c r="AK33" i="4" s="1"/>
  <c r="AA27" i="4"/>
  <c r="AI20" i="4"/>
  <c r="AI17" i="4" s="1"/>
  <c r="AC14" i="4" l="1"/>
  <c r="AC13" i="4" s="1"/>
  <c r="AH16" i="4"/>
  <c r="AH15" i="4" s="1"/>
  <c r="AB14" i="4"/>
  <c r="AB13" i="4" s="1"/>
  <c r="AH29" i="4"/>
  <c r="AK29" i="4" s="1"/>
  <c r="AH22" i="4"/>
  <c r="AH21" i="4" s="1"/>
  <c r="AA21" i="4"/>
  <c r="AD21" i="4"/>
  <c r="AD14" i="4" s="1"/>
  <c r="AD13" i="4" s="1"/>
  <c r="AA25" i="4"/>
  <c r="AH43" i="4"/>
  <c r="AH42" i="4" s="1"/>
  <c r="AH41" i="4" s="1"/>
  <c r="AA42" i="4"/>
  <c r="AH20" i="4"/>
  <c r="AK20" i="4" s="1"/>
  <c r="AI24" i="4"/>
  <c r="AI42" i="4"/>
  <c r="AI41" i="4" s="1"/>
  <c r="AI28" i="4"/>
  <c r="AK28" i="4" s="1"/>
  <c r="AI31" i="4"/>
  <c r="AK31" i="4" s="1"/>
  <c r="AI32" i="4"/>
  <c r="AK32" i="4" s="1"/>
  <c r="AI26" i="4"/>
  <c r="AH30" i="4"/>
  <c r="AK30" i="4" s="1"/>
  <c r="AH27" i="4"/>
  <c r="AK27" i="4" s="1"/>
  <c r="AH25" i="4" l="1"/>
  <c r="AK43" i="4"/>
  <c r="AK42" i="4" s="1"/>
  <c r="AA41" i="4"/>
  <c r="AK24" i="4"/>
  <c r="AI21" i="4"/>
  <c r="AK22" i="4"/>
  <c r="AI25" i="4"/>
  <c r="AA14" i="4"/>
  <c r="AK26" i="4"/>
  <c r="AK16" i="4"/>
  <c r="W19" i="4"/>
  <c r="V19" i="4"/>
  <c r="S19" i="4"/>
  <c r="P19" i="4"/>
  <c r="W18" i="4"/>
  <c r="V18" i="4"/>
  <c r="Z18" i="4" s="1"/>
  <c r="S18" i="4"/>
  <c r="AA13" i="4" l="1"/>
  <c r="AK41" i="4"/>
  <c r="Z19" i="4"/>
  <c r="Z17" i="4" l="1"/>
  <c r="AH19" i="4"/>
  <c r="AH18" i="4"/>
  <c r="AH17" i="4" l="1"/>
  <c r="Z14" i="4"/>
  <c r="AK19" i="4"/>
  <c r="AK18" i="4"/>
  <c r="Z13" i="4" l="1"/>
  <c r="AK14" i="4" l="1"/>
  <c r="AK13" i="4" s="1"/>
</calcChain>
</file>

<file path=xl/sharedStrings.xml><?xml version="1.0" encoding="utf-8"?>
<sst xmlns="http://schemas.openxmlformats.org/spreadsheetml/2006/main" count="179" uniqueCount="133">
  <si>
    <t>Họ và tên</t>
  </si>
  <si>
    <t>Ngày tháng năm sinh</t>
  </si>
  <si>
    <t>Trình độ đào tạo</t>
  </si>
  <si>
    <t>Số tháng nghỉ sớm so với quy định</t>
  </si>
  <si>
    <t>Trợ cấp nghỉ trước tuổi</t>
  </si>
  <si>
    <t>Trợ cấp cho thời gian công tác đóng BHXH</t>
  </si>
  <si>
    <t>Trợ cấp thôi việc</t>
  </si>
  <si>
    <t>Trợ cấp tìm việc làm</t>
  </si>
  <si>
    <t>Hệ số lương theo ngạch, bậc, chức danh, chức vụ hiện hưởng</t>
  </si>
  <si>
    <t>Tổng số năm đóng BHXH</t>
  </si>
  <si>
    <t>Trong đó</t>
  </si>
  <si>
    <t>Năm</t>
  </si>
  <si>
    <t>Tháng</t>
  </si>
  <si>
    <t>Thời điểm nghỉ hưu đúng tuổi</t>
  </si>
  <si>
    <t>Thời điểm nghỉ hưu trước tuổi</t>
  </si>
  <si>
    <t>6</t>
  </si>
  <si>
    <t>Phụ cấp công vụ (25%)</t>
  </si>
  <si>
    <t>Các khoản phụ cấp</t>
  </si>
  <si>
    <t>Trợ cấp hưu trí một lần cho thời gian nghỉ sớm</t>
  </si>
  <si>
    <t>Số Năm</t>
  </si>
  <si>
    <t>Số Tháng</t>
  </si>
  <si>
    <t>Kinh phí giải quyết chính sách, chế độ do NSNN đảm bảo</t>
  </si>
  <si>
    <t>Tiền lương tháng hiện hưởng</t>
  </si>
  <si>
    <t>Chức danh/Chức vụ</t>
  </si>
  <si>
    <t>Chính sách NHTT</t>
  </si>
  <si>
    <t>Chính sách thôi việc ngay</t>
  </si>
  <si>
    <t>Kinh phí giải quyết chính sách, chế độ NHTT từ nguồn thu  hoạt động sự nghiệp của đơn vị</t>
  </si>
  <si>
    <t>Số năm NHTT (làm tròn)</t>
  </si>
  <si>
    <t>Trợ cấp tiền lương hiện hưởng cho mỗi năm đóng BHXH</t>
  </si>
  <si>
    <t xml:space="preserve">Phụ cấp chức vụ </t>
  </si>
  <si>
    <t xml:space="preserve">Phụ cấp thâm niên vượt khung </t>
  </si>
  <si>
    <t xml:space="preserve">Phụ cấp thâm niên nghề </t>
  </si>
  <si>
    <t xml:space="preserve">Phụ cấp ưu đãi ngành, nghề </t>
  </si>
  <si>
    <t xml:space="preserve">Phụ cấp trách nhiệm theo nghề  </t>
  </si>
  <si>
    <t>Phụ cấp công tác Đảng, đoàn thể chính trị xã hội
(30%)</t>
  </si>
  <si>
    <t>Hệ số chênh lệch bảo lưu lương</t>
  </si>
  <si>
    <t>Đại học</t>
  </si>
  <si>
    <t>ĐVT: nghìn đồng</t>
  </si>
  <si>
    <t xml:space="preserve">Tổng cộng
</t>
  </si>
  <si>
    <t>Nghỉ hưu trước tuổi(làm tròn số)</t>
  </si>
  <si>
    <t>Thôi việc ngay (làm tròn số)</t>
  </si>
  <si>
    <t>1/9/2025</t>
  </si>
  <si>
    <t>I</t>
  </si>
  <si>
    <t>Thạc sĩ</t>
  </si>
  <si>
    <t>II</t>
  </si>
  <si>
    <t>III</t>
  </si>
  <si>
    <t>Hoàng Thị Vẻ</t>
  </si>
  <si>
    <t>SỞ VĂN HOÁ, THỂ THAO VÀ DU LỊCH (01 NGƯỜI)</t>
  </si>
  <si>
    <t>Viên chức, Đội VHTT&amp;TT khu vực Bắc Sơn</t>
  </si>
  <si>
    <t>01/9/2030</t>
  </si>
  <si>
    <t>Lê Thị Thanh Nga</t>
  </si>
  <si>
    <t>Bùi Hữu Uyển</t>
  </si>
  <si>
    <t>Hoàng Minh Độ</t>
  </si>
  <si>
    <t>Phó Hiệu trưởng, Trường Cao đẳng Y tế</t>
  </si>
  <si>
    <t>Thạc sĩ y tế cộng đồng</t>
  </si>
  <si>
    <t>Trưởng phòng công tác HSSV, Trường Cao đẳng Y tế</t>
  </si>
  <si>
    <t>Bác sĩ CKI</t>
  </si>
  <si>
    <t>Phó trưởng bộ môn Y học cơ sở và y tế công cộng, Trường Cao đẳng Y tế</t>
  </si>
  <si>
    <t>Nguyễn Thế Dương</t>
  </si>
  <si>
    <t>Cao Thanh Sơn</t>
  </si>
  <si>
    <t>Chu Thị Điềm</t>
  </si>
  <si>
    <t>Nguyễn Tuấn Trung</t>
  </si>
  <si>
    <t>Mông Thị Vân Anh</t>
  </si>
  <si>
    <t>Chu Thị Thiều</t>
  </si>
  <si>
    <t>Nguyễn Các Tâm</t>
  </si>
  <si>
    <t>Phạm Thúy Hà</t>
  </si>
  <si>
    <t>Lê Thị Thanh Hương</t>
  </si>
  <si>
    <t>Nguyễn Thị Lan Hằng</t>
  </si>
  <si>
    <t>Lương Thị Phấn</t>
  </si>
  <si>
    <t>Vi Ngọc Hợp</t>
  </si>
  <si>
    <t>Hoàng Thị Tấm</t>
  </si>
  <si>
    <t>Hoàng Thị Nhâm</t>
  </si>
  <si>
    <t>Thạc sĩ Toán học</t>
  </si>
  <si>
    <t>Thạc sĩ (Mỹ thuật tạo hình và đồ họa)</t>
  </si>
  <si>
    <t>Tổ trưởng chuyên môn, Trường CĐSP Lạng Sơn</t>
  </si>
  <si>
    <t>Giảng viên CĐSP hạng III, Trường CĐSP Lạng Sơn</t>
  </si>
  <si>
    <t>Thạc sĩ Lịch sử</t>
  </si>
  <si>
    <t>Trưởng khoa, Trường CĐSP Lạng Sơn</t>
  </si>
  <si>
    <t>Thạc sĩ Quản lý giáo dục</t>
  </si>
  <si>
    <t>Thạc sĩ Khoa học xã hội và nhân văn Ngôn ngữ Anh</t>
  </si>
  <si>
    <t>Đại học Quản trị văn phòng</t>
  </si>
  <si>
    <t>Nhân viên văn thư, Trường CĐSP Lạng Sơn</t>
  </si>
  <si>
    <t>Trung cấp cơ điện</t>
  </si>
  <si>
    <t>Nhân viên, Trường CĐSP Lạng Sơn</t>
  </si>
  <si>
    <t>Cao đẳng Kế toán doanh nghiệp</t>
  </si>
  <si>
    <t>Nhân viên phục vụ, Trường CĐSP Lạng Sơn</t>
  </si>
  <si>
    <t>Lê Quang Hồng</t>
  </si>
  <si>
    <t>20/3/1967</t>
  </si>
  <si>
    <t>Hà Sỹ Hùng</t>
  </si>
  <si>
    <t>07/02/1967</t>
  </si>
  <si>
    <t>Tô Kim Oanh</t>
  </si>
  <si>
    <t>27/12/1978</t>
  </si>
  <si>
    <t>Hiệu trưởng</t>
  </si>
  <si>
    <t>Kỹ sư</t>
  </si>
  <si>
    <t>CẤP XÃ (01 NGƯỜI)</t>
  </si>
  <si>
    <t>XÃ HOA THÁM (01 NGƯỜI )</t>
  </si>
  <si>
    <t>Hoàng Trọng Đạt</t>
  </si>
  <si>
    <t>Phó Chủ tịch HĐND</t>
  </si>
  <si>
    <t>A</t>
  </si>
  <si>
    <t>TRƯỜNG CAO ĐẲNG NGHỀ (03 NGƯỜI)</t>
  </si>
  <si>
    <t>B</t>
  </si>
  <si>
    <t xml:space="preserve">Nguyễn Văn Tuấn </t>
  </si>
  <si>
    <t>SỞ Y TẾ (03 NGƯỜI)</t>
  </si>
  <si>
    <t>TỔNG CỘNG (23 NGƯỜI)</t>
  </si>
  <si>
    <t>TRƯỜNG CAO ĐẲNG SƯ PHẠM LẠNG SƠN (15 NGƯỜI)</t>
  </si>
  <si>
    <t>Trung cấp phát thanh truyền hình</t>
  </si>
  <si>
    <t>Phó Trưởng khoa, Trường CĐSP Lạng Sơn</t>
  </si>
  <si>
    <t>Phó trưởng khoa Ngoại ngữ, Trường CĐSP Lạng Sơn</t>
  </si>
  <si>
    <t>Phó trưởng phòng Hành chính Tổng hợp</t>
  </si>
  <si>
    <t>21=22+23</t>
  </si>
  <si>
    <t>24=25+26</t>
  </si>
  <si>
    <t>STT</t>
  </si>
  <si>
    <t>Giới tính</t>
  </si>
  <si>
    <t>10=7+8+9</t>
  </si>
  <si>
    <t>Nữ</t>
  </si>
  <si>
    <t>Nam</t>
  </si>
  <si>
    <t>Danh sách ấn định có 23 người./.</t>
  </si>
  <si>
    <t>KHỐI TỈNH (22 NGƯỜI)</t>
  </si>
  <si>
    <t>Đại học Ngoại ngữ</t>
  </si>
  <si>
    <t>Đại học sư phạm Toán</t>
  </si>
  <si>
    <t>Đại học sư phạm Tiếng Anh</t>
  </si>
  <si>
    <t>Giám đốc Trung tâm Ngoại ngữ - Tin học, Trường CĐSP Lạng Sơn</t>
  </si>
  <si>
    <t>Đại học Hội họa</t>
  </si>
  <si>
    <t>Sư phạm Thể dục thể thao</t>
  </si>
  <si>
    <t>Đại học Thể dục thể thao</t>
  </si>
  <si>
    <t>Phó Hiệu trưởng, Trường CĐSP Lạng Sơn</t>
  </si>
  <si>
    <t>Viên chức Lái xe</t>
  </si>
  <si>
    <t>Trưởng phòng Tài chính Quản trị - thiết bị &amp; dịch vụ</t>
  </si>
  <si>
    <t>Dự toán kinh phí được hưởng theo Nghị định số 178/2024/NĐ-CP (được sửa đổi, bổ sung tại Nghị định số 67/2025/NĐ-CP)</t>
  </si>
  <si>
    <t>BIỂU TỔNG HỢP DANH SÁCH VÀ DỰ TOÁN KINH PHÍ 
THỰC HIỆN CHÍNH SÁCH, CHẾ ĐỘ THEO NGHỊ ĐỊNH SỐ 178/2024/NĐ-CP 
(ĐƯỢC SỬA ĐỔI, BỔ SUNG TẠI NGHỊ ĐỊNH SỐ 67/2025/NĐ-CP)</t>
  </si>
  <si>
    <t>(Thời điểm nghỉ từ ngày 01/9/2025)</t>
  </si>
  <si>
    <t>ỦY BAN NHÂN DÂN
TỈNH LẠNG SƠN</t>
  </si>
  <si>
    <t>(Kèm theo Quyết định số 1928/QĐ-UBND ngày 30 tháng 8 năm 2025 của Chủ tịch UBND tỉnh)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</si>
</sst>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_-* #,##0.00\ _₫_-;\-* #,##0.00\ _₫_-;_-* &quot;-&quot;??\ _₫_-;_-@_-"/>
    <numFmt numFmtId="165" formatCode="_(* #,##0_);_(* \(#,##0\);_(* &quot;-&quot;??_);_(@_)"/>
    <numFmt numFmtId="166" formatCode="_(* #,##0.0_);_(* \(#,##0.0\);_(* &quot;-&quot;??_);_(@_)"/>
    <numFmt numFmtId="167" formatCode="_-* #,##0\ _₫_-;\-* #,##0\ _₫_-;_-* &quot;-&quot;?\ _₫_-;_-@_-"/>
    <numFmt numFmtId="168" formatCode="_(* #,##0.0_);_(* \(#,##0.0\);_(* &quot;-&quot;?_);_(@_)"/>
    <numFmt numFmtId="169" formatCode="#,##0.0"/>
    <numFmt numFmtId="170" formatCode="_-* #,##0.000\ _₫_-;\-* #,##0.000\ _₫_-;_-* &quot;-&quot;??\ _₫_-;_-@_-"/>
    <numFmt numFmtId="171" formatCode="0.000"/>
  </numFmts>
  <fonts count="40">
    <font>
      <sz val="11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2"/>
      <color theme="1"/>
      <name val="Times New Roman"/>
      <family val="2"/>
    </font>
    <font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  <charset val="163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indexed="8"/>
      <name val="Calibri"/>
      <family val="2"/>
      <scheme val="minor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name val="Arial"/>
      <family val="2"/>
    </font>
    <font>
      <b/>
      <sz val="9"/>
      <name val="Times New Roman"/>
      <family val="1"/>
    </font>
    <font>
      <i/>
      <sz val="9"/>
      <name val="Times New Roman"/>
      <family val="1"/>
    </font>
    <font>
      <sz val="9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0"/>
      <name val="Times New Roman"/>
      <family val="1"/>
    </font>
    <font>
      <b/>
      <i/>
      <sz val="9"/>
      <name val="Times New Roman"/>
      <family val="1"/>
    </font>
    <font>
      <i/>
      <sz val="8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3"/>
      <name val="Times New Roman"/>
      <family val="1"/>
    </font>
    <font>
      <sz val="12"/>
      <name val="Times New Roman"/>
      <family val="1"/>
    </font>
    <font>
      <sz val="12"/>
      <name val=".VnTime"/>
      <family val="2"/>
    </font>
    <font>
      <b/>
      <sz val="12"/>
      <name val="Times New Roman"/>
      <family val="1"/>
    </font>
    <font>
      <i/>
      <sz val="12"/>
      <name val="Times New Roman"/>
      <family val="1"/>
    </font>
    <font>
      <sz val="16"/>
      <name val="Times New Roman"/>
      <family val="1"/>
    </font>
    <font>
      <i/>
      <sz val="16"/>
      <name val="Times New Roman"/>
      <family val="1"/>
    </font>
    <font>
      <i/>
      <sz val="14"/>
      <name val="Times New Roman"/>
      <family val="1"/>
    </font>
    <font>
      <sz val="11"/>
      <color theme="1"/>
      <name val="Calibri"/>
      <family val="2"/>
      <charset val="163"/>
      <scheme val="minor"/>
    </font>
    <font>
      <sz val="14"/>
      <color indexed="8"/>
      <name val="Times New Roman"/>
      <family val="2"/>
    </font>
    <font>
      <sz val="10"/>
      <name val=".VnTime"/>
      <family val="2"/>
    </font>
    <font>
      <b/>
      <i/>
      <sz val="14"/>
      <name val="Times New Roman"/>
      <family val="1"/>
    </font>
    <font>
      <b/>
      <sz val="1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68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7" fillId="0" borderId="0"/>
    <xf numFmtId="0" fontId="6" fillId="0" borderId="0"/>
    <xf numFmtId="0" fontId="5" fillId="0" borderId="0"/>
    <xf numFmtId="0" fontId="3" fillId="0" borderId="0"/>
    <xf numFmtId="0" fontId="6" fillId="0" borderId="0"/>
    <xf numFmtId="9" fontId="10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11" fillId="0" borderId="0"/>
    <xf numFmtId="0" fontId="11" fillId="0" borderId="0"/>
    <xf numFmtId="0" fontId="6" fillId="0" borderId="0"/>
    <xf numFmtId="9" fontId="12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9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15" fillId="0" borderId="0"/>
    <xf numFmtId="0" fontId="10" fillId="0" borderId="0"/>
    <xf numFmtId="43" fontId="10" fillId="0" borderId="0" applyFont="0" applyFill="0" applyBorder="0" applyAlignment="0" applyProtection="0"/>
    <xf numFmtId="0" fontId="6" fillId="0" borderId="0"/>
    <xf numFmtId="164" fontId="3" fillId="0" borderId="0" applyFont="0" applyFill="0" applyBorder="0" applyAlignment="0" applyProtection="0"/>
    <xf numFmtId="0" fontId="6" fillId="0" borderId="0"/>
    <xf numFmtId="0" fontId="29" fillId="0" borderId="0"/>
    <xf numFmtId="0" fontId="2" fillId="0" borderId="0"/>
    <xf numFmtId="0" fontId="1" fillId="0" borderId="0"/>
    <xf numFmtId="0" fontId="28" fillId="0" borderId="0"/>
    <xf numFmtId="0" fontId="36" fillId="0" borderId="0"/>
    <xf numFmtId="0" fontId="37" fillId="0" borderId="0"/>
    <xf numFmtId="0" fontId="1" fillId="0" borderId="0"/>
    <xf numFmtId="0" fontId="1" fillId="0" borderId="0"/>
    <xf numFmtId="0" fontId="6" fillId="0" borderId="0"/>
    <xf numFmtId="0" fontId="35" fillId="0" borderId="0"/>
    <xf numFmtId="0" fontId="35" fillId="0" borderId="0"/>
    <xf numFmtId="0" fontId="3" fillId="0" borderId="0"/>
  </cellStyleXfs>
  <cellXfs count="203">
    <xf numFmtId="0" fontId="0" fillId="0" borderId="0" xfId="0"/>
    <xf numFmtId="164" fontId="20" fillId="0" borderId="0" xfId="54" applyFont="1" applyFill="1"/>
    <xf numFmtId="164" fontId="20" fillId="0" borderId="0" xfId="54" applyFont="1" applyFill="1" applyAlignment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/>
    <xf numFmtId="0" fontId="20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32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3" fontId="20" fillId="0" borderId="0" xfId="0" applyNumberFormat="1" applyFont="1" applyAlignment="1">
      <alignment horizontal="right"/>
    </xf>
    <xf numFmtId="0" fontId="27" fillId="0" borderId="0" xfId="0" applyFont="1"/>
    <xf numFmtId="0" fontId="28" fillId="0" borderId="0" xfId="0" applyFont="1"/>
    <xf numFmtId="0" fontId="14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vertical="center" wrapText="1"/>
    </xf>
    <xf numFmtId="0" fontId="19" fillId="0" borderId="0" xfId="0" applyFont="1" applyAlignment="1">
      <alignment horizontal="center"/>
    </xf>
    <xf numFmtId="0" fontId="19" fillId="0" borderId="0" xfId="0" applyFont="1"/>
    <xf numFmtId="0" fontId="5" fillId="0" borderId="0" xfId="0" applyFont="1"/>
    <xf numFmtId="0" fontId="32" fillId="0" borderId="0" xfId="0" applyFont="1"/>
    <xf numFmtId="0" fontId="18" fillId="0" borderId="0" xfId="0" applyFont="1"/>
    <xf numFmtId="3" fontId="19" fillId="0" borderId="0" xfId="0" applyNumberFormat="1" applyFont="1" applyAlignment="1">
      <alignment horizontal="center"/>
    </xf>
    <xf numFmtId="3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25" fillId="0" borderId="1" xfId="0" applyFont="1" applyBorder="1" applyAlignment="1">
      <alignment horizontal="right"/>
    </xf>
    <xf numFmtId="0" fontId="16" fillId="0" borderId="4" xfId="0" applyFont="1" applyBorder="1" applyAlignment="1">
      <alignment horizontal="center" vertical="center" wrapText="1"/>
    </xf>
    <xf numFmtId="3" fontId="23" fillId="0" borderId="2" xfId="1" applyNumberFormat="1" applyFont="1" applyBorder="1" applyAlignment="1">
      <alignment horizontal="center" vertical="center" wrapText="1"/>
    </xf>
    <xf numFmtId="3" fontId="33" fillId="0" borderId="2" xfId="1" applyNumberFormat="1" applyFont="1" applyBorder="1" applyAlignment="1">
      <alignment horizontal="center" vertical="center" wrapText="1"/>
    </xf>
    <xf numFmtId="3" fontId="14" fillId="0" borderId="7" xfId="1" applyNumberFormat="1" applyFont="1" applyBorder="1" applyAlignment="1">
      <alignment horizontal="center" vertical="center" wrapText="1"/>
    </xf>
    <xf numFmtId="3" fontId="14" fillId="0" borderId="2" xfId="1" applyNumberFormat="1" applyFont="1" applyBorder="1" applyAlignment="1">
      <alignment horizontal="center" vertical="center" wrapText="1"/>
    </xf>
    <xf numFmtId="3" fontId="17" fillId="0" borderId="2" xfId="1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3" fontId="30" fillId="0" borderId="2" xfId="1" applyNumberFormat="1" applyFont="1" applyBorder="1" applyAlignment="1">
      <alignment horizontal="center" vertical="center" wrapText="1"/>
    </xf>
    <xf numFmtId="3" fontId="30" fillId="0" borderId="7" xfId="1" applyNumberFormat="1" applyFont="1" applyBorder="1" applyAlignment="1">
      <alignment horizontal="left" vertical="center" wrapText="1"/>
    </xf>
    <xf numFmtId="3" fontId="31" fillId="0" borderId="2" xfId="1" applyNumberFormat="1" applyFont="1" applyBorder="1" applyAlignment="1">
      <alignment horizontal="center" vertical="center" wrapText="1"/>
    </xf>
    <xf numFmtId="3" fontId="31" fillId="0" borderId="2" xfId="1" applyNumberFormat="1" applyFont="1" applyBorder="1" applyAlignment="1">
      <alignment vertical="center" wrapText="1"/>
    </xf>
    <xf numFmtId="3" fontId="31" fillId="0" borderId="2" xfId="0" applyNumberFormat="1" applyFont="1" applyBorder="1" applyAlignment="1">
      <alignment horizontal="center"/>
    </xf>
    <xf numFmtId="3" fontId="30" fillId="0" borderId="2" xfId="1" applyNumberFormat="1" applyFont="1" applyBorder="1" applyAlignment="1">
      <alignment horizontal="right" vertical="center" wrapText="1"/>
    </xf>
    <xf numFmtId="3" fontId="30" fillId="0" borderId="3" xfId="1" applyNumberFormat="1" applyFont="1" applyBorder="1" applyAlignment="1">
      <alignment horizontal="center" vertical="center" wrapText="1"/>
    </xf>
    <xf numFmtId="3" fontId="31" fillId="0" borderId="3" xfId="1" applyNumberFormat="1" applyFont="1" applyBorder="1" applyAlignment="1">
      <alignment horizontal="center" vertical="center" wrapText="1"/>
    </xf>
    <xf numFmtId="3" fontId="31" fillId="0" borderId="3" xfId="1" applyNumberFormat="1" applyFont="1" applyBorder="1" applyAlignment="1">
      <alignment vertical="center" wrapText="1"/>
    </xf>
    <xf numFmtId="3" fontId="31" fillId="0" borderId="3" xfId="0" applyNumberFormat="1" applyFont="1" applyBorder="1" applyAlignment="1">
      <alignment horizontal="center"/>
    </xf>
    <xf numFmtId="3" fontId="30" fillId="0" borderId="3" xfId="1" applyNumberFormat="1" applyFont="1" applyBorder="1" applyAlignment="1">
      <alignment horizontal="right" vertical="center" wrapText="1"/>
    </xf>
    <xf numFmtId="3" fontId="30" fillId="0" borderId="12" xfId="1" applyNumberFormat="1" applyFont="1" applyBorder="1" applyAlignment="1">
      <alignment horizontal="center" vertical="center" wrapText="1"/>
    </xf>
    <xf numFmtId="3" fontId="31" fillId="0" borderId="12" xfId="0" applyNumberFormat="1" applyFont="1" applyBorder="1" applyAlignment="1">
      <alignment horizontal="center"/>
    </xf>
    <xf numFmtId="3" fontId="31" fillId="0" borderId="12" xfId="1" applyNumberFormat="1" applyFont="1" applyBorder="1" applyAlignment="1">
      <alignment horizontal="center" vertical="center" wrapText="1"/>
    </xf>
    <xf numFmtId="3" fontId="30" fillId="0" borderId="12" xfId="1" applyNumberFormat="1" applyFont="1" applyBorder="1" applyAlignment="1">
      <alignment horizontal="right" vertical="center" wrapText="1"/>
    </xf>
    <xf numFmtId="0" fontId="28" fillId="0" borderId="13" xfId="0" applyFont="1" applyBorder="1" applyAlignment="1">
      <alignment horizontal="center" vertical="center"/>
    </xf>
    <xf numFmtId="0" fontId="28" fillId="0" borderId="13" xfId="63" applyFont="1" applyBorder="1" applyAlignment="1">
      <alignment horizontal="left" vertical="center" wrapText="1"/>
    </xf>
    <xf numFmtId="14" fontId="28" fillId="0" borderId="13" xfId="63" applyNumberFormat="1" applyFont="1" applyBorder="1" applyAlignment="1">
      <alignment horizontal="center" vertical="center" wrapText="1"/>
    </xf>
    <xf numFmtId="49" fontId="28" fillId="0" borderId="13" xfId="67" applyNumberFormat="1" applyFont="1" applyBorder="1" applyAlignment="1">
      <alignment horizontal="center" vertical="center" wrapText="1"/>
    </xf>
    <xf numFmtId="2" fontId="28" fillId="0" borderId="13" xfId="0" applyNumberFormat="1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9" fontId="28" fillId="0" borderId="13" xfId="0" applyNumberFormat="1" applyFont="1" applyBorder="1" applyAlignment="1">
      <alignment horizontal="center" vertical="center" wrapText="1"/>
    </xf>
    <xf numFmtId="164" fontId="28" fillId="0" borderId="13" xfId="54" applyFont="1" applyFill="1" applyBorder="1" applyAlignment="1">
      <alignment horizontal="center" vertical="center" wrapText="1"/>
    </xf>
    <xf numFmtId="37" fontId="28" fillId="0" borderId="13" xfId="52" applyNumberFormat="1" applyFont="1" applyFill="1" applyBorder="1" applyAlignment="1">
      <alignment horizontal="center" vertical="center" wrapText="1"/>
    </xf>
    <xf numFmtId="14" fontId="28" fillId="0" borderId="13" xfId="27" quotePrefix="1" applyNumberFormat="1" applyFont="1" applyBorder="1" applyAlignment="1">
      <alignment horizontal="center" vertical="center" wrapText="1"/>
    </xf>
    <xf numFmtId="166" fontId="28" fillId="0" borderId="13" xfId="52" applyNumberFormat="1" applyFont="1" applyFill="1" applyBorder="1" applyAlignment="1">
      <alignment horizontal="center" vertical="center" wrapText="1"/>
    </xf>
    <xf numFmtId="166" fontId="28" fillId="0" borderId="13" xfId="52" applyNumberFormat="1" applyFont="1" applyFill="1" applyBorder="1" applyAlignment="1">
      <alignment vertical="center" wrapText="1"/>
    </xf>
    <xf numFmtId="167" fontId="28" fillId="0" borderId="13" xfId="0" applyNumberFormat="1" applyFont="1" applyBorder="1" applyAlignment="1">
      <alignment horizontal="right" vertical="center" wrapText="1"/>
    </xf>
    <xf numFmtId="37" fontId="28" fillId="0" borderId="13" xfId="0" applyNumberFormat="1" applyFont="1" applyBorder="1" applyAlignment="1">
      <alignment horizontal="right" vertical="center" wrapText="1"/>
    </xf>
    <xf numFmtId="165" fontId="28" fillId="0" borderId="13" xfId="0" applyNumberFormat="1" applyFont="1" applyBorder="1" applyAlignment="1">
      <alignment horizontal="right" vertical="center" wrapText="1"/>
    </xf>
    <xf numFmtId="3" fontId="28" fillId="0" borderId="13" xfId="0" applyNumberFormat="1" applyFont="1" applyBorder="1" applyAlignment="1">
      <alignment horizontal="right" vertical="center" wrapText="1"/>
    </xf>
    <xf numFmtId="165" fontId="30" fillId="0" borderId="13" xfId="0" applyNumberFormat="1" applyFont="1" applyBorder="1" applyAlignment="1">
      <alignment horizontal="right" vertical="center"/>
    </xf>
    <xf numFmtId="169" fontId="28" fillId="0" borderId="13" xfId="0" applyNumberFormat="1" applyFont="1" applyBorder="1" applyAlignment="1">
      <alignment horizontal="right" vertical="center" wrapText="1"/>
    </xf>
    <xf numFmtId="169" fontId="28" fillId="0" borderId="13" xfId="52" applyNumberFormat="1" applyFont="1" applyFill="1" applyBorder="1" applyAlignment="1">
      <alignment horizontal="right" vertical="center" wrapText="1"/>
    </xf>
    <xf numFmtId="169" fontId="28" fillId="0" borderId="13" xfId="54" applyNumberFormat="1" applyFont="1" applyFill="1" applyBorder="1" applyAlignment="1">
      <alignment horizontal="right" vertical="center"/>
    </xf>
    <xf numFmtId="3" fontId="30" fillId="0" borderId="13" xfId="1" applyNumberFormat="1" applyFont="1" applyBorder="1" applyAlignment="1">
      <alignment horizontal="center" vertical="center" wrapText="1"/>
    </xf>
    <xf numFmtId="3" fontId="31" fillId="0" borderId="13" xfId="0" applyNumberFormat="1" applyFont="1" applyBorder="1" applyAlignment="1">
      <alignment horizontal="center"/>
    </xf>
    <xf numFmtId="3" fontId="31" fillId="0" borderId="13" xfId="1" applyNumberFormat="1" applyFont="1" applyBorder="1" applyAlignment="1">
      <alignment horizontal="center" vertical="center" wrapText="1"/>
    </xf>
    <xf numFmtId="3" fontId="30" fillId="0" borderId="13" xfId="1" applyNumberFormat="1" applyFont="1" applyBorder="1" applyAlignment="1">
      <alignment horizontal="right" vertical="center" wrapText="1"/>
    </xf>
    <xf numFmtId="2" fontId="28" fillId="0" borderId="13" xfId="54" applyNumberFormat="1" applyFont="1" applyFill="1" applyBorder="1" applyAlignment="1">
      <alignment horizontal="center" vertical="center" wrapText="1"/>
    </xf>
    <xf numFmtId="0" fontId="28" fillId="0" borderId="13" xfId="56" applyFont="1" applyBorder="1" applyAlignment="1">
      <alignment horizontal="left" vertical="center"/>
    </xf>
    <xf numFmtId="14" fontId="28" fillId="0" borderId="13" xfId="0" quotePrefix="1" applyNumberFormat="1" applyFont="1" applyBorder="1" applyAlignment="1">
      <alignment horizontal="center" vertical="center" wrapText="1"/>
    </xf>
    <xf numFmtId="14" fontId="28" fillId="0" borderId="13" xfId="0" applyNumberFormat="1" applyFont="1" applyBorder="1" applyAlignment="1">
      <alignment horizontal="center" vertical="center" wrapText="1"/>
    </xf>
    <xf numFmtId="0" fontId="28" fillId="0" borderId="13" xfId="56" applyFont="1" applyBorder="1" applyAlignment="1">
      <alignment vertical="center" wrapText="1"/>
    </xf>
    <xf numFmtId="171" fontId="28" fillId="0" borderId="13" xfId="54" applyNumberFormat="1" applyFont="1" applyFill="1" applyBorder="1" applyAlignment="1">
      <alignment horizontal="center" vertical="center" wrapText="1"/>
    </xf>
    <xf numFmtId="14" fontId="28" fillId="0" borderId="13" xfId="27" quotePrefix="1" applyNumberFormat="1" applyFont="1" applyBorder="1" applyAlignment="1">
      <alignment horizontal="right" vertical="center" wrapText="1"/>
    </xf>
    <xf numFmtId="168" fontId="28" fillId="0" borderId="13" xfId="0" applyNumberFormat="1" applyFont="1" applyBorder="1" applyAlignment="1">
      <alignment horizontal="right" vertical="center" wrapText="1"/>
    </xf>
    <xf numFmtId="164" fontId="28" fillId="0" borderId="13" xfId="54" applyFont="1" applyFill="1" applyBorder="1" applyAlignment="1">
      <alignment horizontal="right" vertical="center" wrapText="1"/>
    </xf>
    <xf numFmtId="170" fontId="28" fillId="0" borderId="13" xfId="54" applyNumberFormat="1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/>
    </xf>
    <xf numFmtId="0" fontId="19" fillId="0" borderId="13" xfId="0" applyFont="1" applyBorder="1" applyAlignment="1">
      <alignment vertical="center"/>
    </xf>
    <xf numFmtId="0" fontId="19" fillId="0" borderId="13" xfId="0" applyFont="1" applyBorder="1"/>
    <xf numFmtId="14" fontId="19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19" fillId="0" borderId="13" xfId="0" applyFont="1" applyBorder="1" applyAlignment="1">
      <alignment horizontal="center"/>
    </xf>
    <xf numFmtId="164" fontId="19" fillId="0" borderId="13" xfId="54" applyFont="1" applyFill="1" applyBorder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3" fontId="23" fillId="0" borderId="2" xfId="0" applyNumberFormat="1" applyFont="1" applyBorder="1" applyAlignment="1">
      <alignment horizontal="center" vertical="center"/>
    </xf>
    <xf numFmtId="3" fontId="23" fillId="0" borderId="2" xfId="54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4" fillId="0" borderId="0" xfId="1" applyFont="1" applyAlignment="1">
      <alignment horizontal="center" vertical="center" wrapText="1"/>
    </xf>
    <xf numFmtId="0" fontId="13" fillId="0" borderId="0" xfId="1" applyFont="1" applyAlignment="1">
      <alignment vertical="center" wrapText="1"/>
    </xf>
    <xf numFmtId="0" fontId="38" fillId="0" borderId="0" xfId="0" applyFont="1" applyAlignment="1">
      <alignment horizontal="left"/>
    </xf>
    <xf numFmtId="0" fontId="26" fillId="0" borderId="0" xfId="0" applyFont="1" applyAlignment="1">
      <alignment horizontal="center"/>
    </xf>
    <xf numFmtId="0" fontId="28" fillId="0" borderId="14" xfId="0" applyFont="1" applyBorder="1" applyAlignment="1">
      <alignment horizontal="center" vertical="center"/>
    </xf>
    <xf numFmtId="0" fontId="28" fillId="0" borderId="14" xfId="63" applyFont="1" applyBorder="1" applyAlignment="1">
      <alignment horizontal="left" vertical="center" wrapText="1"/>
    </xf>
    <xf numFmtId="14" fontId="28" fillId="0" borderId="14" xfId="0" applyNumberFormat="1" applyFont="1" applyBorder="1" applyAlignment="1">
      <alignment horizontal="center" vertical="center" wrapText="1"/>
    </xf>
    <xf numFmtId="14" fontId="28" fillId="0" borderId="14" xfId="63" applyNumberFormat="1" applyFont="1" applyBorder="1" applyAlignment="1">
      <alignment horizontal="center" vertical="center" wrapText="1"/>
    </xf>
    <xf numFmtId="49" fontId="28" fillId="0" borderId="14" xfId="67" applyNumberFormat="1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19" fillId="0" borderId="14" xfId="0" applyFont="1" applyBorder="1" applyAlignment="1">
      <alignment vertical="center"/>
    </xf>
    <xf numFmtId="0" fontId="19" fillId="0" borderId="14" xfId="0" applyFont="1" applyBorder="1"/>
    <xf numFmtId="164" fontId="28" fillId="0" borderId="14" xfId="54" applyFont="1" applyFill="1" applyBorder="1" applyAlignment="1">
      <alignment horizontal="center" vertical="center" wrapText="1"/>
    </xf>
    <xf numFmtId="2" fontId="28" fillId="0" borderId="14" xfId="54" applyNumberFormat="1" applyFont="1" applyFill="1" applyBorder="1" applyAlignment="1">
      <alignment horizontal="center" vertical="center" wrapText="1"/>
    </xf>
    <xf numFmtId="37" fontId="28" fillId="0" borderId="14" xfId="52" applyNumberFormat="1" applyFont="1" applyFill="1" applyBorder="1" applyAlignment="1">
      <alignment horizontal="center" vertical="center" wrapText="1"/>
    </xf>
    <xf numFmtId="14" fontId="19" fillId="0" borderId="14" xfId="0" applyNumberFormat="1" applyFont="1" applyBorder="1" applyAlignment="1">
      <alignment horizontal="center" vertical="center"/>
    </xf>
    <xf numFmtId="166" fontId="28" fillId="0" borderId="14" xfId="52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166" fontId="28" fillId="0" borderId="14" xfId="52" applyNumberFormat="1" applyFont="1" applyFill="1" applyBorder="1" applyAlignment="1">
      <alignment vertical="center" wrapText="1"/>
    </xf>
    <xf numFmtId="167" fontId="28" fillId="0" borderId="14" xfId="0" applyNumberFormat="1" applyFont="1" applyBorder="1" applyAlignment="1">
      <alignment horizontal="right" vertical="center" wrapText="1"/>
    </xf>
    <xf numFmtId="37" fontId="28" fillId="0" borderId="14" xfId="0" applyNumberFormat="1" applyFont="1" applyBorder="1" applyAlignment="1">
      <alignment horizontal="right" vertical="center" wrapText="1"/>
    </xf>
    <xf numFmtId="165" fontId="28" fillId="0" borderId="14" xfId="0" applyNumberFormat="1" applyFont="1" applyBorder="1" applyAlignment="1">
      <alignment horizontal="right" vertical="center" wrapText="1"/>
    </xf>
    <xf numFmtId="3" fontId="28" fillId="0" borderId="14" xfId="0" applyNumberFormat="1" applyFont="1" applyBorder="1" applyAlignment="1">
      <alignment horizontal="right" vertical="center" wrapText="1"/>
    </xf>
    <xf numFmtId="168" fontId="28" fillId="0" borderId="14" xfId="0" applyNumberFormat="1" applyFont="1" applyBorder="1" applyAlignment="1">
      <alignment horizontal="right" vertical="center" wrapText="1"/>
    </xf>
    <xf numFmtId="164" fontId="28" fillId="0" borderId="14" xfId="54" applyFont="1" applyFill="1" applyBorder="1" applyAlignment="1">
      <alignment horizontal="right" vertical="center" wrapText="1"/>
    </xf>
    <xf numFmtId="169" fontId="28" fillId="0" borderId="14" xfId="0" applyNumberFormat="1" applyFont="1" applyBorder="1" applyAlignment="1">
      <alignment horizontal="right" vertical="center" wrapText="1"/>
    </xf>
    <xf numFmtId="169" fontId="28" fillId="0" borderId="14" xfId="52" applyNumberFormat="1" applyFont="1" applyFill="1" applyBorder="1" applyAlignment="1">
      <alignment horizontal="right" vertical="center" wrapText="1"/>
    </xf>
    <xf numFmtId="169" fontId="28" fillId="0" borderId="14" xfId="54" applyNumberFormat="1" applyFont="1" applyFill="1" applyBorder="1" applyAlignment="1">
      <alignment horizontal="right" vertical="center"/>
    </xf>
    <xf numFmtId="0" fontId="30" fillId="0" borderId="2" xfId="0" applyFont="1" applyBorder="1" applyAlignment="1">
      <alignment horizontal="left" vertical="center" wrapText="1"/>
    </xf>
    <xf numFmtId="0" fontId="30" fillId="0" borderId="2" xfId="0" applyFont="1" applyBorder="1" applyAlignment="1">
      <alignment vertical="center" wrapText="1"/>
    </xf>
    <xf numFmtId="0" fontId="28" fillId="0" borderId="4" xfId="0" applyFont="1" applyBorder="1" applyAlignment="1">
      <alignment horizontal="center" vertical="center"/>
    </xf>
    <xf numFmtId="0" fontId="28" fillId="0" borderId="4" xfId="0" applyFont="1" applyBorder="1" applyAlignment="1">
      <alignment vertical="center" wrapText="1"/>
    </xf>
    <xf numFmtId="14" fontId="28" fillId="0" borderId="4" xfId="0" quotePrefix="1" applyNumberFormat="1" applyFont="1" applyBorder="1" applyAlignment="1">
      <alignment horizontal="center" vertical="center" wrapText="1"/>
    </xf>
    <xf numFmtId="14" fontId="28" fillId="0" borderId="4" xfId="0" applyNumberFormat="1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164" fontId="28" fillId="0" borderId="4" xfId="54" applyFont="1" applyFill="1" applyBorder="1" applyAlignment="1">
      <alignment horizontal="center" vertical="center" wrapText="1"/>
    </xf>
    <xf numFmtId="9" fontId="28" fillId="0" borderId="4" xfId="0" applyNumberFormat="1" applyFont="1" applyBorder="1" applyAlignment="1">
      <alignment horizontal="center" vertical="center" wrapText="1"/>
    </xf>
    <xf numFmtId="166" fontId="28" fillId="0" borderId="4" xfId="52" applyNumberFormat="1" applyFont="1" applyFill="1" applyBorder="1" applyAlignment="1">
      <alignment horizontal="center" vertical="center" wrapText="1"/>
    </xf>
    <xf numFmtId="14" fontId="28" fillId="0" borderId="4" xfId="27" quotePrefix="1" applyNumberFormat="1" applyFont="1" applyBorder="1" applyAlignment="1">
      <alignment horizontal="right" vertical="center" wrapText="1"/>
    </xf>
    <xf numFmtId="37" fontId="28" fillId="0" borderId="4" xfId="52" applyNumberFormat="1" applyFont="1" applyFill="1" applyBorder="1" applyAlignment="1">
      <alignment horizontal="center" vertical="center" wrapText="1"/>
    </xf>
    <xf numFmtId="14" fontId="28" fillId="0" borderId="4" xfId="27" quotePrefix="1" applyNumberFormat="1" applyFont="1" applyBorder="1" applyAlignment="1">
      <alignment horizontal="center" vertical="center" wrapText="1"/>
    </xf>
    <xf numFmtId="166" fontId="28" fillId="0" borderId="4" xfId="52" applyNumberFormat="1" applyFont="1" applyFill="1" applyBorder="1" applyAlignment="1">
      <alignment vertical="center" wrapText="1"/>
    </xf>
    <xf numFmtId="167" fontId="28" fillId="0" borderId="4" xfId="0" applyNumberFormat="1" applyFont="1" applyBorder="1" applyAlignment="1">
      <alignment horizontal="right" vertical="center" wrapText="1"/>
    </xf>
    <xf numFmtId="37" fontId="28" fillId="0" borderId="4" xfId="0" applyNumberFormat="1" applyFont="1" applyBorder="1" applyAlignment="1">
      <alignment horizontal="right" vertical="center" wrapText="1"/>
    </xf>
    <xf numFmtId="165" fontId="28" fillId="0" borderId="4" xfId="0" applyNumberFormat="1" applyFont="1" applyBorder="1" applyAlignment="1">
      <alignment horizontal="right" vertical="center" wrapText="1"/>
    </xf>
    <xf numFmtId="3" fontId="28" fillId="0" borderId="4" xfId="0" applyNumberFormat="1" applyFont="1" applyBorder="1" applyAlignment="1">
      <alignment horizontal="right" vertical="center" wrapText="1"/>
    </xf>
    <xf numFmtId="168" fontId="28" fillId="0" borderId="4" xfId="0" applyNumberFormat="1" applyFont="1" applyBorder="1" applyAlignment="1">
      <alignment horizontal="right" vertical="center" wrapText="1"/>
    </xf>
    <xf numFmtId="164" fontId="28" fillId="0" borderId="4" xfId="54" applyFont="1" applyFill="1" applyBorder="1" applyAlignment="1">
      <alignment horizontal="right" vertical="center" wrapText="1"/>
    </xf>
    <xf numFmtId="169" fontId="28" fillId="0" borderId="4" xfId="0" applyNumberFormat="1" applyFont="1" applyBorder="1" applyAlignment="1">
      <alignment horizontal="right" vertical="center" wrapText="1"/>
    </xf>
    <xf numFmtId="169" fontId="28" fillId="0" borderId="4" xfId="54" applyNumberFormat="1" applyFont="1" applyFill="1" applyBorder="1" applyAlignment="1">
      <alignment horizontal="right" vertical="center"/>
    </xf>
    <xf numFmtId="0" fontId="13" fillId="0" borderId="2" xfId="0" applyFont="1" applyBorder="1" applyAlignment="1">
      <alignment horizontal="center" vertical="center" wrapText="1"/>
    </xf>
    <xf numFmtId="0" fontId="28" fillId="0" borderId="13" xfId="56" applyFont="1" applyBorder="1" applyAlignment="1">
      <alignment horizontal="center" vertical="center" wrapText="1"/>
    </xf>
    <xf numFmtId="0" fontId="28" fillId="2" borderId="13" xfId="0" applyFont="1" applyFill="1" applyBorder="1" applyAlignment="1">
      <alignment horizontal="center" vertical="center"/>
    </xf>
    <xf numFmtId="0" fontId="28" fillId="2" borderId="13" xfId="56" applyFont="1" applyFill="1" applyBorder="1" applyAlignment="1">
      <alignment horizontal="left" vertical="center"/>
    </xf>
    <xf numFmtId="0" fontId="26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3" fontId="30" fillId="0" borderId="6" xfId="1" applyNumberFormat="1" applyFont="1" applyBorder="1" applyAlignment="1">
      <alignment horizontal="left" vertical="center" wrapText="1"/>
    </xf>
    <xf numFmtId="3" fontId="30" fillId="0" borderId="7" xfId="1" applyNumberFormat="1" applyFont="1" applyBorder="1" applyAlignment="1">
      <alignment horizontal="left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7" xfId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21" fillId="0" borderId="4" xfId="1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16" fillId="0" borderId="2" xfId="1" applyFont="1" applyBorder="1" applyAlignment="1">
      <alignment horizontal="center" vertical="center" wrapText="1"/>
    </xf>
    <xf numFmtId="14" fontId="16" fillId="0" borderId="2" xfId="1" applyNumberFormat="1" applyFont="1" applyBorder="1" applyAlignment="1">
      <alignment horizontal="center" vertical="center" wrapText="1"/>
    </xf>
    <xf numFmtId="14" fontId="16" fillId="0" borderId="3" xfId="1" applyNumberFormat="1" applyFont="1" applyBorder="1" applyAlignment="1">
      <alignment horizontal="center" vertical="center" wrapText="1"/>
    </xf>
    <xf numFmtId="14" fontId="16" fillId="0" borderId="5" xfId="1" applyNumberFormat="1" applyFont="1" applyBorder="1" applyAlignment="1">
      <alignment horizontal="center" vertical="center" wrapText="1"/>
    </xf>
    <xf numFmtId="14" fontId="16" fillId="0" borderId="4" xfId="1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164" fontId="16" fillId="0" borderId="3" xfId="54" applyFont="1" applyFill="1" applyBorder="1" applyAlignment="1">
      <alignment horizontal="center" vertical="center" wrapText="1"/>
    </xf>
    <xf numFmtId="164" fontId="16" fillId="0" borderId="4" xfId="54" applyFont="1" applyFill="1" applyBorder="1" applyAlignment="1">
      <alignment horizontal="center" vertical="center" wrapText="1"/>
    </xf>
    <xf numFmtId="3" fontId="20" fillId="0" borderId="3" xfId="0" applyNumberFormat="1" applyFont="1" applyBorder="1" applyAlignment="1">
      <alignment horizontal="center" vertical="center" wrapText="1"/>
    </xf>
    <xf numFmtId="3" fontId="20" fillId="0" borderId="5" xfId="0" applyNumberFormat="1" applyFont="1" applyBorder="1" applyAlignment="1">
      <alignment horizontal="center" vertical="center" wrapText="1"/>
    </xf>
    <xf numFmtId="3" fontId="20" fillId="0" borderId="4" xfId="0" applyNumberFormat="1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65" fontId="16" fillId="0" borderId="3" xfId="52" applyNumberFormat="1" applyFont="1" applyFill="1" applyBorder="1" applyAlignment="1">
      <alignment horizontal="center" vertical="center" wrapText="1"/>
    </xf>
    <xf numFmtId="165" fontId="16" fillId="0" borderId="5" xfId="52" applyNumberFormat="1" applyFont="1" applyFill="1" applyBorder="1" applyAlignment="1">
      <alignment horizontal="center" vertical="center" wrapText="1"/>
    </xf>
    <xf numFmtId="165" fontId="16" fillId="0" borderId="4" xfId="52" applyNumberFormat="1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left" vertical="center" wrapText="1"/>
    </xf>
    <xf numFmtId="3" fontId="30" fillId="0" borderId="13" xfId="1" applyNumberFormat="1" applyFont="1" applyBorder="1" applyAlignment="1">
      <alignment horizontal="left" vertical="center" wrapText="1"/>
    </xf>
    <xf numFmtId="0" fontId="30" fillId="0" borderId="13" xfId="0" applyFont="1" applyBorder="1" applyAlignment="1">
      <alignment horizontal="left" vertical="center" wrapText="1"/>
    </xf>
  </cellXfs>
  <cellStyles count="68">
    <cellStyle name="Comma" xfId="54" builtinId="3"/>
    <cellStyle name="Comma 10" xfId="52" xr:uid="{00000000-0005-0000-0000-000001000000}"/>
    <cellStyle name="Comma 13" xfId="4" xr:uid="{00000000-0005-0000-0000-000002000000}"/>
    <cellStyle name="Comma 2" xfId="5" xr:uid="{00000000-0005-0000-0000-000003000000}"/>
    <cellStyle name="Comma 2 2" xfId="6" xr:uid="{00000000-0005-0000-0000-000004000000}"/>
    <cellStyle name="Comma 2 3" xfId="7" xr:uid="{00000000-0005-0000-0000-000005000000}"/>
    <cellStyle name="Comma 2 3 2" xfId="37" xr:uid="{00000000-0005-0000-0000-000006000000}"/>
    <cellStyle name="Comma 2 4" xfId="36" xr:uid="{00000000-0005-0000-0000-000007000000}"/>
    <cellStyle name="Comma 3" xfId="8" xr:uid="{00000000-0005-0000-0000-000008000000}"/>
    <cellStyle name="Comma 3 2" xfId="38" xr:uid="{00000000-0005-0000-0000-000009000000}"/>
    <cellStyle name="Comma 4" xfId="9" xr:uid="{00000000-0005-0000-0000-00000A000000}"/>
    <cellStyle name="Comma 5" xfId="10" xr:uid="{00000000-0005-0000-0000-00000B000000}"/>
    <cellStyle name="Comma 5 2" xfId="39" xr:uid="{00000000-0005-0000-0000-00000C000000}"/>
    <cellStyle name="Comma 6" xfId="11" xr:uid="{00000000-0005-0000-0000-00000D000000}"/>
    <cellStyle name="Comma 6 2" xfId="12" xr:uid="{00000000-0005-0000-0000-00000E000000}"/>
    <cellStyle name="Comma 6 2 2" xfId="41" xr:uid="{00000000-0005-0000-0000-00000F000000}"/>
    <cellStyle name="Comma 6 3" xfId="40" xr:uid="{00000000-0005-0000-0000-000010000000}"/>
    <cellStyle name="Comma 7" xfId="3" xr:uid="{00000000-0005-0000-0000-000011000000}"/>
    <cellStyle name="Comma 8" xfId="28" xr:uid="{00000000-0005-0000-0000-000012000000}"/>
    <cellStyle name="Comma 9" xfId="35" xr:uid="{00000000-0005-0000-0000-000013000000}"/>
    <cellStyle name="Comma 9 2" xfId="49" xr:uid="{00000000-0005-0000-0000-000014000000}"/>
    <cellStyle name="Normal" xfId="0" builtinId="0"/>
    <cellStyle name="Normal 10" xfId="27" xr:uid="{00000000-0005-0000-0000-000016000000}"/>
    <cellStyle name="Normal 11" xfId="13" xr:uid="{00000000-0005-0000-0000-000017000000}"/>
    <cellStyle name="Normal 11 2" xfId="42" xr:uid="{00000000-0005-0000-0000-000018000000}"/>
    <cellStyle name="Normal 12" xfId="14" xr:uid="{00000000-0005-0000-0000-000019000000}"/>
    <cellStyle name="Normal 13" xfId="34" xr:uid="{00000000-0005-0000-0000-00001A000000}"/>
    <cellStyle name="Normal 13 2" xfId="48" xr:uid="{00000000-0005-0000-0000-00001B000000}"/>
    <cellStyle name="Normal 14" xfId="1" xr:uid="{00000000-0005-0000-0000-00001C000000}"/>
    <cellStyle name="Normal 15" xfId="50" xr:uid="{00000000-0005-0000-0000-00001D000000}"/>
    <cellStyle name="Normal 15 2" xfId="53" xr:uid="{00000000-0005-0000-0000-00001E000000}"/>
    <cellStyle name="Normal 16" xfId="51" xr:uid="{00000000-0005-0000-0000-00001F000000}"/>
    <cellStyle name="Normal 16 2" xfId="63" xr:uid="{00000000-0005-0000-0000-000020000000}"/>
    <cellStyle name="Normal 17" xfId="58" xr:uid="{00000000-0005-0000-0000-000021000000}"/>
    <cellStyle name="Normal 18" xfId="57" xr:uid="{00000000-0005-0000-0000-000022000000}"/>
    <cellStyle name="Normal 18 2" xfId="62" xr:uid="{00000000-0005-0000-0000-000023000000}"/>
    <cellStyle name="Normal 2" xfId="15" xr:uid="{00000000-0005-0000-0000-000024000000}"/>
    <cellStyle name="Normal 2 2" xfId="16" xr:uid="{00000000-0005-0000-0000-000025000000}"/>
    <cellStyle name="Normal 2 2 2" xfId="17" xr:uid="{00000000-0005-0000-0000-000026000000}"/>
    <cellStyle name="Normal 2 2 2 2" xfId="43" xr:uid="{00000000-0005-0000-0000-000027000000}"/>
    <cellStyle name="Normal 2 2 2 2 2" xfId="59" xr:uid="{00000000-0005-0000-0000-000028000000}"/>
    <cellStyle name="Normal 2 2 3" xfId="29" xr:uid="{00000000-0005-0000-0000-000029000000}"/>
    <cellStyle name="Normal 2 2 4" xfId="60" xr:uid="{00000000-0005-0000-0000-00002A000000}"/>
    <cellStyle name="Normal 2 3" xfId="67" xr:uid="{00000000-0005-0000-0000-00002B000000}"/>
    <cellStyle name="Normal 2 4" xfId="61" xr:uid="{00000000-0005-0000-0000-00002C000000}"/>
    <cellStyle name="Normal 2_SƠN ĐỘNG-1a" xfId="18" xr:uid="{00000000-0005-0000-0000-00002D000000}"/>
    <cellStyle name="Normal 3" xfId="19" xr:uid="{00000000-0005-0000-0000-00002E000000}"/>
    <cellStyle name="Normal 3 2" xfId="20" xr:uid="{00000000-0005-0000-0000-00002F000000}"/>
    <cellStyle name="Normal 3 3" xfId="44" xr:uid="{00000000-0005-0000-0000-000030000000}"/>
    <cellStyle name="Normal 3 4" xfId="65" xr:uid="{00000000-0005-0000-0000-000031000000}"/>
    <cellStyle name="Normal 4" xfId="21" xr:uid="{00000000-0005-0000-0000-000032000000}"/>
    <cellStyle name="Normal 4 2" xfId="30" xr:uid="{00000000-0005-0000-0000-000033000000}"/>
    <cellStyle name="Normal 4 3" xfId="31" xr:uid="{00000000-0005-0000-0000-000034000000}"/>
    <cellStyle name="Normal 4 4" xfId="45" xr:uid="{00000000-0005-0000-0000-000035000000}"/>
    <cellStyle name="Normal 4 5" xfId="64" xr:uid="{00000000-0005-0000-0000-000036000000}"/>
    <cellStyle name="Normal 5" xfId="22" xr:uid="{00000000-0005-0000-0000-000037000000}"/>
    <cellStyle name="Normal 5 2" xfId="46" xr:uid="{00000000-0005-0000-0000-000038000000}"/>
    <cellStyle name="Normal 6" xfId="2" xr:uid="{00000000-0005-0000-0000-000039000000}"/>
    <cellStyle name="Normal 6 2" xfId="32" xr:uid="{00000000-0005-0000-0000-00003A000000}"/>
    <cellStyle name="Normal 6 2 2" xfId="66" xr:uid="{00000000-0005-0000-0000-00003B000000}"/>
    <cellStyle name="Normal 7" xfId="24" xr:uid="{00000000-0005-0000-0000-00003C000000}"/>
    <cellStyle name="Normal 8" xfId="25" xr:uid="{00000000-0005-0000-0000-00003D000000}"/>
    <cellStyle name="Normal 9" xfId="26" xr:uid="{00000000-0005-0000-0000-00003E000000}"/>
    <cellStyle name="Normal 9 2" xfId="55" xr:uid="{00000000-0005-0000-0000-00003F000000}"/>
    <cellStyle name="Normal_Sheet1" xfId="56" xr:uid="{00000000-0005-0000-0000-000040000000}"/>
    <cellStyle name="Percent 2" xfId="23" xr:uid="{00000000-0005-0000-0000-000041000000}"/>
    <cellStyle name="Percent 2 2" xfId="33" xr:uid="{00000000-0005-0000-0000-000042000000}"/>
    <cellStyle name="Percent 2 3" xfId="47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488156</xdr:colOff>
      <xdr:row>1</xdr:row>
      <xdr:rowOff>95250</xdr:rowOff>
    </xdr:from>
    <xdr:to>
      <xdr:col>1</xdr:col>
      <xdr:colOff>1023937</xdr:colOff>
      <xdr:row>1</xdr:row>
      <xdr:rowOff>95250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FAFDCE2-EA70-44D6-8B91-510D0A652F1C}"/>
            </a:ext>
          </a:extLst>
        </xdr:cNvPr>
        <xdr:cNvCxnSpPr/>
      </xdr:nvCxnSpPr>
      <xdr:spPr>
        <a:xfrm>
          <a:off x="916781" y="583406"/>
          <a:ext cx="5357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3.9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46"/>
  <sheetViews>
    <sheetView tabSelected="1" zoomScaleNormal="100" zoomScaleSheetLayoutView="70" workbookViewId="0">
      <selection activeCell="F9" sqref="A9:AK43"/>
    </sheetView>
  </sheetViews>
  <sheetFormatPr defaultColWidth="9.140625" defaultRowHeight="20.25"/>
  <cols>
    <col min="1" max="1" width="6.42578125" style="86" customWidth="1"/>
    <col min="2" max="2" width="23.42578125" style="87" customWidth="1"/>
    <col min="3" max="3" width="13.5703125" style="14" customWidth="1"/>
    <col min="4" max="4" width="9.7109375" style="14" customWidth="1"/>
    <col min="5" max="5" width="17.5703125" style="15" customWidth="1"/>
    <col min="6" max="6" width="26.7109375" style="15" customWidth="1"/>
    <col min="7" max="7" width="11.7109375" style="14" hidden="1" customWidth="1"/>
    <col min="8" max="9" width="7.140625" style="15" hidden="1" customWidth="1"/>
    <col min="10" max="10" width="9.140625" style="15" hidden="1" customWidth="1"/>
    <col min="11" max="11" width="9" style="15" hidden="1" customWidth="1"/>
    <col min="12" max="12" width="8" style="15" hidden="1" customWidth="1"/>
    <col min="13" max="13" width="7" style="15" hidden="1" customWidth="1"/>
    <col min="14" max="14" width="8.5703125" style="15" hidden="1" customWidth="1"/>
    <col min="15" max="15" width="11" style="15" hidden="1" customWidth="1"/>
    <col min="16" max="16" width="12.140625" style="15" hidden="1" customWidth="1"/>
    <col min="17" max="17" width="12.7109375" style="14" hidden="1" customWidth="1"/>
    <col min="18" max="18" width="12.85546875" style="14" hidden="1" customWidth="1"/>
    <col min="19" max="19" width="11.140625" style="15" hidden="1" customWidth="1"/>
    <col min="20" max="20" width="6.140625" style="16" hidden="1" customWidth="1"/>
    <col min="21" max="21" width="7.140625" style="16" hidden="1" customWidth="1"/>
    <col min="22" max="22" width="7.42578125" style="16" hidden="1" customWidth="1"/>
    <col min="23" max="23" width="8.140625" style="17" hidden="1" customWidth="1"/>
    <col min="24" max="24" width="5.28515625" style="16" hidden="1" customWidth="1"/>
    <col min="25" max="25" width="6.28515625" style="16" hidden="1" customWidth="1"/>
    <col min="26" max="26" width="17.140625" style="18" hidden="1" customWidth="1"/>
    <col min="27" max="27" width="15" style="14" hidden="1" customWidth="1"/>
    <col min="28" max="28" width="13.85546875" style="15" hidden="1" customWidth="1"/>
    <col min="29" max="29" width="12.85546875" style="15" hidden="1" customWidth="1"/>
    <col min="30" max="30" width="16" style="20" hidden="1" customWidth="1"/>
    <col min="31" max="31" width="17.42578125" style="21" hidden="1" customWidth="1"/>
    <col min="32" max="32" width="12.42578125" style="21" hidden="1" customWidth="1"/>
    <col min="33" max="33" width="16.5703125" style="21" hidden="1" customWidth="1"/>
    <col min="34" max="34" width="14.85546875" style="4" customWidth="1"/>
    <col min="35" max="35" width="16.140625" style="15" customWidth="1"/>
    <col min="36" max="36" width="11.42578125" style="15" customWidth="1"/>
    <col min="37" max="37" width="17" style="1" customWidth="1"/>
    <col min="38" max="16384" width="9.140625" style="15"/>
  </cols>
  <sheetData>
    <row r="1" spans="1:42" s="3" customFormat="1" ht="38.25" customHeight="1">
      <c r="A1" s="147" t="s">
        <v>131</v>
      </c>
      <c r="B1" s="148"/>
      <c r="F1" s="4"/>
      <c r="Q1" s="5"/>
      <c r="R1" s="5"/>
      <c r="T1" s="6"/>
      <c r="U1" s="6"/>
      <c r="V1" s="6"/>
      <c r="W1" s="7"/>
      <c r="X1" s="6"/>
      <c r="Y1" s="6"/>
      <c r="Z1" s="8"/>
      <c r="AD1" s="9"/>
    </row>
    <row r="2" spans="1:42" s="3" customFormat="1" ht="15.75" customHeight="1">
      <c r="A2" s="95"/>
      <c r="B2" s="95"/>
      <c r="F2" s="4"/>
      <c r="Q2" s="5"/>
      <c r="R2" s="5"/>
      <c r="T2" s="6"/>
      <c r="U2" s="6"/>
      <c r="V2" s="6"/>
      <c r="W2" s="7"/>
      <c r="X2" s="6"/>
      <c r="Y2" s="6"/>
      <c r="Z2" s="8"/>
      <c r="AD2" s="9"/>
    </row>
    <row r="3" spans="1:42" s="10" customFormat="1" ht="42" customHeight="1">
      <c r="A3" s="146" t="s">
        <v>129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</row>
    <row r="4" spans="1:42" s="11" customFormat="1" ht="24" customHeight="1">
      <c r="A4" s="146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</row>
    <row r="5" spans="1:42" s="11" customFormat="1" ht="24" customHeight="1">
      <c r="A5" s="146" t="s">
        <v>130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</row>
    <row r="6" spans="1:42" s="11" customFormat="1" ht="26.25" customHeight="1">
      <c r="A6" s="149" t="s">
        <v>132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</row>
    <row r="7" spans="1:42" ht="20.25" customHeight="1">
      <c r="A7" s="92"/>
      <c r="B7" s="93"/>
      <c r="C7" s="93"/>
      <c r="D7" s="93"/>
      <c r="E7" s="93"/>
      <c r="F7" s="93"/>
      <c r="T7" s="15"/>
      <c r="U7" s="15"/>
      <c r="AA7" s="19"/>
      <c r="AJ7" s="170" t="s">
        <v>37</v>
      </c>
      <c r="AK7" s="170"/>
    </row>
    <row r="8" spans="1:42" ht="13.5" customHeight="1">
      <c r="A8" s="12"/>
      <c r="B8" s="13"/>
      <c r="C8" s="13"/>
      <c r="D8" s="13"/>
      <c r="E8" s="13"/>
      <c r="F8" s="13"/>
      <c r="T8" s="15"/>
      <c r="U8" s="15"/>
      <c r="AA8" s="19"/>
      <c r="AJ8" s="22"/>
      <c r="AK8" s="22"/>
    </row>
    <row r="9" spans="1:42" s="18" customFormat="1" ht="30" customHeight="1">
      <c r="A9" s="171" t="s">
        <v>111</v>
      </c>
      <c r="B9" s="171" t="s">
        <v>0</v>
      </c>
      <c r="C9" s="172" t="s">
        <v>1</v>
      </c>
      <c r="D9" s="173" t="s">
        <v>112</v>
      </c>
      <c r="E9" s="171" t="s">
        <v>2</v>
      </c>
      <c r="F9" s="171" t="s">
        <v>23</v>
      </c>
      <c r="G9" s="162" t="s">
        <v>8</v>
      </c>
      <c r="H9" s="190" t="s">
        <v>17</v>
      </c>
      <c r="I9" s="190"/>
      <c r="J9" s="190"/>
      <c r="K9" s="190"/>
      <c r="L9" s="190"/>
      <c r="M9" s="190"/>
      <c r="N9" s="190"/>
      <c r="O9" s="190"/>
      <c r="P9" s="191" t="s">
        <v>22</v>
      </c>
      <c r="Q9" s="177" t="s">
        <v>13</v>
      </c>
      <c r="R9" s="172" t="s">
        <v>14</v>
      </c>
      <c r="S9" s="191" t="s">
        <v>9</v>
      </c>
      <c r="T9" s="160" t="s">
        <v>10</v>
      </c>
      <c r="U9" s="161"/>
      <c r="V9" s="195" t="s">
        <v>3</v>
      </c>
      <c r="W9" s="195" t="s">
        <v>27</v>
      </c>
      <c r="X9" s="194" t="s">
        <v>10</v>
      </c>
      <c r="Y9" s="194"/>
      <c r="Z9" s="162" t="s">
        <v>18</v>
      </c>
      <c r="AA9" s="165" t="s">
        <v>24</v>
      </c>
      <c r="AB9" s="198" t="s">
        <v>10</v>
      </c>
      <c r="AC9" s="198"/>
      <c r="AD9" s="184" t="s">
        <v>25</v>
      </c>
      <c r="AE9" s="187" t="s">
        <v>10</v>
      </c>
      <c r="AF9" s="188"/>
      <c r="AG9" s="189"/>
      <c r="AH9" s="154" t="s">
        <v>128</v>
      </c>
      <c r="AI9" s="155"/>
      <c r="AJ9" s="155"/>
      <c r="AK9" s="156"/>
    </row>
    <row r="10" spans="1:42" s="18" customFormat="1" ht="43.5" customHeight="1">
      <c r="A10" s="171"/>
      <c r="B10" s="171"/>
      <c r="C10" s="172"/>
      <c r="D10" s="174"/>
      <c r="E10" s="171"/>
      <c r="F10" s="171"/>
      <c r="G10" s="163"/>
      <c r="H10" s="180" t="s">
        <v>35</v>
      </c>
      <c r="I10" s="176" t="s">
        <v>29</v>
      </c>
      <c r="J10" s="176" t="s">
        <v>30</v>
      </c>
      <c r="K10" s="176" t="s">
        <v>31</v>
      </c>
      <c r="L10" s="176" t="s">
        <v>32</v>
      </c>
      <c r="M10" s="176" t="s">
        <v>33</v>
      </c>
      <c r="N10" s="176" t="s">
        <v>16</v>
      </c>
      <c r="O10" s="176" t="s">
        <v>34</v>
      </c>
      <c r="P10" s="192"/>
      <c r="Q10" s="178"/>
      <c r="R10" s="172"/>
      <c r="S10" s="192"/>
      <c r="T10" s="168" t="s">
        <v>11</v>
      </c>
      <c r="U10" s="168" t="s">
        <v>12</v>
      </c>
      <c r="V10" s="196"/>
      <c r="W10" s="196"/>
      <c r="X10" s="194" t="s">
        <v>19</v>
      </c>
      <c r="Y10" s="194" t="s">
        <v>20</v>
      </c>
      <c r="Z10" s="163"/>
      <c r="AA10" s="166"/>
      <c r="AB10" s="152" t="s">
        <v>4</v>
      </c>
      <c r="AC10" s="152" t="s">
        <v>5</v>
      </c>
      <c r="AD10" s="185"/>
      <c r="AE10" s="152" t="s">
        <v>6</v>
      </c>
      <c r="AF10" s="152" t="s">
        <v>28</v>
      </c>
      <c r="AG10" s="152" t="s">
        <v>7</v>
      </c>
      <c r="AH10" s="157" t="s">
        <v>21</v>
      </c>
      <c r="AI10" s="157"/>
      <c r="AJ10" s="158" t="s">
        <v>26</v>
      </c>
      <c r="AK10" s="182" t="s">
        <v>38</v>
      </c>
      <c r="AP10" s="88"/>
    </row>
    <row r="11" spans="1:42" s="18" customFormat="1" ht="70.5" customHeight="1">
      <c r="A11" s="171"/>
      <c r="B11" s="171"/>
      <c r="C11" s="172"/>
      <c r="D11" s="175"/>
      <c r="E11" s="171"/>
      <c r="F11" s="171"/>
      <c r="G11" s="164"/>
      <c r="H11" s="181"/>
      <c r="I11" s="176"/>
      <c r="J11" s="176"/>
      <c r="K11" s="176"/>
      <c r="L11" s="176"/>
      <c r="M11" s="176"/>
      <c r="N11" s="176"/>
      <c r="O11" s="176"/>
      <c r="P11" s="193"/>
      <c r="Q11" s="179"/>
      <c r="R11" s="172"/>
      <c r="S11" s="193"/>
      <c r="T11" s="169"/>
      <c r="U11" s="169"/>
      <c r="V11" s="197"/>
      <c r="W11" s="197"/>
      <c r="X11" s="194"/>
      <c r="Y11" s="194"/>
      <c r="Z11" s="164"/>
      <c r="AA11" s="167"/>
      <c r="AB11" s="153"/>
      <c r="AC11" s="153"/>
      <c r="AD11" s="186"/>
      <c r="AE11" s="153"/>
      <c r="AF11" s="153"/>
      <c r="AG11" s="153"/>
      <c r="AH11" s="23" t="s">
        <v>39</v>
      </c>
      <c r="AI11" s="23" t="s">
        <v>40</v>
      </c>
      <c r="AJ11" s="159"/>
      <c r="AK11" s="183"/>
    </row>
    <row r="12" spans="1:42" s="91" customFormat="1">
      <c r="A12" s="24">
        <v>1</v>
      </c>
      <c r="B12" s="24">
        <v>2</v>
      </c>
      <c r="C12" s="24">
        <v>3</v>
      </c>
      <c r="D12" s="24">
        <v>4</v>
      </c>
      <c r="E12" s="24">
        <v>5</v>
      </c>
      <c r="F12" s="24">
        <v>6</v>
      </c>
      <c r="G12" s="89">
        <v>5</v>
      </c>
      <c r="H12" s="24" t="s">
        <v>15</v>
      </c>
      <c r="I12" s="24">
        <v>7</v>
      </c>
      <c r="J12" s="24">
        <v>8</v>
      </c>
      <c r="K12" s="89">
        <v>9</v>
      </c>
      <c r="L12" s="24">
        <v>10</v>
      </c>
      <c r="M12" s="24">
        <v>11</v>
      </c>
      <c r="N12" s="89">
        <v>12</v>
      </c>
      <c r="O12" s="89">
        <v>13</v>
      </c>
      <c r="P12" s="24">
        <v>14</v>
      </c>
      <c r="Q12" s="24">
        <v>15</v>
      </c>
      <c r="R12" s="89">
        <v>16</v>
      </c>
      <c r="S12" s="24">
        <v>17</v>
      </c>
      <c r="T12" s="24">
        <v>18</v>
      </c>
      <c r="U12" s="89">
        <v>19</v>
      </c>
      <c r="V12" s="24">
        <v>18</v>
      </c>
      <c r="W12" s="25">
        <v>19</v>
      </c>
      <c r="X12" s="26"/>
      <c r="Y12" s="27"/>
      <c r="Z12" s="28">
        <v>20</v>
      </c>
      <c r="AA12" s="89" t="s">
        <v>109</v>
      </c>
      <c r="AB12" s="89">
        <v>22</v>
      </c>
      <c r="AC12" s="89">
        <v>23</v>
      </c>
      <c r="AD12" s="89" t="s">
        <v>110</v>
      </c>
      <c r="AE12" s="89">
        <v>25</v>
      </c>
      <c r="AF12" s="89">
        <v>26</v>
      </c>
      <c r="AG12" s="89">
        <v>27</v>
      </c>
      <c r="AH12" s="89">
        <v>7</v>
      </c>
      <c r="AI12" s="89">
        <v>8</v>
      </c>
      <c r="AJ12" s="89">
        <v>9</v>
      </c>
      <c r="AK12" s="90" t="s">
        <v>113</v>
      </c>
    </row>
    <row r="13" spans="1:42" s="29" customFormat="1" ht="32.25" customHeight="1">
      <c r="A13" s="30"/>
      <c r="B13" s="150" t="s">
        <v>103</v>
      </c>
      <c r="C13" s="151"/>
      <c r="D13" s="31"/>
      <c r="E13" s="32"/>
      <c r="F13" s="33"/>
      <c r="G13" s="34"/>
      <c r="H13" s="32"/>
      <c r="I13" s="32"/>
      <c r="J13" s="32"/>
      <c r="K13" s="34"/>
      <c r="L13" s="32"/>
      <c r="M13" s="32"/>
      <c r="N13" s="34"/>
      <c r="O13" s="34"/>
      <c r="P13" s="32"/>
      <c r="Q13" s="32"/>
      <c r="R13" s="34"/>
      <c r="S13" s="32"/>
      <c r="T13" s="32"/>
      <c r="U13" s="34"/>
      <c r="V13" s="32"/>
      <c r="W13" s="32"/>
      <c r="X13" s="32"/>
      <c r="Y13" s="32"/>
      <c r="Z13" s="35">
        <f t="shared" ref="Z13:AJ13" si="0">Z14+Z41</f>
        <v>15007336.315920003</v>
      </c>
      <c r="AA13" s="35">
        <f t="shared" si="0"/>
        <v>10034084.50317</v>
      </c>
      <c r="AB13" s="35">
        <f t="shared" si="0"/>
        <v>6471224.2810800001</v>
      </c>
      <c r="AC13" s="35">
        <f t="shared" si="0"/>
        <v>3562860.2220900008</v>
      </c>
      <c r="AD13" s="35">
        <f t="shared" si="0"/>
        <v>2655992.4300000002</v>
      </c>
      <c r="AE13" s="35">
        <f t="shared" si="0"/>
        <v>1458699.8400000003</v>
      </c>
      <c r="AF13" s="35">
        <f t="shared" si="0"/>
        <v>1197292.5900000003</v>
      </c>
      <c r="AG13" s="35">
        <f t="shared" si="0"/>
        <v>0</v>
      </c>
      <c r="AH13" s="35">
        <f>AH14+AH41</f>
        <v>25041422</v>
      </c>
      <c r="AI13" s="35">
        <f>AI14+AI41</f>
        <v>2655993</v>
      </c>
      <c r="AJ13" s="35">
        <f t="shared" si="0"/>
        <v>0</v>
      </c>
      <c r="AK13" s="35">
        <f>AK14+AK41</f>
        <v>27697415</v>
      </c>
    </row>
    <row r="14" spans="1:42" s="29" customFormat="1" ht="32.25" customHeight="1">
      <c r="A14" s="36" t="s">
        <v>98</v>
      </c>
      <c r="B14" s="36" t="s">
        <v>117</v>
      </c>
      <c r="C14" s="37"/>
      <c r="D14" s="37"/>
      <c r="E14" s="37"/>
      <c r="F14" s="38"/>
      <c r="G14" s="39"/>
      <c r="H14" s="37"/>
      <c r="I14" s="37"/>
      <c r="J14" s="37"/>
      <c r="K14" s="39"/>
      <c r="L14" s="37"/>
      <c r="M14" s="37"/>
      <c r="N14" s="39"/>
      <c r="O14" s="39"/>
      <c r="P14" s="37"/>
      <c r="Q14" s="37"/>
      <c r="R14" s="39"/>
      <c r="S14" s="37"/>
      <c r="T14" s="37"/>
      <c r="U14" s="39"/>
      <c r="V14" s="37"/>
      <c r="W14" s="37"/>
      <c r="X14" s="37"/>
      <c r="Y14" s="37"/>
      <c r="Z14" s="40">
        <f>Z15+Z17+Z21+Z25</f>
        <v>14397649.315920003</v>
      </c>
      <c r="AA14" s="40">
        <f t="shared" ref="AA14:AK14" si="1">AA15+AA17+AA21+AA25</f>
        <v>9559883.5031700004</v>
      </c>
      <c r="AB14" s="40">
        <f t="shared" si="1"/>
        <v>6087347.2810800001</v>
      </c>
      <c r="AC14" s="40">
        <f t="shared" si="1"/>
        <v>3472536.2220900008</v>
      </c>
      <c r="AD14" s="40">
        <f t="shared" si="1"/>
        <v>2655992.4300000002</v>
      </c>
      <c r="AE14" s="40">
        <f t="shared" si="1"/>
        <v>1458699.8400000003</v>
      </c>
      <c r="AF14" s="40">
        <f t="shared" si="1"/>
        <v>1197292.5900000003</v>
      </c>
      <c r="AG14" s="40">
        <f t="shared" si="1"/>
        <v>0</v>
      </c>
      <c r="AH14" s="40">
        <f>AH15+AH17+AH21+AH25</f>
        <v>23957534</v>
      </c>
      <c r="AI14" s="40">
        <f>AI15+AI17+AI21+AI25</f>
        <v>2655993</v>
      </c>
      <c r="AJ14" s="40">
        <f t="shared" si="1"/>
        <v>0</v>
      </c>
      <c r="AK14" s="40">
        <f t="shared" si="1"/>
        <v>26613527</v>
      </c>
    </row>
    <row r="15" spans="1:42" s="29" customFormat="1" ht="32.25" customHeight="1">
      <c r="A15" s="41" t="s">
        <v>42</v>
      </c>
      <c r="B15" s="199" t="s">
        <v>47</v>
      </c>
      <c r="C15" s="199"/>
      <c r="D15" s="199"/>
      <c r="E15" s="199"/>
      <c r="F15" s="199"/>
      <c r="G15" s="42"/>
      <c r="H15" s="43"/>
      <c r="I15" s="43"/>
      <c r="J15" s="43"/>
      <c r="K15" s="42"/>
      <c r="L15" s="43"/>
      <c r="M15" s="43"/>
      <c r="N15" s="42"/>
      <c r="O15" s="42"/>
      <c r="P15" s="43"/>
      <c r="Q15" s="43"/>
      <c r="R15" s="42"/>
      <c r="S15" s="43"/>
      <c r="T15" s="43"/>
      <c r="U15" s="42"/>
      <c r="V15" s="43"/>
      <c r="W15" s="43"/>
      <c r="X15" s="43"/>
      <c r="Y15" s="43"/>
      <c r="Z15" s="44">
        <f>Z16</f>
        <v>485784</v>
      </c>
      <c r="AA15" s="44">
        <f t="shared" ref="AA15:AJ15" si="2">AA16</f>
        <v>240867.9</v>
      </c>
      <c r="AB15" s="44">
        <f t="shared" si="2"/>
        <v>202410</v>
      </c>
      <c r="AC15" s="44">
        <f t="shared" si="2"/>
        <v>38457.899999999994</v>
      </c>
      <c r="AD15" s="44">
        <f t="shared" si="2"/>
        <v>0</v>
      </c>
      <c r="AE15" s="44">
        <f t="shared" si="2"/>
        <v>0</v>
      </c>
      <c r="AF15" s="44">
        <f t="shared" si="2"/>
        <v>0</v>
      </c>
      <c r="AG15" s="44">
        <f t="shared" si="2"/>
        <v>0</v>
      </c>
      <c r="AH15" s="44">
        <f>AH16</f>
        <v>726652</v>
      </c>
      <c r="AI15" s="44">
        <f t="shared" si="2"/>
        <v>0</v>
      </c>
      <c r="AJ15" s="44">
        <f t="shared" si="2"/>
        <v>0</v>
      </c>
      <c r="AK15" s="44">
        <f>AK16</f>
        <v>726652</v>
      </c>
    </row>
    <row r="16" spans="1:42" s="18" customFormat="1" ht="53.25" customHeight="1">
      <c r="A16" s="45">
        <v>1</v>
      </c>
      <c r="B16" s="46" t="s">
        <v>46</v>
      </c>
      <c r="C16" s="47">
        <v>28224</v>
      </c>
      <c r="D16" s="47" t="s">
        <v>114</v>
      </c>
      <c r="E16" s="47" t="s">
        <v>105</v>
      </c>
      <c r="F16" s="48" t="s">
        <v>48</v>
      </c>
      <c r="G16" s="49">
        <v>3.46</v>
      </c>
      <c r="H16" s="50"/>
      <c r="I16" s="50"/>
      <c r="J16" s="51"/>
      <c r="K16" s="51"/>
      <c r="L16" s="52"/>
      <c r="M16" s="52"/>
      <c r="N16" s="52"/>
      <c r="O16" s="52"/>
      <c r="P16" s="53">
        <f t="shared" ref="P16" si="3">SUM(G16:O16)*2340</f>
        <v>8096.4</v>
      </c>
      <c r="Q16" s="47" t="s">
        <v>49</v>
      </c>
      <c r="R16" s="54" t="s">
        <v>41</v>
      </c>
      <c r="S16" s="55">
        <f>(T16)+(IF(U16=0,0,IF(U16&lt;7,1/2,1)))</f>
        <v>16.5</v>
      </c>
      <c r="T16" s="50">
        <v>16</v>
      </c>
      <c r="U16" s="50">
        <v>4</v>
      </c>
      <c r="V16" s="50">
        <f>(X16*12)+Y16</f>
        <v>60</v>
      </c>
      <c r="W16" s="56">
        <f>(X16)+(IF(Y16=0,0,IF(Y16&lt;7,1/2,1)))</f>
        <v>5</v>
      </c>
      <c r="X16" s="50">
        <v>5</v>
      </c>
      <c r="Y16" s="50">
        <v>0</v>
      </c>
      <c r="Z16" s="57">
        <f>V16*P16</f>
        <v>485784</v>
      </c>
      <c r="AA16" s="58">
        <f t="shared" ref="AA16" si="4">SUM(AB16:AC16)</f>
        <v>240867.9</v>
      </c>
      <c r="AB16" s="59">
        <f>5*W16*P16</f>
        <v>202410</v>
      </c>
      <c r="AC16" s="60">
        <f t="shared" ref="AC16" si="5">SUM(4*P16)+(0.5*(S16-15)*P16)</f>
        <v>38457.899999999994</v>
      </c>
      <c r="AD16" s="61"/>
      <c r="AE16" s="61"/>
      <c r="AF16" s="61"/>
      <c r="AG16" s="61"/>
      <c r="AH16" s="62">
        <f>ROUND(Z16+AA16,0)</f>
        <v>726652</v>
      </c>
      <c r="AI16" s="62">
        <v>0</v>
      </c>
      <c r="AJ16" s="63"/>
      <c r="AK16" s="64">
        <f>AH16+AI16+AJ16</f>
        <v>726652</v>
      </c>
    </row>
    <row r="17" spans="1:37" s="29" customFormat="1" ht="32.25" customHeight="1">
      <c r="A17" s="65" t="s">
        <v>44</v>
      </c>
      <c r="B17" s="201" t="s">
        <v>102</v>
      </c>
      <c r="C17" s="201"/>
      <c r="D17" s="201"/>
      <c r="E17" s="201"/>
      <c r="F17" s="201"/>
      <c r="G17" s="66"/>
      <c r="H17" s="67"/>
      <c r="I17" s="67"/>
      <c r="J17" s="67"/>
      <c r="K17" s="66"/>
      <c r="L17" s="67"/>
      <c r="M17" s="67"/>
      <c r="N17" s="66"/>
      <c r="O17" s="66"/>
      <c r="P17" s="67"/>
      <c r="Q17" s="67"/>
      <c r="R17" s="66"/>
      <c r="S17" s="67"/>
      <c r="T17" s="67"/>
      <c r="U17" s="66"/>
      <c r="V17" s="67"/>
      <c r="W17" s="67"/>
      <c r="X17" s="67"/>
      <c r="Y17" s="67"/>
      <c r="Z17" s="68">
        <f>SUM(Z18:Z20)</f>
        <v>925409.59055999992</v>
      </c>
      <c r="AA17" s="68">
        <f t="shared" ref="AA17:AJ17" si="6">SUM(AA18:AA20)</f>
        <v>0</v>
      </c>
      <c r="AB17" s="68">
        <f t="shared" si="6"/>
        <v>0</v>
      </c>
      <c r="AC17" s="68">
        <f t="shared" si="6"/>
        <v>0</v>
      </c>
      <c r="AD17" s="68">
        <f t="shared" si="6"/>
        <v>0</v>
      </c>
      <c r="AE17" s="68">
        <f t="shared" si="6"/>
        <v>0</v>
      </c>
      <c r="AF17" s="68">
        <f t="shared" si="6"/>
        <v>0</v>
      </c>
      <c r="AG17" s="68">
        <f t="shared" si="6"/>
        <v>0</v>
      </c>
      <c r="AH17" s="68">
        <f>SUM(AH18:AH20)</f>
        <v>925410</v>
      </c>
      <c r="AI17" s="68">
        <f t="shared" si="6"/>
        <v>0</v>
      </c>
      <c r="AJ17" s="68">
        <f t="shared" si="6"/>
        <v>0</v>
      </c>
      <c r="AK17" s="68">
        <f>SUM(AK18:AK20)</f>
        <v>925410</v>
      </c>
    </row>
    <row r="18" spans="1:37" s="18" customFormat="1" ht="39" customHeight="1">
      <c r="A18" s="45">
        <v>1</v>
      </c>
      <c r="B18" s="46" t="s">
        <v>50</v>
      </c>
      <c r="C18" s="47">
        <v>25304</v>
      </c>
      <c r="D18" s="47" t="s">
        <v>114</v>
      </c>
      <c r="E18" s="47" t="s">
        <v>43</v>
      </c>
      <c r="F18" s="48" t="s">
        <v>53</v>
      </c>
      <c r="G18" s="49">
        <v>5.76</v>
      </c>
      <c r="H18" s="50"/>
      <c r="I18" s="50">
        <v>0.6</v>
      </c>
      <c r="J18" s="51"/>
      <c r="K18" s="49">
        <f>(G18+I18)*30%</f>
        <v>1.9079999999999997</v>
      </c>
      <c r="L18" s="69">
        <f>(G18+I18+J18)*25%</f>
        <v>1.5899999999999999</v>
      </c>
      <c r="M18" s="52"/>
      <c r="N18" s="52"/>
      <c r="O18" s="52"/>
      <c r="P18" s="53">
        <f>SUM(G18:O18)*2340</f>
        <v>23067.719999999998</v>
      </c>
      <c r="Q18" s="47">
        <v>46023</v>
      </c>
      <c r="R18" s="54" t="s">
        <v>41</v>
      </c>
      <c r="S18" s="55">
        <f>(T18)+(IF(U18=0,0,IF(U18&lt;7,1/2,1)))</f>
        <v>32</v>
      </c>
      <c r="T18" s="50">
        <v>31</v>
      </c>
      <c r="U18" s="50">
        <v>8</v>
      </c>
      <c r="V18" s="50">
        <f>(X18*12)+Y18</f>
        <v>4</v>
      </c>
      <c r="W18" s="56">
        <f>(X18)+(IF(Y18=0,0,IF(Y18&lt;7,1/2,1)))</f>
        <v>0.5</v>
      </c>
      <c r="X18" s="50">
        <v>0</v>
      </c>
      <c r="Y18" s="50">
        <v>4</v>
      </c>
      <c r="Z18" s="57">
        <f>V18*P18</f>
        <v>92270.87999999999</v>
      </c>
      <c r="AA18" s="58"/>
      <c r="AB18" s="59"/>
      <c r="AC18" s="60"/>
      <c r="AD18" s="61"/>
      <c r="AE18" s="61"/>
      <c r="AF18" s="61"/>
      <c r="AG18" s="61"/>
      <c r="AH18" s="62">
        <f>ROUND(Z18+AA18,0)</f>
        <v>92271</v>
      </c>
      <c r="AI18" s="62">
        <v>0</v>
      </c>
      <c r="AJ18" s="63"/>
      <c r="AK18" s="64">
        <f>AH18+AI18+AJ18</f>
        <v>92271</v>
      </c>
    </row>
    <row r="19" spans="1:37" s="18" customFormat="1" ht="55.9" customHeight="1">
      <c r="A19" s="45">
        <v>2</v>
      </c>
      <c r="B19" s="46" t="s">
        <v>51</v>
      </c>
      <c r="C19" s="47">
        <v>24021</v>
      </c>
      <c r="D19" s="47" t="s">
        <v>115</v>
      </c>
      <c r="E19" s="47" t="s">
        <v>54</v>
      </c>
      <c r="F19" s="48" t="s">
        <v>55</v>
      </c>
      <c r="G19" s="49">
        <v>5.76</v>
      </c>
      <c r="H19" s="50"/>
      <c r="I19" s="50">
        <v>0.45</v>
      </c>
      <c r="J19" s="51"/>
      <c r="K19" s="49">
        <f>(G19+I19)*35%</f>
        <v>2.1734999999999998</v>
      </c>
      <c r="L19" s="69">
        <f>(G19+I19+J19)*25%</f>
        <v>1.5525</v>
      </c>
      <c r="M19" s="52"/>
      <c r="N19" s="52"/>
      <c r="O19" s="52"/>
      <c r="P19" s="53">
        <f t="shared" ref="P19" si="7">SUM(G19:O19)*2340</f>
        <v>23250.240000000002</v>
      </c>
      <c r="Q19" s="47">
        <v>46600</v>
      </c>
      <c r="R19" s="54" t="s">
        <v>41</v>
      </c>
      <c r="S19" s="55">
        <f>(T19)+(IF(U19=0,0,IF(U19&lt;7,1/2,1)))</f>
        <v>37</v>
      </c>
      <c r="T19" s="50">
        <v>36</v>
      </c>
      <c r="U19" s="50">
        <v>11</v>
      </c>
      <c r="V19" s="50">
        <f>(X19*12)+Y19</f>
        <v>23</v>
      </c>
      <c r="W19" s="56">
        <f>(X19)+(IF(Y19=0,0,IF(Y19&lt;7,1/2,1)))</f>
        <v>2</v>
      </c>
      <c r="X19" s="50">
        <v>1</v>
      </c>
      <c r="Y19" s="50">
        <v>11</v>
      </c>
      <c r="Z19" s="57">
        <f>V19*P19</f>
        <v>534755.52</v>
      </c>
      <c r="AA19" s="58"/>
      <c r="AB19" s="59"/>
      <c r="AC19" s="60"/>
      <c r="AD19" s="61"/>
      <c r="AE19" s="61"/>
      <c r="AF19" s="61"/>
      <c r="AG19" s="61"/>
      <c r="AH19" s="62">
        <f>ROUND(Z19+AA19,0)</f>
        <v>534756</v>
      </c>
      <c r="AI19" s="62">
        <v>0</v>
      </c>
      <c r="AJ19" s="63"/>
      <c r="AK19" s="64">
        <f>AH19+AI19+AJ19</f>
        <v>534756</v>
      </c>
    </row>
    <row r="20" spans="1:37" s="4" customFormat="1" ht="57" customHeight="1">
      <c r="A20" s="45">
        <v>3</v>
      </c>
      <c r="B20" s="70" t="s">
        <v>52</v>
      </c>
      <c r="C20" s="71">
        <v>23852</v>
      </c>
      <c r="D20" s="71"/>
      <c r="E20" s="72" t="s">
        <v>56</v>
      </c>
      <c r="F20" s="143" t="s">
        <v>57</v>
      </c>
      <c r="G20" s="50">
        <v>4.9800000000000004</v>
      </c>
      <c r="H20" s="52"/>
      <c r="I20" s="52">
        <v>0.35</v>
      </c>
      <c r="J20" s="49">
        <f>G20*8%</f>
        <v>0.39840000000000003</v>
      </c>
      <c r="K20" s="49">
        <f>(G20+I20+J20)*34%</f>
        <v>1.9476560000000001</v>
      </c>
      <c r="L20" s="74">
        <f>(G20+I20+J20)*25%</f>
        <v>1.4320999999999999</v>
      </c>
      <c r="M20" s="55"/>
      <c r="N20" s="52"/>
      <c r="O20" s="75"/>
      <c r="P20" s="53">
        <f>SUM(G20:O20)*2340</f>
        <v>21313.085039999998</v>
      </c>
      <c r="Q20" s="72">
        <v>46327</v>
      </c>
      <c r="R20" s="54" t="s">
        <v>41</v>
      </c>
      <c r="S20" s="55">
        <f t="shared" ref="S20" si="8">(T20)+(IF(U20=0,0,IF(U20&lt;7,1/2,1)))</f>
        <v>36</v>
      </c>
      <c r="T20" s="50">
        <v>35</v>
      </c>
      <c r="U20" s="50">
        <v>11</v>
      </c>
      <c r="V20" s="50">
        <f t="shared" ref="V20" si="9">(X20*12)+Y20</f>
        <v>14</v>
      </c>
      <c r="W20" s="56">
        <f t="shared" ref="W20" si="10">(X20)+(IF(Y20=0,0,IF(Y20&lt;7,1/2,1)))</f>
        <v>1.5</v>
      </c>
      <c r="X20" s="50">
        <v>1</v>
      </c>
      <c r="Y20" s="50">
        <v>2</v>
      </c>
      <c r="Z20" s="57">
        <f>V20*P20</f>
        <v>298383.19055999996</v>
      </c>
      <c r="AA20" s="58"/>
      <c r="AB20" s="59"/>
      <c r="AC20" s="59"/>
      <c r="AD20" s="60"/>
      <c r="AE20" s="76"/>
      <c r="AF20" s="59"/>
      <c r="AG20" s="77"/>
      <c r="AH20" s="62">
        <f>ROUND(Z20+AA20,0)</f>
        <v>298383</v>
      </c>
      <c r="AI20" s="62">
        <f>ROUND(AD20,0)</f>
        <v>0</v>
      </c>
      <c r="AJ20" s="62"/>
      <c r="AK20" s="64">
        <f t="shared" ref="AK20" si="11">AH20+AI20+AJ20</f>
        <v>298383</v>
      </c>
    </row>
    <row r="21" spans="1:37" s="29" customFormat="1" ht="32.25" customHeight="1">
      <c r="A21" s="65" t="s">
        <v>44</v>
      </c>
      <c r="B21" s="202" t="s">
        <v>99</v>
      </c>
      <c r="C21" s="202"/>
      <c r="D21" s="202"/>
      <c r="E21" s="202"/>
      <c r="F21" s="202"/>
      <c r="G21" s="66"/>
      <c r="H21" s="67"/>
      <c r="I21" s="67"/>
      <c r="J21" s="67"/>
      <c r="K21" s="66"/>
      <c r="L21" s="67"/>
      <c r="M21" s="67"/>
      <c r="N21" s="66"/>
      <c r="O21" s="66"/>
      <c r="P21" s="67"/>
      <c r="Q21" s="67"/>
      <c r="R21" s="66"/>
      <c r="S21" s="67"/>
      <c r="T21" s="67"/>
      <c r="U21" s="66"/>
      <c r="V21" s="67"/>
      <c r="W21" s="67"/>
      <c r="X21" s="67"/>
      <c r="Y21" s="67"/>
      <c r="Z21" s="68">
        <f>SUM(Z22:Z24)</f>
        <v>1537527.4200000002</v>
      </c>
      <c r="AA21" s="68">
        <f t="shared" ref="AA21:AJ21" si="12">SUM(AA22:AA24)</f>
        <v>1179124.83</v>
      </c>
      <c r="AB21" s="68">
        <f t="shared" si="12"/>
        <v>692101.8</v>
      </c>
      <c r="AC21" s="68">
        <f t="shared" si="12"/>
        <v>487023.03</v>
      </c>
      <c r="AD21" s="68">
        <f t="shared" si="12"/>
        <v>954333.9</v>
      </c>
      <c r="AE21" s="68">
        <f t="shared" si="12"/>
        <v>535766.4</v>
      </c>
      <c r="AF21" s="68">
        <f t="shared" si="12"/>
        <v>418567.5</v>
      </c>
      <c r="AG21" s="68">
        <f t="shared" si="12"/>
        <v>0</v>
      </c>
      <c r="AH21" s="68">
        <f>SUM(AH22:AH24)</f>
        <v>2716652</v>
      </c>
      <c r="AI21" s="68">
        <f t="shared" si="12"/>
        <v>954334</v>
      </c>
      <c r="AJ21" s="68">
        <f t="shared" si="12"/>
        <v>0</v>
      </c>
      <c r="AK21" s="68">
        <f>SUM(AK22:AK24)</f>
        <v>3670986</v>
      </c>
    </row>
    <row r="22" spans="1:37" s="18" customFormat="1" ht="39" customHeight="1">
      <c r="A22" s="45">
        <v>1</v>
      </c>
      <c r="B22" s="46" t="s">
        <v>86</v>
      </c>
      <c r="C22" s="47" t="s">
        <v>87</v>
      </c>
      <c r="D22" s="47" t="s">
        <v>115</v>
      </c>
      <c r="E22" s="47" t="s">
        <v>43</v>
      </c>
      <c r="F22" s="48" t="s">
        <v>92</v>
      </c>
      <c r="G22" s="49">
        <v>6.1</v>
      </c>
      <c r="H22" s="50"/>
      <c r="I22" s="50">
        <v>0.8</v>
      </c>
      <c r="J22" s="51"/>
      <c r="K22" s="49">
        <f>(G22+I22+J22)*23%</f>
        <v>1.587</v>
      </c>
      <c r="L22" s="69">
        <f>(G22+I22+J22)*30%</f>
        <v>2.0699999999999998</v>
      </c>
      <c r="M22" s="52"/>
      <c r="N22" s="52"/>
      <c r="O22" s="52"/>
      <c r="P22" s="53">
        <f t="shared" ref="P22:P24" si="13">SUM(G22:O22)*2340</f>
        <v>24703.38</v>
      </c>
      <c r="Q22" s="47">
        <v>47209</v>
      </c>
      <c r="R22" s="54" t="s">
        <v>41</v>
      </c>
      <c r="S22" s="55">
        <f>(T22)+(IF(U22=0,0,IF(U22&lt;7,1/2,1)))</f>
        <v>32</v>
      </c>
      <c r="T22" s="50">
        <v>31</v>
      </c>
      <c r="U22" s="50">
        <v>10</v>
      </c>
      <c r="V22" s="50">
        <f>(X22*12)+Y22</f>
        <v>43</v>
      </c>
      <c r="W22" s="56">
        <f>(X22)+(IF(Y22=0,0,IF(Y22&lt;7,1/2,1)))</f>
        <v>4</v>
      </c>
      <c r="X22" s="50">
        <v>3</v>
      </c>
      <c r="Y22" s="50">
        <v>7</v>
      </c>
      <c r="Z22" s="57">
        <f>V22*P22</f>
        <v>1062245.3400000001</v>
      </c>
      <c r="AA22" s="58">
        <f t="shared" ref="AA22" si="14">SUM(AB22:AC22)</f>
        <v>802859.85000000009</v>
      </c>
      <c r="AB22" s="59">
        <f>5*W22*P22</f>
        <v>494067.60000000003</v>
      </c>
      <c r="AC22" s="60">
        <f t="shared" ref="AC22" si="15">SUM(4*P22)+(0.5*(S22-15)*P22)</f>
        <v>308792.25</v>
      </c>
      <c r="AD22" s="61"/>
      <c r="AE22" s="61"/>
      <c r="AF22" s="61"/>
      <c r="AG22" s="61"/>
      <c r="AH22" s="62">
        <f>ROUND(Z22+AA22,0)</f>
        <v>1865105</v>
      </c>
      <c r="AI22" s="62">
        <f>ROUND(AD22,0)</f>
        <v>0</v>
      </c>
      <c r="AJ22" s="63"/>
      <c r="AK22" s="64">
        <f>AH22+AI22+AJ22</f>
        <v>1865105</v>
      </c>
    </row>
    <row r="23" spans="1:37" s="18" customFormat="1" ht="45" customHeight="1">
      <c r="A23" s="45">
        <v>2</v>
      </c>
      <c r="B23" s="46" t="s">
        <v>88</v>
      </c>
      <c r="C23" s="47" t="s">
        <v>89</v>
      </c>
      <c r="D23" s="47" t="s">
        <v>115</v>
      </c>
      <c r="E23" s="47" t="s">
        <v>93</v>
      </c>
      <c r="F23" s="48" t="s">
        <v>126</v>
      </c>
      <c r="G23" s="49">
        <v>4.03</v>
      </c>
      <c r="H23" s="50"/>
      <c r="I23" s="50"/>
      <c r="J23" s="49">
        <f>G23*20%</f>
        <v>0.80600000000000005</v>
      </c>
      <c r="K23" s="51"/>
      <c r="L23" s="52"/>
      <c r="M23" s="52"/>
      <c r="N23" s="52"/>
      <c r="O23" s="52"/>
      <c r="P23" s="53">
        <f t="shared" si="13"/>
        <v>11316.240000000002</v>
      </c>
      <c r="Q23" s="47">
        <v>47178</v>
      </c>
      <c r="R23" s="54" t="s">
        <v>41</v>
      </c>
      <c r="S23" s="55">
        <f>(T23)+(IF(U23=0,0,IF(U23&lt;7,1/2,1)))</f>
        <v>38.5</v>
      </c>
      <c r="T23" s="50">
        <v>38</v>
      </c>
      <c r="U23" s="50">
        <v>6</v>
      </c>
      <c r="V23" s="50">
        <f>(X23*12)+Y23</f>
        <v>42</v>
      </c>
      <c r="W23" s="56">
        <f>(X23)+(IF(Y23=0,0,IF(Y23&lt;7,1/2,1)))</f>
        <v>3.5</v>
      </c>
      <c r="X23" s="50">
        <v>3</v>
      </c>
      <c r="Y23" s="50">
        <v>6</v>
      </c>
      <c r="Z23" s="57">
        <f>V23*P23</f>
        <v>475282.08000000007</v>
      </c>
      <c r="AA23" s="58">
        <f t="shared" ref="AA23" si="16">SUM(AB23:AC23)</f>
        <v>376264.9800000001</v>
      </c>
      <c r="AB23" s="59">
        <f>5*W23*P23</f>
        <v>198034.20000000004</v>
      </c>
      <c r="AC23" s="60">
        <f t="shared" ref="AC23" si="17">SUM(4*P23)+(0.5*(S23-15)*P23)</f>
        <v>178230.78000000003</v>
      </c>
      <c r="AD23" s="61"/>
      <c r="AE23" s="61"/>
      <c r="AF23" s="61"/>
      <c r="AG23" s="61"/>
      <c r="AH23" s="62">
        <f>ROUND(Z23+AA23,0)</f>
        <v>851547</v>
      </c>
      <c r="AI23" s="62">
        <f>ROUND(AD23,0)</f>
        <v>0</v>
      </c>
      <c r="AJ23" s="63"/>
      <c r="AK23" s="64">
        <f>AH23+AI23+AJ23</f>
        <v>851547</v>
      </c>
    </row>
    <row r="24" spans="1:37" s="4" customFormat="1" ht="57" customHeight="1">
      <c r="A24" s="45">
        <v>3</v>
      </c>
      <c r="B24" s="70" t="s">
        <v>90</v>
      </c>
      <c r="C24" s="71" t="s">
        <v>91</v>
      </c>
      <c r="D24" s="71" t="s">
        <v>114</v>
      </c>
      <c r="E24" s="72" t="s">
        <v>36</v>
      </c>
      <c r="F24" s="143" t="s">
        <v>127</v>
      </c>
      <c r="G24" s="50">
        <v>4.32</v>
      </c>
      <c r="H24" s="52"/>
      <c r="I24" s="52">
        <v>0.45</v>
      </c>
      <c r="J24" s="51"/>
      <c r="K24" s="51"/>
      <c r="L24" s="52"/>
      <c r="M24" s="55"/>
      <c r="N24" s="52"/>
      <c r="O24" s="75"/>
      <c r="P24" s="53">
        <f t="shared" si="13"/>
        <v>11161.800000000001</v>
      </c>
      <c r="Q24" s="72">
        <v>50771</v>
      </c>
      <c r="R24" s="54" t="s">
        <v>41</v>
      </c>
      <c r="S24" s="55">
        <f t="shared" ref="S24" si="18">(T24)+(IF(U24=0,0,IF(U24&lt;7,1/2,1)))</f>
        <v>25</v>
      </c>
      <c r="T24" s="50">
        <v>24</v>
      </c>
      <c r="U24" s="50">
        <v>11</v>
      </c>
      <c r="V24" s="50">
        <f t="shared" ref="V24" si="19">(X24*12)+Y24</f>
        <v>160</v>
      </c>
      <c r="W24" s="56">
        <f t="shared" ref="W24" si="20">(X24)+(IF(Y24=0,0,IF(Y24&lt;7,1/2,1)))</f>
        <v>13.5</v>
      </c>
      <c r="X24" s="50">
        <v>13</v>
      </c>
      <c r="Y24" s="50">
        <v>4</v>
      </c>
      <c r="Z24" s="57"/>
      <c r="AA24" s="58"/>
      <c r="AB24" s="59"/>
      <c r="AC24" s="59"/>
      <c r="AD24" s="60">
        <f t="shared" ref="AD24" si="21">AE24+AF24+AG24</f>
        <v>954333.9</v>
      </c>
      <c r="AE24" s="76">
        <f t="shared" ref="AE24" si="22">0.8*60*P24</f>
        <v>535766.4</v>
      </c>
      <c r="AF24" s="59">
        <f t="shared" ref="AF24" si="23">1.5*P24*S24</f>
        <v>418567.5</v>
      </c>
      <c r="AG24" s="77"/>
      <c r="AH24" s="62">
        <f>ROUND(Z24+AA24,0)</f>
        <v>0</v>
      </c>
      <c r="AI24" s="62">
        <f>ROUND(AD24,0)</f>
        <v>954334</v>
      </c>
      <c r="AJ24" s="62"/>
      <c r="AK24" s="64">
        <f t="shared" ref="AK24" si="24">AH24+AI24+AJ24</f>
        <v>954334</v>
      </c>
    </row>
    <row r="25" spans="1:37" s="29" customFormat="1" ht="32.25" customHeight="1">
      <c r="A25" s="65" t="s">
        <v>45</v>
      </c>
      <c r="B25" s="202" t="s">
        <v>104</v>
      </c>
      <c r="C25" s="202"/>
      <c r="D25" s="202"/>
      <c r="E25" s="202"/>
      <c r="F25" s="202"/>
      <c r="G25" s="66"/>
      <c r="H25" s="67"/>
      <c r="I25" s="67"/>
      <c r="J25" s="67"/>
      <c r="K25" s="66"/>
      <c r="L25" s="67"/>
      <c r="M25" s="67"/>
      <c r="N25" s="66"/>
      <c r="O25" s="66"/>
      <c r="P25" s="67"/>
      <c r="Q25" s="67"/>
      <c r="R25" s="66"/>
      <c r="S25" s="67"/>
      <c r="T25" s="67"/>
      <c r="U25" s="66"/>
      <c r="V25" s="67"/>
      <c r="W25" s="67"/>
      <c r="X25" s="67"/>
      <c r="Y25" s="67"/>
      <c r="Z25" s="68">
        <f t="shared" ref="Z25:AJ25" si="25">SUM(Z26:Z40)</f>
        <v>11448928.305360002</v>
      </c>
      <c r="AA25" s="68">
        <f t="shared" si="25"/>
        <v>8139890.7731700009</v>
      </c>
      <c r="AB25" s="68">
        <f t="shared" si="25"/>
        <v>5192835.4810800003</v>
      </c>
      <c r="AC25" s="68">
        <f t="shared" si="25"/>
        <v>2947055.2920900006</v>
      </c>
      <c r="AD25" s="68">
        <f t="shared" si="25"/>
        <v>1701658.5300000003</v>
      </c>
      <c r="AE25" s="68">
        <f t="shared" si="25"/>
        <v>922933.44000000018</v>
      </c>
      <c r="AF25" s="68">
        <f t="shared" si="25"/>
        <v>778725.0900000002</v>
      </c>
      <c r="AG25" s="68">
        <f t="shared" si="25"/>
        <v>0</v>
      </c>
      <c r="AH25" s="68">
        <f>SUM(AH26:AH40)</f>
        <v>19588820</v>
      </c>
      <c r="AI25" s="68">
        <f t="shared" si="25"/>
        <v>1701659</v>
      </c>
      <c r="AJ25" s="68">
        <f t="shared" si="25"/>
        <v>0</v>
      </c>
      <c r="AK25" s="68">
        <f>SUM(AK26:AK40)</f>
        <v>21290479</v>
      </c>
    </row>
    <row r="26" spans="1:37" s="4" customFormat="1" ht="56.25" customHeight="1">
      <c r="A26" s="144">
        <v>1</v>
      </c>
      <c r="B26" s="145" t="s">
        <v>58</v>
      </c>
      <c r="C26" s="71">
        <v>24295</v>
      </c>
      <c r="D26" s="71" t="s">
        <v>115</v>
      </c>
      <c r="E26" s="72" t="s">
        <v>72</v>
      </c>
      <c r="F26" s="143" t="s">
        <v>125</v>
      </c>
      <c r="G26" s="50">
        <v>6.78</v>
      </c>
      <c r="H26" s="52"/>
      <c r="I26" s="52">
        <v>0.7</v>
      </c>
      <c r="J26" s="51"/>
      <c r="K26" s="52">
        <f>(G26+J26+I26)*35%</f>
        <v>2.6179999999999999</v>
      </c>
      <c r="L26" s="69">
        <f t="shared" ref="L26:L35" si="26">(G26+I26+J26)*40%</f>
        <v>2.9920000000000004</v>
      </c>
      <c r="M26" s="55"/>
      <c r="N26" s="52"/>
      <c r="O26" s="75"/>
      <c r="P26" s="53">
        <f t="shared" ref="P26" si="27">SUM(G26:O26)*2340</f>
        <v>30630.600000000002</v>
      </c>
      <c r="Q26" s="72">
        <v>46966</v>
      </c>
      <c r="R26" s="54" t="s">
        <v>41</v>
      </c>
      <c r="S26" s="55">
        <f t="shared" ref="S26" si="28">(T26)+(IF(U26=0,0,IF(U26&lt;7,1/2,1)))</f>
        <v>39</v>
      </c>
      <c r="T26" s="50">
        <v>38</v>
      </c>
      <c r="U26" s="50">
        <v>11</v>
      </c>
      <c r="V26" s="50">
        <f t="shared" ref="V26" si="29">(X26*12)+Y26</f>
        <v>35</v>
      </c>
      <c r="W26" s="56">
        <f t="shared" ref="W26" si="30">(X26)+(IF(Y26=0,0,IF(Y26&lt;7,1/2,1)))</f>
        <v>3</v>
      </c>
      <c r="X26" s="50">
        <v>2</v>
      </c>
      <c r="Y26" s="50">
        <v>11</v>
      </c>
      <c r="Z26" s="57">
        <f>V26*P26</f>
        <v>1072071</v>
      </c>
      <c r="AA26" s="58">
        <f t="shared" ref="AA26" si="31">SUM(AB26:AC26)</f>
        <v>949548.60000000009</v>
      </c>
      <c r="AB26" s="59">
        <f>5*W26*P26</f>
        <v>459459.00000000006</v>
      </c>
      <c r="AC26" s="60">
        <f t="shared" ref="AC26" si="32">SUM(4*P26)+(0.5*(S26-15)*P26)</f>
        <v>490089.60000000003</v>
      </c>
      <c r="AD26" s="60"/>
      <c r="AE26" s="76"/>
      <c r="AF26" s="59"/>
      <c r="AG26" s="77"/>
      <c r="AH26" s="62">
        <f t="shared" ref="AH26:AH40" si="33">ROUND(Z26+AA26,0)</f>
        <v>2021620</v>
      </c>
      <c r="AI26" s="62">
        <f t="shared" ref="AI26:AI40" si="34">ROUND(AD26,0)</f>
        <v>0</v>
      </c>
      <c r="AJ26" s="62"/>
      <c r="AK26" s="64">
        <f t="shared" ref="AK26" si="35">AH26+AI26+AJ26</f>
        <v>2021620</v>
      </c>
    </row>
    <row r="27" spans="1:37" s="18" customFormat="1" ht="66.75" customHeight="1">
      <c r="A27" s="45">
        <v>2</v>
      </c>
      <c r="B27" s="46" t="s">
        <v>59</v>
      </c>
      <c r="C27" s="47">
        <v>25381</v>
      </c>
      <c r="D27" s="47" t="s">
        <v>115</v>
      </c>
      <c r="E27" s="47" t="s">
        <v>73</v>
      </c>
      <c r="F27" s="48" t="s">
        <v>74</v>
      </c>
      <c r="G27" s="49">
        <v>4.9800000000000004</v>
      </c>
      <c r="H27" s="50"/>
      <c r="I27" s="50">
        <v>0.25</v>
      </c>
      <c r="J27" s="78">
        <f>G27*12%</f>
        <v>0.59760000000000002</v>
      </c>
      <c r="K27" s="52">
        <f>(G27+J27+I27)*33%</f>
        <v>1.9231080000000003</v>
      </c>
      <c r="L27" s="69">
        <f t="shared" si="26"/>
        <v>2.3310400000000002</v>
      </c>
      <c r="M27" s="52"/>
      <c r="N27" s="52"/>
      <c r="O27" s="52"/>
      <c r="P27" s="53">
        <f t="shared" ref="P27" si="36">SUM(G27:O27)*2340</f>
        <v>23591.290320000004</v>
      </c>
      <c r="Q27" s="47">
        <v>48030</v>
      </c>
      <c r="R27" s="54" t="s">
        <v>41</v>
      </c>
      <c r="S27" s="55">
        <f>(T27)+(IF(U27=0,0,IF(U27&lt;7,1/2,1)))</f>
        <v>34.5</v>
      </c>
      <c r="T27" s="50">
        <v>34</v>
      </c>
      <c r="U27" s="50">
        <v>3</v>
      </c>
      <c r="V27" s="50">
        <f>(X27*12)+Y27</f>
        <v>70</v>
      </c>
      <c r="W27" s="56">
        <f>(X27)+(IF(Y27=0,0,IF(Y27&lt;7,1/2,1)))</f>
        <v>6</v>
      </c>
      <c r="X27" s="50">
        <v>5</v>
      </c>
      <c r="Y27" s="50">
        <v>10</v>
      </c>
      <c r="Z27" s="57">
        <f>0.9*60*P27</f>
        <v>1273929.6772800002</v>
      </c>
      <c r="AA27" s="58">
        <f t="shared" ref="AA27:AA28" si="37">SUM(AB27:AC27)</f>
        <v>890571.20958000014</v>
      </c>
      <c r="AB27" s="59">
        <f>4*W27*P27</f>
        <v>566190.96768000012</v>
      </c>
      <c r="AC27" s="60">
        <f t="shared" ref="AC27:AC28" si="38">SUM(4*P27)+(0.5*(S27-15)*P27)</f>
        <v>324380.24190000002</v>
      </c>
      <c r="AD27" s="61"/>
      <c r="AE27" s="61"/>
      <c r="AF27" s="61"/>
      <c r="AG27" s="61"/>
      <c r="AH27" s="62">
        <f t="shared" si="33"/>
        <v>2164501</v>
      </c>
      <c r="AI27" s="62">
        <f t="shared" si="34"/>
        <v>0</v>
      </c>
      <c r="AJ27" s="63"/>
      <c r="AK27" s="64">
        <f>AH27+AI27+AJ27</f>
        <v>2164501</v>
      </c>
    </row>
    <row r="28" spans="1:37" s="4" customFormat="1" ht="65.25" customHeight="1">
      <c r="A28" s="45">
        <v>3</v>
      </c>
      <c r="B28" s="70" t="s">
        <v>60</v>
      </c>
      <c r="C28" s="71">
        <v>27384</v>
      </c>
      <c r="D28" s="71" t="s">
        <v>114</v>
      </c>
      <c r="E28" s="72" t="s">
        <v>124</v>
      </c>
      <c r="F28" s="143" t="s">
        <v>75</v>
      </c>
      <c r="G28" s="50">
        <v>4.9800000000000004</v>
      </c>
      <c r="H28" s="52"/>
      <c r="I28" s="52"/>
      <c r="J28" s="78">
        <f>G28*5%</f>
        <v>0.24900000000000003</v>
      </c>
      <c r="K28" s="78">
        <f>(G28+J28)*27%</f>
        <v>1.4118300000000001</v>
      </c>
      <c r="L28" s="78">
        <f t="shared" si="26"/>
        <v>2.0916000000000001</v>
      </c>
      <c r="M28" s="55"/>
      <c r="N28" s="52"/>
      <c r="O28" s="75"/>
      <c r="P28" s="53">
        <f>SUM(G28:O28)*2340</f>
        <v>20433.886200000001</v>
      </c>
      <c r="Q28" s="72">
        <v>49188</v>
      </c>
      <c r="R28" s="54" t="s">
        <v>41</v>
      </c>
      <c r="S28" s="55">
        <f t="shared" ref="S28" si="39">(T28)+(IF(U28=0,0,IF(U28&lt;7,1/2,1)))</f>
        <v>29</v>
      </c>
      <c r="T28" s="50">
        <v>29</v>
      </c>
      <c r="U28" s="50"/>
      <c r="V28" s="50">
        <f t="shared" ref="V28" si="40">(X28*12)+Y28</f>
        <v>108</v>
      </c>
      <c r="W28" s="56">
        <f t="shared" ref="W28" si="41">(X28)+(IF(Y28=0,0,IF(Y28&lt;7,1/2,1)))</f>
        <v>9</v>
      </c>
      <c r="X28" s="50">
        <v>9</v>
      </c>
      <c r="Y28" s="50">
        <v>0</v>
      </c>
      <c r="Z28" s="57">
        <f>0.9*60*P28</f>
        <v>1103429.8548000001</v>
      </c>
      <c r="AA28" s="58">
        <f t="shared" si="37"/>
        <v>960392.65140000009</v>
      </c>
      <c r="AB28" s="59">
        <f>4*W28*P28</f>
        <v>735619.90320000006</v>
      </c>
      <c r="AC28" s="60">
        <f t="shared" si="38"/>
        <v>224772.7482</v>
      </c>
      <c r="AD28" s="60"/>
      <c r="AE28" s="76"/>
      <c r="AF28" s="59"/>
      <c r="AG28" s="77"/>
      <c r="AH28" s="62">
        <f t="shared" si="33"/>
        <v>2063823</v>
      </c>
      <c r="AI28" s="62">
        <f t="shared" si="34"/>
        <v>0</v>
      </c>
      <c r="AJ28" s="62"/>
      <c r="AK28" s="64">
        <f t="shared" ref="AK28" si="42">AH28+AI28+AJ28</f>
        <v>2063823</v>
      </c>
    </row>
    <row r="29" spans="1:37" s="18" customFormat="1" ht="61.5" customHeight="1">
      <c r="A29" s="45">
        <v>4</v>
      </c>
      <c r="B29" s="46" t="s">
        <v>61</v>
      </c>
      <c r="C29" s="47">
        <v>24479</v>
      </c>
      <c r="D29" s="47" t="s">
        <v>115</v>
      </c>
      <c r="E29" s="47" t="s">
        <v>123</v>
      </c>
      <c r="F29" s="48" t="s">
        <v>75</v>
      </c>
      <c r="G29" s="49">
        <v>4.9800000000000004</v>
      </c>
      <c r="H29" s="50"/>
      <c r="I29" s="50"/>
      <c r="J29" s="52">
        <f>G29*11%</f>
        <v>0.54780000000000006</v>
      </c>
      <c r="K29" s="52">
        <f>(G29+J29)*34%</f>
        <v>1.8794520000000003</v>
      </c>
      <c r="L29" s="69">
        <f t="shared" si="26"/>
        <v>2.2111200000000006</v>
      </c>
      <c r="M29" s="52"/>
      <c r="N29" s="52"/>
      <c r="O29" s="52"/>
      <c r="P29" s="53">
        <f t="shared" ref="P29:P32" si="43">SUM(G29:O29)*2340</f>
        <v>22506.990480000008</v>
      </c>
      <c r="Q29" s="47">
        <v>47150</v>
      </c>
      <c r="R29" s="54" t="s">
        <v>41</v>
      </c>
      <c r="S29" s="55">
        <f>(T29)+(IF(U29=0,0,IF(U29&lt;7,1/2,1)))</f>
        <v>38</v>
      </c>
      <c r="T29" s="50">
        <v>37</v>
      </c>
      <c r="U29" s="50">
        <v>10</v>
      </c>
      <c r="V29" s="50">
        <f>(X29*12)+Y29</f>
        <v>41</v>
      </c>
      <c r="W29" s="56">
        <f>(X29)+(IF(Y29=0,0,IF(Y29&lt;7,1/2,1)))</f>
        <v>3.5</v>
      </c>
      <c r="X29" s="50">
        <v>3</v>
      </c>
      <c r="Y29" s="50">
        <v>5</v>
      </c>
      <c r="Z29" s="57">
        <f>V29*P29</f>
        <v>922786.60968000034</v>
      </c>
      <c r="AA29" s="58">
        <f t="shared" ref="AA29" si="44">SUM(AB29:AC29)</f>
        <v>742730.68584000017</v>
      </c>
      <c r="AB29" s="59">
        <f>5*W29*P29</f>
        <v>393872.33340000012</v>
      </c>
      <c r="AC29" s="60">
        <f t="shared" ref="AC29" si="45">SUM(4*P29)+(0.5*(S29-15)*P29)</f>
        <v>348858.3524400001</v>
      </c>
      <c r="AD29" s="61"/>
      <c r="AE29" s="61"/>
      <c r="AF29" s="61"/>
      <c r="AG29" s="61"/>
      <c r="AH29" s="62">
        <f t="shared" si="33"/>
        <v>1665517</v>
      </c>
      <c r="AI29" s="62">
        <f t="shared" si="34"/>
        <v>0</v>
      </c>
      <c r="AJ29" s="63"/>
      <c r="AK29" s="64">
        <f>AH29+AI29+AJ29</f>
        <v>1665517</v>
      </c>
    </row>
    <row r="30" spans="1:37" s="18" customFormat="1" ht="60.75" customHeight="1">
      <c r="A30" s="45">
        <v>5</v>
      </c>
      <c r="B30" s="46" t="s">
        <v>62</v>
      </c>
      <c r="C30" s="47">
        <v>25850</v>
      </c>
      <c r="D30" s="47" t="s">
        <v>114</v>
      </c>
      <c r="E30" s="47" t="s">
        <v>76</v>
      </c>
      <c r="F30" s="48" t="s">
        <v>77</v>
      </c>
      <c r="G30" s="49">
        <v>6.1</v>
      </c>
      <c r="H30" s="50"/>
      <c r="I30" s="50">
        <v>0.45</v>
      </c>
      <c r="J30" s="51"/>
      <c r="K30" s="52">
        <f>(G30+J30+I30)*30%</f>
        <v>1.9649999999999999</v>
      </c>
      <c r="L30" s="69">
        <f t="shared" si="26"/>
        <v>2.62</v>
      </c>
      <c r="M30" s="52"/>
      <c r="N30" s="52"/>
      <c r="O30" s="52"/>
      <c r="P30" s="53">
        <f t="shared" ref="P30:P31" si="46">SUM(G30:O30)*2340</f>
        <v>26055.900000000005</v>
      </c>
      <c r="Q30" s="47">
        <v>46935</v>
      </c>
      <c r="R30" s="54" t="s">
        <v>41</v>
      </c>
      <c r="S30" s="55">
        <f>(T30)+(IF(U30=0,0,IF(U30&lt;7,1/2,1)))</f>
        <v>32</v>
      </c>
      <c r="T30" s="50">
        <v>31</v>
      </c>
      <c r="U30" s="50">
        <v>10</v>
      </c>
      <c r="V30" s="50">
        <f>(X30*12)+Y30</f>
        <v>34</v>
      </c>
      <c r="W30" s="56">
        <f>(X30)+(IF(Y30=0,0,IF(Y30&lt;7,1/2,1)))</f>
        <v>3</v>
      </c>
      <c r="X30" s="50">
        <v>2</v>
      </c>
      <c r="Y30" s="50">
        <v>10</v>
      </c>
      <c r="Z30" s="57">
        <f>V30*P30</f>
        <v>885900.60000000021</v>
      </c>
      <c r="AA30" s="58">
        <f t="shared" ref="AA30" si="47">SUM(AB30:AC30)</f>
        <v>716537.25000000012</v>
      </c>
      <c r="AB30" s="59">
        <f>5*W30*P30</f>
        <v>390838.50000000006</v>
      </c>
      <c r="AC30" s="60">
        <f t="shared" ref="AC30" si="48">SUM(4*P30)+(0.5*(S30-15)*P30)</f>
        <v>325698.75000000006</v>
      </c>
      <c r="AD30" s="61"/>
      <c r="AE30" s="61"/>
      <c r="AF30" s="61"/>
      <c r="AG30" s="61"/>
      <c r="AH30" s="62">
        <f t="shared" si="33"/>
        <v>1602438</v>
      </c>
      <c r="AI30" s="62">
        <f t="shared" si="34"/>
        <v>0</v>
      </c>
      <c r="AJ30" s="63"/>
      <c r="AK30" s="64">
        <f>AH30+AI30+AJ30</f>
        <v>1602438</v>
      </c>
    </row>
    <row r="31" spans="1:37" s="4" customFormat="1" ht="48" customHeight="1">
      <c r="A31" s="45">
        <v>6</v>
      </c>
      <c r="B31" s="70" t="s">
        <v>63</v>
      </c>
      <c r="C31" s="71">
        <v>26166</v>
      </c>
      <c r="D31" s="71" t="s">
        <v>114</v>
      </c>
      <c r="E31" s="72" t="s">
        <v>122</v>
      </c>
      <c r="F31" s="73" t="s">
        <v>75</v>
      </c>
      <c r="G31" s="50">
        <v>4.9800000000000004</v>
      </c>
      <c r="H31" s="52"/>
      <c r="I31" s="52"/>
      <c r="J31" s="51"/>
      <c r="K31" s="52">
        <f>(G31+J31+I31)*27%</f>
        <v>1.3446000000000002</v>
      </c>
      <c r="L31" s="69">
        <f t="shared" si="26"/>
        <v>1.9920000000000002</v>
      </c>
      <c r="M31" s="55"/>
      <c r="N31" s="52"/>
      <c r="O31" s="75"/>
      <c r="P31" s="53">
        <f t="shared" si="46"/>
        <v>19460.844000000001</v>
      </c>
      <c r="Q31" s="72">
        <v>47362</v>
      </c>
      <c r="R31" s="54" t="s">
        <v>41</v>
      </c>
      <c r="S31" s="55">
        <f t="shared" ref="S31:S32" si="49">(T31)+(IF(U31=0,0,IF(U31&lt;7,1/2,1)))</f>
        <v>30</v>
      </c>
      <c r="T31" s="50">
        <v>29</v>
      </c>
      <c r="U31" s="50">
        <v>11</v>
      </c>
      <c r="V31" s="50">
        <f t="shared" ref="V31:V32" si="50">(X31*12)+Y31</f>
        <v>48</v>
      </c>
      <c r="W31" s="56">
        <f t="shared" ref="W31:W32" si="51">(X31)+(IF(Y31=0,0,IF(Y31&lt;7,1/2,1)))</f>
        <v>4</v>
      </c>
      <c r="X31" s="50">
        <v>4</v>
      </c>
      <c r="Y31" s="50"/>
      <c r="Z31" s="57">
        <f>V31*P31</f>
        <v>934120.5120000001</v>
      </c>
      <c r="AA31" s="58">
        <f t="shared" ref="AA31:AA32" si="52">SUM(AB31:AC31)</f>
        <v>613016.58600000001</v>
      </c>
      <c r="AB31" s="59">
        <f>5*W31*P31</f>
        <v>389216.88</v>
      </c>
      <c r="AC31" s="60">
        <f t="shared" ref="AC31:AC32" si="53">SUM(4*P31)+(0.5*(S31-15)*P31)</f>
        <v>223799.70600000001</v>
      </c>
      <c r="AD31" s="60"/>
      <c r="AE31" s="76"/>
      <c r="AF31" s="59"/>
      <c r="AG31" s="77"/>
      <c r="AH31" s="62">
        <f t="shared" si="33"/>
        <v>1547137</v>
      </c>
      <c r="AI31" s="62">
        <f t="shared" si="34"/>
        <v>0</v>
      </c>
      <c r="AJ31" s="62"/>
      <c r="AK31" s="64">
        <f t="shared" ref="AK31:AK32" si="54">AH31+AI31+AJ31</f>
        <v>1547137</v>
      </c>
    </row>
    <row r="32" spans="1:37" s="4" customFormat="1" ht="67.5" customHeight="1">
      <c r="A32" s="45">
        <v>7</v>
      </c>
      <c r="B32" s="70" t="s">
        <v>64</v>
      </c>
      <c r="C32" s="71">
        <v>25192</v>
      </c>
      <c r="D32" s="71" t="s">
        <v>115</v>
      </c>
      <c r="E32" s="72" t="s">
        <v>78</v>
      </c>
      <c r="F32" s="143" t="s">
        <v>121</v>
      </c>
      <c r="G32" s="50">
        <v>4.9800000000000004</v>
      </c>
      <c r="H32" s="52"/>
      <c r="I32" s="52">
        <v>0.45</v>
      </c>
      <c r="J32" s="52">
        <f>G32*13%</f>
        <v>0.64740000000000009</v>
      </c>
      <c r="K32" s="52">
        <f>(G32+J32+I32)*25%</f>
        <v>1.5193500000000002</v>
      </c>
      <c r="L32" s="69">
        <f t="shared" si="26"/>
        <v>2.4309600000000007</v>
      </c>
      <c r="M32" s="55"/>
      <c r="N32" s="52"/>
      <c r="O32" s="75"/>
      <c r="P32" s="53">
        <f t="shared" si="43"/>
        <v>23464.841400000005</v>
      </c>
      <c r="Q32" s="72">
        <v>47849</v>
      </c>
      <c r="R32" s="54" t="s">
        <v>41</v>
      </c>
      <c r="S32" s="55">
        <f t="shared" si="49"/>
        <v>33.5</v>
      </c>
      <c r="T32" s="50">
        <v>33</v>
      </c>
      <c r="U32" s="50">
        <v>3</v>
      </c>
      <c r="V32" s="50">
        <f t="shared" si="50"/>
        <v>64</v>
      </c>
      <c r="W32" s="56">
        <f t="shared" si="51"/>
        <v>5.5</v>
      </c>
      <c r="X32" s="50">
        <v>5</v>
      </c>
      <c r="Y32" s="50">
        <v>4</v>
      </c>
      <c r="Z32" s="57">
        <f>0.9*60*P32</f>
        <v>1267101.4356000002</v>
      </c>
      <c r="AA32" s="58">
        <f t="shared" si="52"/>
        <v>827135.65935000009</v>
      </c>
      <c r="AB32" s="59">
        <f>4*W32*P32</f>
        <v>516226.51080000011</v>
      </c>
      <c r="AC32" s="60">
        <f t="shared" si="53"/>
        <v>310909.14855000004</v>
      </c>
      <c r="AD32" s="60"/>
      <c r="AE32" s="76"/>
      <c r="AF32" s="59"/>
      <c r="AG32" s="77"/>
      <c r="AH32" s="62">
        <f t="shared" si="33"/>
        <v>2094237</v>
      </c>
      <c r="AI32" s="62">
        <f t="shared" si="34"/>
        <v>0</v>
      </c>
      <c r="AJ32" s="62"/>
      <c r="AK32" s="64">
        <f t="shared" si="54"/>
        <v>2094237</v>
      </c>
    </row>
    <row r="33" spans="1:37" s="18" customFormat="1" ht="51" customHeight="1">
      <c r="A33" s="45">
        <v>8</v>
      </c>
      <c r="B33" s="46" t="s">
        <v>65</v>
      </c>
      <c r="C33" s="47">
        <v>27287</v>
      </c>
      <c r="D33" s="47" t="s">
        <v>114</v>
      </c>
      <c r="E33" s="47" t="s">
        <v>78</v>
      </c>
      <c r="F33" s="48" t="s">
        <v>106</v>
      </c>
      <c r="G33" s="49">
        <v>4.9800000000000004</v>
      </c>
      <c r="H33" s="50"/>
      <c r="I33" s="50">
        <v>0.35</v>
      </c>
      <c r="J33" s="52"/>
      <c r="K33" s="52">
        <f>(G33+J33+I33)*29%</f>
        <v>1.5456999999999999</v>
      </c>
      <c r="L33" s="69">
        <f t="shared" si="26"/>
        <v>2.1320000000000001</v>
      </c>
      <c r="M33" s="52"/>
      <c r="N33" s="52"/>
      <c r="O33" s="52"/>
      <c r="P33" s="53">
        <f>SUM(G33:O33)*2340</f>
        <v>21078.018</v>
      </c>
      <c r="Q33" s="47">
        <v>49096</v>
      </c>
      <c r="R33" s="54" t="s">
        <v>41</v>
      </c>
      <c r="S33" s="55">
        <f>(T33)+(IF(U33=0,0,IF(U33&lt;7,1/2,1)))</f>
        <v>31</v>
      </c>
      <c r="T33" s="50">
        <v>30</v>
      </c>
      <c r="U33" s="50">
        <v>9</v>
      </c>
      <c r="V33" s="50">
        <f t="shared" ref="V33:V40" si="55">(X33*12)+Y33</f>
        <v>105</v>
      </c>
      <c r="W33" s="56">
        <f>(X33)+(IF(Y33=0,0,IF(Y33&lt;7,1/2,1)))</f>
        <v>9</v>
      </c>
      <c r="X33" s="50">
        <v>8</v>
      </c>
      <c r="Y33" s="50">
        <v>9</v>
      </c>
      <c r="Z33" s="57">
        <f t="shared" ref="Z33" si="56">0.9*60*P33</f>
        <v>1138212.9720000001</v>
      </c>
      <c r="AA33" s="58">
        <f t="shared" ref="AA33" si="57">SUM(AB33:AC33)</f>
        <v>1011744.8640000001</v>
      </c>
      <c r="AB33" s="59">
        <f>4*W33*P33</f>
        <v>758808.64800000004</v>
      </c>
      <c r="AC33" s="60">
        <f t="shared" ref="AC33" si="58">SUM(4*P33)+(0.5*(S33-15)*P33)</f>
        <v>252936.21600000001</v>
      </c>
      <c r="AD33" s="61"/>
      <c r="AE33" s="61"/>
      <c r="AF33" s="61"/>
      <c r="AG33" s="61"/>
      <c r="AH33" s="62">
        <f t="shared" si="33"/>
        <v>2149958</v>
      </c>
      <c r="AI33" s="62">
        <f t="shared" si="34"/>
        <v>0</v>
      </c>
      <c r="AJ33" s="63"/>
      <c r="AK33" s="64">
        <f>AH33+AI33+AJ33</f>
        <v>2149958</v>
      </c>
    </row>
    <row r="34" spans="1:37" ht="60.75" customHeight="1">
      <c r="A34" s="45">
        <v>9</v>
      </c>
      <c r="B34" s="46" t="s">
        <v>66</v>
      </c>
      <c r="C34" s="72">
        <v>25549</v>
      </c>
      <c r="D34" s="72" t="s">
        <v>114</v>
      </c>
      <c r="E34" s="47" t="s">
        <v>79</v>
      </c>
      <c r="F34" s="48" t="s">
        <v>107</v>
      </c>
      <c r="G34" s="79">
        <v>6.1</v>
      </c>
      <c r="H34" s="80"/>
      <c r="I34" s="80">
        <v>0.45</v>
      </c>
      <c r="J34" s="81"/>
      <c r="K34" s="52">
        <f>(G34+J34+I34)*31%</f>
        <v>2.0305</v>
      </c>
      <c r="L34" s="69">
        <f t="shared" si="26"/>
        <v>2.62</v>
      </c>
      <c r="M34" s="81"/>
      <c r="N34" s="81"/>
      <c r="O34" s="81"/>
      <c r="P34" s="53">
        <f t="shared" ref="P34:P38" si="59">SUM(G34:O34)*2340</f>
        <v>26209.170000000006</v>
      </c>
      <c r="Q34" s="72">
        <v>46388</v>
      </c>
      <c r="R34" s="82">
        <v>45901</v>
      </c>
      <c r="S34" s="55">
        <f t="shared" ref="S34:S38" si="60">(T34)+(IF(U34=0,0,IF(U34&lt;7,1/2,1)))</f>
        <v>33</v>
      </c>
      <c r="T34" s="83">
        <v>33</v>
      </c>
      <c r="U34" s="83"/>
      <c r="V34" s="83">
        <f t="shared" si="55"/>
        <v>16</v>
      </c>
      <c r="W34" s="56">
        <f t="shared" ref="W34:W38" si="61">(X34)+(IF(Y34=0,0,IF(Y34&lt;7,1/2,1)))</f>
        <v>1.5</v>
      </c>
      <c r="X34" s="83">
        <v>1</v>
      </c>
      <c r="Y34" s="83">
        <v>4</v>
      </c>
      <c r="Z34" s="57">
        <f>V34*P34</f>
        <v>419346.72000000009</v>
      </c>
      <c r="AA34" s="58"/>
      <c r="AB34" s="59"/>
      <c r="AC34" s="60"/>
      <c r="AD34" s="61"/>
      <c r="AE34" s="61"/>
      <c r="AF34" s="61"/>
      <c r="AG34" s="61"/>
      <c r="AH34" s="62">
        <f t="shared" si="33"/>
        <v>419347</v>
      </c>
      <c r="AI34" s="62">
        <f t="shared" si="34"/>
        <v>0</v>
      </c>
      <c r="AJ34" s="63"/>
      <c r="AK34" s="64">
        <f t="shared" ref="AK34:AK38" si="62">AH34+AI34+AJ34</f>
        <v>419347</v>
      </c>
    </row>
    <row r="35" spans="1:37" ht="50.45" customHeight="1">
      <c r="A35" s="45">
        <v>10</v>
      </c>
      <c r="B35" s="46" t="s">
        <v>67</v>
      </c>
      <c r="C35" s="72">
        <v>25500</v>
      </c>
      <c r="D35" s="72" t="s">
        <v>114</v>
      </c>
      <c r="E35" s="47" t="s">
        <v>120</v>
      </c>
      <c r="F35" s="48" t="s">
        <v>75</v>
      </c>
      <c r="G35" s="79">
        <v>4.9800000000000004</v>
      </c>
      <c r="H35" s="81"/>
      <c r="I35" s="81"/>
      <c r="J35" s="81"/>
      <c r="K35" s="52">
        <f>(G35+J35+I35)*25%</f>
        <v>1.2450000000000001</v>
      </c>
      <c r="L35" s="69">
        <f t="shared" si="26"/>
        <v>1.9920000000000002</v>
      </c>
      <c r="M35" s="81"/>
      <c r="N35" s="81"/>
      <c r="O35" s="81"/>
      <c r="P35" s="53">
        <f t="shared" si="59"/>
        <v>19227.780000000002</v>
      </c>
      <c r="Q35" s="72">
        <v>46327</v>
      </c>
      <c r="R35" s="82">
        <v>45901</v>
      </c>
      <c r="S35" s="55">
        <f t="shared" si="60"/>
        <v>27</v>
      </c>
      <c r="T35" s="83">
        <v>26</v>
      </c>
      <c r="U35" s="83">
        <v>8</v>
      </c>
      <c r="V35" s="83">
        <f t="shared" si="55"/>
        <v>14</v>
      </c>
      <c r="W35" s="56">
        <f t="shared" si="61"/>
        <v>1.5</v>
      </c>
      <c r="X35" s="83">
        <v>1</v>
      </c>
      <c r="Y35" s="83">
        <v>2</v>
      </c>
      <c r="Z35" s="57">
        <f>V35*P35</f>
        <v>269188.92000000004</v>
      </c>
      <c r="AA35" s="58"/>
      <c r="AB35" s="59"/>
      <c r="AC35" s="60"/>
      <c r="AD35" s="61"/>
      <c r="AE35" s="61"/>
      <c r="AF35" s="61"/>
      <c r="AG35" s="61"/>
      <c r="AH35" s="62">
        <f t="shared" si="33"/>
        <v>269189</v>
      </c>
      <c r="AI35" s="62">
        <f t="shared" si="34"/>
        <v>0</v>
      </c>
      <c r="AJ35" s="63"/>
      <c r="AK35" s="64">
        <f t="shared" si="62"/>
        <v>269189</v>
      </c>
    </row>
    <row r="36" spans="1:37" ht="43.15" customHeight="1">
      <c r="A36" s="45">
        <v>11</v>
      </c>
      <c r="B36" s="46" t="s">
        <v>68</v>
      </c>
      <c r="C36" s="72">
        <v>26881</v>
      </c>
      <c r="D36" s="72" t="s">
        <v>114</v>
      </c>
      <c r="E36" s="47" t="s">
        <v>80</v>
      </c>
      <c r="F36" s="48" t="s">
        <v>81</v>
      </c>
      <c r="G36" s="84">
        <v>4.2699999999999996</v>
      </c>
      <c r="H36" s="81"/>
      <c r="I36" s="81"/>
      <c r="J36" s="81"/>
      <c r="K36" s="52"/>
      <c r="L36" s="69"/>
      <c r="M36" s="81"/>
      <c r="N36" s="81"/>
      <c r="O36" s="81"/>
      <c r="P36" s="53">
        <f t="shared" si="59"/>
        <v>9991.7999999999993</v>
      </c>
      <c r="Q36" s="72">
        <v>48458</v>
      </c>
      <c r="R36" s="82">
        <v>45901</v>
      </c>
      <c r="S36" s="55">
        <f t="shared" si="60"/>
        <v>31</v>
      </c>
      <c r="T36" s="83">
        <v>30</v>
      </c>
      <c r="U36" s="83">
        <v>10</v>
      </c>
      <c r="V36" s="83">
        <f t="shared" si="55"/>
        <v>84</v>
      </c>
      <c r="W36" s="56">
        <f t="shared" si="61"/>
        <v>7</v>
      </c>
      <c r="X36" s="83">
        <v>7</v>
      </c>
      <c r="Y36" s="83">
        <v>0</v>
      </c>
      <c r="Z36" s="57">
        <f t="shared" ref="Z36" si="63">0.9*60*P36</f>
        <v>539557.19999999995</v>
      </c>
      <c r="AA36" s="58">
        <f t="shared" ref="AA36" si="64">SUM(AB36:AC36)</f>
        <v>399671.99999999994</v>
      </c>
      <c r="AB36" s="59">
        <f t="shared" ref="AB36" si="65">4*W36*P36</f>
        <v>279770.39999999997</v>
      </c>
      <c r="AC36" s="60">
        <f t="shared" ref="AC36" si="66">SUM(4*P36)+(0.5*(S36-15)*P36)</f>
        <v>119901.59999999999</v>
      </c>
      <c r="AD36" s="61"/>
      <c r="AE36" s="61"/>
      <c r="AF36" s="61"/>
      <c r="AG36" s="61"/>
      <c r="AH36" s="62">
        <f t="shared" si="33"/>
        <v>939229</v>
      </c>
      <c r="AI36" s="62">
        <f t="shared" si="34"/>
        <v>0</v>
      </c>
      <c r="AJ36" s="63"/>
      <c r="AK36" s="64">
        <f t="shared" si="62"/>
        <v>939229</v>
      </c>
    </row>
    <row r="37" spans="1:37" ht="39" customHeight="1">
      <c r="A37" s="45">
        <v>12</v>
      </c>
      <c r="B37" s="46" t="s">
        <v>69</v>
      </c>
      <c r="C37" s="72">
        <v>23855</v>
      </c>
      <c r="D37" s="72" t="s">
        <v>115</v>
      </c>
      <c r="E37" s="47" t="s">
        <v>82</v>
      </c>
      <c r="F37" s="48" t="s">
        <v>83</v>
      </c>
      <c r="G37" s="84">
        <v>4.0599999999999996</v>
      </c>
      <c r="H37" s="81"/>
      <c r="I37" s="81"/>
      <c r="J37" s="85">
        <f>G37*10%</f>
        <v>0.40599999999999997</v>
      </c>
      <c r="K37" s="52"/>
      <c r="L37" s="69"/>
      <c r="M37" s="81"/>
      <c r="N37" s="81"/>
      <c r="O37" s="81"/>
      <c r="P37" s="53">
        <f t="shared" si="59"/>
        <v>10450.439999999999</v>
      </c>
      <c r="Q37" s="72">
        <v>46327</v>
      </c>
      <c r="R37" s="82">
        <v>45901</v>
      </c>
      <c r="S37" s="55">
        <f t="shared" si="60"/>
        <v>37.5</v>
      </c>
      <c r="T37" s="83">
        <v>37</v>
      </c>
      <c r="U37" s="83">
        <v>5</v>
      </c>
      <c r="V37" s="83">
        <f t="shared" si="55"/>
        <v>14</v>
      </c>
      <c r="W37" s="56">
        <f t="shared" si="61"/>
        <v>1.5</v>
      </c>
      <c r="X37" s="83">
        <v>1</v>
      </c>
      <c r="Y37" s="83">
        <v>2</v>
      </c>
      <c r="Z37" s="57">
        <f>V37*P37</f>
        <v>146306.15999999997</v>
      </c>
      <c r="AA37" s="58"/>
      <c r="AB37" s="59"/>
      <c r="AC37" s="60"/>
      <c r="AD37" s="61"/>
      <c r="AE37" s="61"/>
      <c r="AF37" s="61"/>
      <c r="AG37" s="61"/>
      <c r="AH37" s="62">
        <f t="shared" si="33"/>
        <v>146306</v>
      </c>
      <c r="AI37" s="62">
        <f t="shared" si="34"/>
        <v>0</v>
      </c>
      <c r="AJ37" s="63"/>
      <c r="AK37" s="64">
        <f t="shared" si="62"/>
        <v>146306</v>
      </c>
    </row>
    <row r="38" spans="1:37" ht="59.25" customHeight="1">
      <c r="A38" s="45">
        <v>13</v>
      </c>
      <c r="B38" s="46" t="s">
        <v>70</v>
      </c>
      <c r="C38" s="72">
        <v>26187</v>
      </c>
      <c r="D38" s="72" t="s">
        <v>114</v>
      </c>
      <c r="E38" s="47" t="s">
        <v>84</v>
      </c>
      <c r="F38" s="48" t="s">
        <v>85</v>
      </c>
      <c r="G38" s="84">
        <v>2.98</v>
      </c>
      <c r="H38" s="81"/>
      <c r="I38" s="81"/>
      <c r="J38" s="85">
        <f>G38*9%</f>
        <v>0.26819999999999999</v>
      </c>
      <c r="K38" s="52"/>
      <c r="L38" s="69"/>
      <c r="M38" s="81"/>
      <c r="N38" s="81"/>
      <c r="O38" s="81"/>
      <c r="P38" s="53">
        <f t="shared" si="59"/>
        <v>7600.7879999999996</v>
      </c>
      <c r="Q38" s="72">
        <v>47392</v>
      </c>
      <c r="R38" s="82">
        <v>45901</v>
      </c>
      <c r="S38" s="55">
        <f t="shared" si="60"/>
        <v>33.5</v>
      </c>
      <c r="T38" s="83">
        <v>33</v>
      </c>
      <c r="U38" s="83">
        <v>3</v>
      </c>
      <c r="V38" s="83">
        <f t="shared" si="55"/>
        <v>49</v>
      </c>
      <c r="W38" s="56">
        <f t="shared" si="61"/>
        <v>4.5</v>
      </c>
      <c r="X38" s="83">
        <v>4</v>
      </c>
      <c r="Y38" s="83">
        <v>1</v>
      </c>
      <c r="Z38" s="57">
        <f>V38*P38</f>
        <v>372438.61199999996</v>
      </c>
      <c r="AA38" s="58">
        <f t="shared" ref="AA38:AA39" si="67">SUM(AB38:AC38)</f>
        <v>271728.17099999997</v>
      </c>
      <c r="AB38" s="59">
        <f>5*W38*P38</f>
        <v>171017.72999999998</v>
      </c>
      <c r="AC38" s="60">
        <f t="shared" ref="AC38:AC39" si="68">SUM(4*P38)+(0.5*(S38-15)*P38)</f>
        <v>100710.44099999999</v>
      </c>
      <c r="AD38" s="61"/>
      <c r="AE38" s="61"/>
      <c r="AF38" s="61"/>
      <c r="AG38" s="61"/>
      <c r="AH38" s="62">
        <f t="shared" si="33"/>
        <v>644167</v>
      </c>
      <c r="AI38" s="62">
        <f t="shared" si="34"/>
        <v>0</v>
      </c>
      <c r="AJ38" s="63"/>
      <c r="AK38" s="64">
        <f t="shared" si="62"/>
        <v>644167</v>
      </c>
    </row>
    <row r="39" spans="1:37" ht="58.9" customHeight="1">
      <c r="A39" s="45">
        <v>14</v>
      </c>
      <c r="B39" s="46" t="s">
        <v>101</v>
      </c>
      <c r="C39" s="72">
        <v>25577</v>
      </c>
      <c r="D39" s="72" t="s">
        <v>115</v>
      </c>
      <c r="E39" s="47" t="s">
        <v>118</v>
      </c>
      <c r="F39" s="48" t="s">
        <v>108</v>
      </c>
      <c r="G39" s="79">
        <v>4.9800000000000004</v>
      </c>
      <c r="H39" s="80"/>
      <c r="I39" s="80">
        <v>0.35</v>
      </c>
      <c r="J39" s="81"/>
      <c r="K39" s="52">
        <f>(G39+J39+I39)*24%</f>
        <v>1.2791999999999999</v>
      </c>
      <c r="L39" s="69">
        <f>(G39+I39+J39)*40%</f>
        <v>2.1320000000000001</v>
      </c>
      <c r="M39" s="81"/>
      <c r="N39" s="81"/>
      <c r="O39" s="81"/>
      <c r="P39" s="53">
        <f t="shared" ref="P39" si="69">SUM(G39:O39)*2340</f>
        <v>20454.407999999999</v>
      </c>
      <c r="Q39" s="72">
        <v>48245</v>
      </c>
      <c r="R39" s="82">
        <v>45901</v>
      </c>
      <c r="S39" s="55">
        <f t="shared" ref="S39" si="70">(T39)+(IF(U39=0,0,IF(U39&lt;7,1/2,1)))</f>
        <v>29</v>
      </c>
      <c r="T39" s="83">
        <v>28</v>
      </c>
      <c r="U39" s="83">
        <v>9</v>
      </c>
      <c r="V39" s="83">
        <f t="shared" ref="V39" si="71">(X39*12)+Y39</f>
        <v>77</v>
      </c>
      <c r="W39" s="56">
        <f t="shared" ref="W39" si="72">(X39)+(IF(Y39=0,0,IF(Y39&lt;7,1/2,1)))</f>
        <v>6.5</v>
      </c>
      <c r="X39" s="83">
        <v>6</v>
      </c>
      <c r="Y39" s="83">
        <v>5</v>
      </c>
      <c r="Z39" s="57">
        <f t="shared" ref="Z39" si="73">0.9*60*P39</f>
        <v>1104538.0319999999</v>
      </c>
      <c r="AA39" s="58">
        <f t="shared" si="67"/>
        <v>756813.09600000002</v>
      </c>
      <c r="AB39" s="59">
        <f t="shared" ref="AB39" si="74">4*W39*P39</f>
        <v>531814.60800000001</v>
      </c>
      <c r="AC39" s="60">
        <f t="shared" si="68"/>
        <v>224998.48800000001</v>
      </c>
      <c r="AD39" s="60"/>
      <c r="AE39" s="76"/>
      <c r="AF39" s="59"/>
      <c r="AG39" s="77"/>
      <c r="AH39" s="62">
        <f t="shared" si="33"/>
        <v>1861351</v>
      </c>
      <c r="AI39" s="62">
        <f t="shared" si="34"/>
        <v>0</v>
      </c>
      <c r="AJ39" s="63"/>
      <c r="AK39" s="64">
        <f t="shared" ref="AK39" si="75">AH39+AI39+AJ39</f>
        <v>1861351</v>
      </c>
    </row>
    <row r="40" spans="1:37" ht="58.9" customHeight="1">
      <c r="A40" s="96">
        <v>15</v>
      </c>
      <c r="B40" s="97" t="s">
        <v>71</v>
      </c>
      <c r="C40" s="98">
        <v>28468</v>
      </c>
      <c r="D40" s="98" t="s">
        <v>114</v>
      </c>
      <c r="E40" s="99" t="s">
        <v>119</v>
      </c>
      <c r="F40" s="100" t="s">
        <v>75</v>
      </c>
      <c r="G40" s="101">
        <v>4.9800000000000004</v>
      </c>
      <c r="H40" s="102"/>
      <c r="I40" s="102"/>
      <c r="J40" s="103"/>
      <c r="K40" s="104">
        <f>(G40+J40+I40)*25%</f>
        <v>1.2450000000000001</v>
      </c>
      <c r="L40" s="105">
        <f>(G40+I40+J40)*40%</f>
        <v>1.9920000000000002</v>
      </c>
      <c r="M40" s="103"/>
      <c r="N40" s="103"/>
      <c r="O40" s="103"/>
      <c r="P40" s="106">
        <f t="shared" ref="P40" si="76">SUM(G40:O40)*2340</f>
        <v>19227.780000000002</v>
      </c>
      <c r="Q40" s="98">
        <v>50406</v>
      </c>
      <c r="R40" s="107">
        <v>45901</v>
      </c>
      <c r="S40" s="108">
        <f t="shared" ref="S40" si="77">(T40)+(IF(U40=0,0,IF(U40&lt;7,1/2,1)))</f>
        <v>27</v>
      </c>
      <c r="T40" s="109">
        <v>26</v>
      </c>
      <c r="U40" s="109">
        <v>8</v>
      </c>
      <c r="V40" s="109">
        <f t="shared" si="55"/>
        <v>148</v>
      </c>
      <c r="W40" s="110">
        <f t="shared" ref="W40" si="78">(X40)+(IF(Y40=0,0,IF(Y40&lt;7,1/2,1)))</f>
        <v>12.5</v>
      </c>
      <c r="X40" s="109">
        <v>12</v>
      </c>
      <c r="Y40" s="109">
        <v>4</v>
      </c>
      <c r="Z40" s="111"/>
      <c r="AA40" s="112"/>
      <c r="AB40" s="113"/>
      <c r="AC40" s="114"/>
      <c r="AD40" s="114">
        <f t="shared" ref="AD40" si="79">AE40+AF40+AG40</f>
        <v>1701658.5300000003</v>
      </c>
      <c r="AE40" s="115">
        <f t="shared" ref="AE40" si="80">0.8*60*P40</f>
        <v>922933.44000000018</v>
      </c>
      <c r="AF40" s="113">
        <f t="shared" ref="AF40" si="81">1.5*P40*S40</f>
        <v>778725.0900000002</v>
      </c>
      <c r="AG40" s="116"/>
      <c r="AH40" s="117">
        <f t="shared" si="33"/>
        <v>0</v>
      </c>
      <c r="AI40" s="117">
        <f t="shared" si="34"/>
        <v>1701659</v>
      </c>
      <c r="AJ40" s="118"/>
      <c r="AK40" s="119">
        <f t="shared" ref="AK40" si="82">AH40+AI40+AJ40</f>
        <v>1701659</v>
      </c>
    </row>
    <row r="41" spans="1:37" s="29" customFormat="1" ht="32.25" customHeight="1">
      <c r="A41" s="30" t="s">
        <v>100</v>
      </c>
      <c r="B41" s="121" t="s">
        <v>94</v>
      </c>
      <c r="C41" s="121"/>
      <c r="D41" s="121"/>
      <c r="E41" s="121"/>
      <c r="F41" s="121"/>
      <c r="G41" s="34"/>
      <c r="H41" s="32"/>
      <c r="I41" s="32"/>
      <c r="J41" s="32"/>
      <c r="K41" s="34"/>
      <c r="L41" s="32"/>
      <c r="M41" s="32"/>
      <c r="N41" s="34"/>
      <c r="O41" s="34"/>
      <c r="P41" s="32"/>
      <c r="Q41" s="32"/>
      <c r="R41" s="34"/>
      <c r="S41" s="32"/>
      <c r="T41" s="32"/>
      <c r="U41" s="34"/>
      <c r="V41" s="32"/>
      <c r="W41" s="32"/>
      <c r="X41" s="32"/>
      <c r="Y41" s="32"/>
      <c r="Z41" s="35">
        <f>Z42</f>
        <v>609687</v>
      </c>
      <c r="AA41" s="35">
        <f t="shared" ref="AA41:AK41" si="83">AA42</f>
        <v>474201</v>
      </c>
      <c r="AB41" s="35">
        <f t="shared" si="83"/>
        <v>383877</v>
      </c>
      <c r="AC41" s="35">
        <f t="shared" si="83"/>
        <v>90324</v>
      </c>
      <c r="AD41" s="35">
        <f t="shared" si="83"/>
        <v>0</v>
      </c>
      <c r="AE41" s="35">
        <f t="shared" si="83"/>
        <v>0</v>
      </c>
      <c r="AF41" s="35">
        <f t="shared" si="83"/>
        <v>0</v>
      </c>
      <c r="AG41" s="35">
        <f t="shared" si="83"/>
        <v>0</v>
      </c>
      <c r="AH41" s="35">
        <f t="shared" si="83"/>
        <v>1083888</v>
      </c>
      <c r="AI41" s="35">
        <f t="shared" si="83"/>
        <v>0</v>
      </c>
      <c r="AJ41" s="35">
        <f t="shared" si="83"/>
        <v>0</v>
      </c>
      <c r="AK41" s="35">
        <f t="shared" si="83"/>
        <v>1083888</v>
      </c>
    </row>
    <row r="42" spans="1:37" s="29" customFormat="1" ht="32.25" customHeight="1">
      <c r="A42" s="142">
        <v>1</v>
      </c>
      <c r="B42" s="200" t="s">
        <v>95</v>
      </c>
      <c r="C42" s="200"/>
      <c r="D42" s="120"/>
      <c r="E42" s="120"/>
      <c r="F42" s="120"/>
      <c r="G42" s="34"/>
      <c r="H42" s="32"/>
      <c r="I42" s="32"/>
      <c r="J42" s="32"/>
      <c r="K42" s="34"/>
      <c r="L42" s="32"/>
      <c r="M42" s="32"/>
      <c r="N42" s="34"/>
      <c r="O42" s="34"/>
      <c r="P42" s="32"/>
      <c r="Q42" s="32"/>
      <c r="R42" s="34"/>
      <c r="S42" s="32"/>
      <c r="T42" s="32"/>
      <c r="U42" s="34"/>
      <c r="V42" s="32"/>
      <c r="W42" s="32"/>
      <c r="X42" s="32"/>
      <c r="Y42" s="32"/>
      <c r="Z42" s="35">
        <f>Z43</f>
        <v>609687</v>
      </c>
      <c r="AA42" s="35">
        <f t="shared" ref="AA42:AK42" si="84">AA43</f>
        <v>474201</v>
      </c>
      <c r="AB42" s="35">
        <f t="shared" si="84"/>
        <v>383877</v>
      </c>
      <c r="AC42" s="35">
        <f t="shared" si="84"/>
        <v>90324</v>
      </c>
      <c r="AD42" s="35">
        <f t="shared" si="84"/>
        <v>0</v>
      </c>
      <c r="AE42" s="35">
        <f t="shared" si="84"/>
        <v>0</v>
      </c>
      <c r="AF42" s="35">
        <f t="shared" si="84"/>
        <v>0</v>
      </c>
      <c r="AG42" s="35">
        <f t="shared" si="84"/>
        <v>0</v>
      </c>
      <c r="AH42" s="35">
        <f t="shared" si="84"/>
        <v>1083888</v>
      </c>
      <c r="AI42" s="35">
        <f t="shared" si="84"/>
        <v>0</v>
      </c>
      <c r="AJ42" s="35">
        <f t="shared" si="84"/>
        <v>0</v>
      </c>
      <c r="AK42" s="35">
        <f t="shared" si="84"/>
        <v>1083888</v>
      </c>
    </row>
    <row r="43" spans="1:37" s="4" customFormat="1" ht="54" customHeight="1">
      <c r="A43" s="122">
        <v>1</v>
      </c>
      <c r="B43" s="123" t="s">
        <v>96</v>
      </c>
      <c r="C43" s="124">
        <v>26198</v>
      </c>
      <c r="D43" s="124" t="s">
        <v>115</v>
      </c>
      <c r="E43" s="125" t="s">
        <v>36</v>
      </c>
      <c r="F43" s="125" t="s">
        <v>97</v>
      </c>
      <c r="G43" s="126">
        <v>3.66</v>
      </c>
      <c r="H43" s="127"/>
      <c r="I43" s="127">
        <v>0.2</v>
      </c>
      <c r="J43" s="128"/>
      <c r="K43" s="128"/>
      <c r="L43" s="127"/>
      <c r="M43" s="129"/>
      <c r="N43" s="127">
        <f>(G43+H43+I43+J43)*25%</f>
        <v>0.96500000000000008</v>
      </c>
      <c r="O43" s="130"/>
      <c r="P43" s="131">
        <f t="shared" ref="P43" si="85">SUM(G43:O43)*2340</f>
        <v>11290.5</v>
      </c>
      <c r="Q43" s="125">
        <v>48853</v>
      </c>
      <c r="R43" s="132" t="s">
        <v>41</v>
      </c>
      <c r="S43" s="129">
        <f t="shared" ref="S43" si="86">(T43)+(IF(U43=0,0,IF(U43&lt;7,1/2,1)))</f>
        <v>23</v>
      </c>
      <c r="T43" s="126">
        <v>23</v>
      </c>
      <c r="U43" s="126">
        <v>0</v>
      </c>
      <c r="V43" s="126">
        <f t="shared" ref="V43" si="87">(X43*12)+Y43</f>
        <v>97</v>
      </c>
      <c r="W43" s="133">
        <f t="shared" ref="W43" si="88">(X43)+(IF(Y43=0,0,IF(Y43&lt;7,1/2,1)))</f>
        <v>8.5</v>
      </c>
      <c r="X43" s="126">
        <v>8</v>
      </c>
      <c r="Y43" s="126">
        <v>1</v>
      </c>
      <c r="Z43" s="134">
        <f t="shared" ref="Z43" si="89">0.9*60*P43</f>
        <v>609687</v>
      </c>
      <c r="AA43" s="135">
        <f t="shared" ref="AA43" si="90">SUM(AB43:AC43)</f>
        <v>474201</v>
      </c>
      <c r="AB43" s="136">
        <f t="shared" ref="AB43" si="91">4*W43*P43</f>
        <v>383877</v>
      </c>
      <c r="AC43" s="137">
        <f t="shared" ref="AC43" si="92">SUM(4*P43)+(0.5*(S43-15)*P43)</f>
        <v>90324</v>
      </c>
      <c r="AD43" s="137"/>
      <c r="AE43" s="138"/>
      <c r="AF43" s="136"/>
      <c r="AG43" s="139"/>
      <c r="AH43" s="140">
        <f>ROUND(Z43+AA43,0)</f>
        <v>1083888</v>
      </c>
      <c r="AI43" s="140">
        <f>ROUND(AD43,0)</f>
        <v>0</v>
      </c>
      <c r="AJ43" s="140"/>
      <c r="AK43" s="141">
        <f t="shared" ref="AK43" si="93">AH43+AI43+AJ43</f>
        <v>1083888</v>
      </c>
    </row>
    <row r="44" spans="1:37">
      <c r="B44" s="94"/>
      <c r="Z44" s="88"/>
      <c r="AA44" s="21"/>
      <c r="AB44" s="21"/>
      <c r="AC44" s="21"/>
      <c r="AH44" s="3"/>
      <c r="AI44" s="21"/>
      <c r="AJ44" s="21"/>
      <c r="AK44" s="2"/>
    </row>
    <row r="45" spans="1:37">
      <c r="B45" s="94" t="s">
        <v>116</v>
      </c>
      <c r="Z45" s="88"/>
      <c r="AA45" s="21"/>
      <c r="AB45" s="21"/>
      <c r="AC45" s="21"/>
      <c r="AH45" s="3"/>
      <c r="AI45" s="21"/>
      <c r="AJ45" s="21"/>
      <c r="AK45" s="2"/>
    </row>
    <row r="46" spans="1:37">
      <c r="Z46" s="88"/>
      <c r="AA46" s="21"/>
      <c r="AB46" s="21"/>
      <c r="AC46" s="21"/>
      <c r="AH46" s="3"/>
      <c r="AI46" s="21"/>
      <c r="AJ46" s="21"/>
      <c r="AK46" s="2"/>
    </row>
  </sheetData>
  <mergeCells count="53">
    <mergeCell ref="B15:F15"/>
    <mergeCell ref="B42:C42"/>
    <mergeCell ref="B17:F17"/>
    <mergeCell ref="B21:F21"/>
    <mergeCell ref="B25:F25"/>
    <mergeCell ref="AD9:AD11"/>
    <mergeCell ref="AE9:AG9"/>
    <mergeCell ref="H9:O9"/>
    <mergeCell ref="P9:P11"/>
    <mergeCell ref="L10:L11"/>
    <mergeCell ref="M10:M11"/>
    <mergeCell ref="O10:O11"/>
    <mergeCell ref="X10:X11"/>
    <mergeCell ref="W9:W11"/>
    <mergeCell ref="X9:Y9"/>
    <mergeCell ref="AB9:AC9"/>
    <mergeCell ref="S9:S11"/>
    <mergeCell ref="R9:R11"/>
    <mergeCell ref="V9:V11"/>
    <mergeCell ref="T10:T11"/>
    <mergeCell ref="Y10:Y11"/>
    <mergeCell ref="U10:U11"/>
    <mergeCell ref="AJ7:AK7"/>
    <mergeCell ref="A9:A11"/>
    <mergeCell ref="B9:B11"/>
    <mergeCell ref="C9:C11"/>
    <mergeCell ref="E9:E11"/>
    <mergeCell ref="F9:F11"/>
    <mergeCell ref="D9:D11"/>
    <mergeCell ref="G9:G11"/>
    <mergeCell ref="N10:N11"/>
    <mergeCell ref="K10:K11"/>
    <mergeCell ref="J10:J11"/>
    <mergeCell ref="Q9:Q11"/>
    <mergeCell ref="H10:H11"/>
    <mergeCell ref="I10:I11"/>
    <mergeCell ref="AK10:AK11"/>
    <mergeCell ref="A5:AK5"/>
    <mergeCell ref="A1:B1"/>
    <mergeCell ref="A6:AK6"/>
    <mergeCell ref="B13:C13"/>
    <mergeCell ref="A3:AK4"/>
    <mergeCell ref="AB10:AB11"/>
    <mergeCell ref="AC10:AC11"/>
    <mergeCell ref="AH9:AK9"/>
    <mergeCell ref="AH10:AI10"/>
    <mergeCell ref="AJ10:AJ11"/>
    <mergeCell ref="AF10:AF11"/>
    <mergeCell ref="AG10:AG11"/>
    <mergeCell ref="AE10:AE11"/>
    <mergeCell ref="T9:U9"/>
    <mergeCell ref="Z9:Z11"/>
    <mergeCell ref="AA9:AA11"/>
  </mergeCells>
  <printOptions horizontalCentered="1"/>
  <pageMargins left="3.937007874015748E-2" right="0.23622047244094491" top="0.59055118110236227" bottom="0.39370078740157483" header="0.31496062992125984" footer="0.31496062992125984"/>
  <pageSetup paperSize="9" scale="90" orientation="landscape" r:id="rId1"/>
  <headerFooter>
    <oddHeader>Page 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DANH SACH</vt:lpstr>
      <vt:lpstr>'DANH SACH'!Print_Titles</vt:lpstr>
    </vt:vector>
  </TitlesOfParts>
  <Company>minhtuan6990@gmail.com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Nguyễn Thành Minh</dc:creator>
  <cp:lastModifiedBy>Vanphong</cp:lastModifiedBy>
  <cp:lastPrinted>2025-08-31T01:38:57Z</cp:lastPrinted>
  <dcterms:created xsi:type="dcterms:W3CDTF">2024-12-16T01:46:33Z</dcterms:created>
  <dcterms:modified xsi:type="dcterms:W3CDTF">2025-08-31T01:58:45Z</dcterms:modified>
</cp:coreProperties>
</file>