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129"/>
  <workbookPr defaultThemeVersion="124226"/>
  <mc:AlternateContent xmlns:mc="http://schemas.openxmlformats.org/markup-compatibility/2006">
    <mc:Choice Requires="x15">
      <x15ac:absPath xmlns:x15ac="http://schemas.microsoft.com/office/spreadsheetml/2010/11/ac" url="C:\Users\Admin\AppData\Roaming\VNPT Plugin\Files\FileTemp\"/>
    </mc:Choice>
  </mc:AlternateContent>
  <xr:revisionPtr revIDLastSave="0" documentId="13_ncr:1_{B2596538-ACDA-44B9-BB70-0B95EE60043D}" xr6:coauthVersionLast="47" xr6:coauthVersionMax="47" xr10:uidLastSave="{00000000-0000-0000-0000-000000000000}"/>
  <bookViews>
    <workbookView xWindow="-120" yWindow="-120" windowWidth="20730" windowHeight="11160" firstSheet="5" activeTab="7" xr2:uid="{00000000-000D-0000-FFFF-FFFF00000000}"/>
  </bookViews>
  <sheets>
    <sheet name="foxz" sheetId="14" state="veryHidden" r:id="rId1"/>
    <sheet name="SGV" sheetId="20" state="hidden" r:id="rId2"/>
    <sheet name="SGV_2" sheetId="21" state="veryHidden" r:id="rId3"/>
    <sheet name="SGV_3" sheetId="22" state="veryHidden" r:id="rId4"/>
    <sheet name="SGV_4" sheetId="23" state="veryHidden" r:id="rId5"/>
    <sheet name="B1" sheetId="2" r:id="rId6"/>
    <sheet name="B dieu tiet" sheetId="3" state="hidden" r:id="rId7"/>
    <sheet name="B2" sheetId="4" r:id="rId8"/>
    <sheet name="B3" sheetId="10" state="hidden" r:id="rId9"/>
    <sheet name="B4" sheetId="11" state="hidden" r:id="rId10"/>
    <sheet name="B5" sheetId="12" state="hidden" r:id="rId11"/>
    <sheet name="B 3" sheetId="17" r:id="rId12"/>
    <sheet name="B 4" sheetId="18" r:id="rId13"/>
    <sheet name="B 5" sheetId="19" r:id="rId14"/>
    <sheet name="B6" sheetId="15" r:id="rId15"/>
    <sheet name="B7" sheetId="8" r:id="rId16"/>
    <sheet name="B8" sheetId="9" r:id="rId17"/>
    <sheet name="B 9" sheetId="16" r:id="rId18"/>
    <sheet name="B9" sheetId="13" state="hidden" r:id="rId19"/>
  </sheets>
  <definedNames>
    <definedName name="___CON1">#REF!</definedName>
    <definedName name="___CON2">#REF!</definedName>
    <definedName name="___lap1">#REF!</definedName>
    <definedName name="___lap2">#REF!</definedName>
    <definedName name="___NET2">#REF!</definedName>
    <definedName name="___TK155">#REF!</definedName>
    <definedName name="___TK422">#REF!</definedName>
    <definedName name="__CON1">#REF!</definedName>
    <definedName name="__CON2">#REF!</definedName>
    <definedName name="__lap1">#REF!</definedName>
    <definedName name="__lap2">#REF!</definedName>
    <definedName name="__NET2">#REF!</definedName>
    <definedName name="__TK155">#REF!</definedName>
    <definedName name="__TK422">#REF!</definedName>
    <definedName name="_1">#REF!</definedName>
    <definedName name="_1BA2500">#REF!</definedName>
    <definedName name="_1BA3250">#REF!</definedName>
    <definedName name="_1BA400P">#REF!</definedName>
    <definedName name="_1CAP001">#REF!</definedName>
    <definedName name="_1DAU002">#REF!</definedName>
    <definedName name="_1DDAY03">#REF!</definedName>
    <definedName name="_1DDTT01">#REF!</definedName>
    <definedName name="_1FCO101">#REF!</definedName>
    <definedName name="_1GIA101">#REF!</definedName>
    <definedName name="_1LA1001">#REF!</definedName>
    <definedName name="_1MCCBO2">#REF!</definedName>
    <definedName name="_1PKCAP1">#REF!</definedName>
    <definedName name="_1PKTT01">#REF!</definedName>
    <definedName name="_1TCD101">#REF!</definedName>
    <definedName name="_1TCD201">#REF!</definedName>
    <definedName name="_1TD2001">#REF!</definedName>
    <definedName name="_1TIHT01">#REF!</definedName>
    <definedName name="_1TRU121">#REF!</definedName>
    <definedName name="_2">#REF!</definedName>
    <definedName name="_2BLA100">#REF!</definedName>
    <definedName name="_2DAL201">#REF!</definedName>
    <definedName name="_3BLXMD">#REF!</definedName>
    <definedName name="_3TU0609">#REF!</definedName>
    <definedName name="_4CNT240">#REF!</definedName>
    <definedName name="_4CTL240">#REF!</definedName>
    <definedName name="_4FCO100">#REF!</definedName>
    <definedName name="_4HDCTT4">#REF!</definedName>
    <definedName name="_4HNCTT4">#REF!</definedName>
    <definedName name="_4LBCO01">#REF!</definedName>
    <definedName name="_CON1">#REF!</definedName>
    <definedName name="_CON2">#REF!</definedName>
    <definedName name="_Fill" hidden="1">#REF!</definedName>
    <definedName name="_lap1">#REF!</definedName>
    <definedName name="_lap2">#REF!</definedName>
    <definedName name="_NET2">#REF!</definedName>
    <definedName name="_Order1" hidden="1">255</definedName>
    <definedName name="_Order2" hidden="1">255</definedName>
    <definedName name="_Sort" hidden="1">#REF!</definedName>
    <definedName name="_TK155">#REF!</definedName>
    <definedName name="_TK422">#REF!</definedName>
    <definedName name="aa">#REF!</definedName>
    <definedName name="ADAY">#REF!</definedName>
    <definedName name="ADP">#REF!</definedName>
    <definedName name="AKHAC">#REF!</definedName>
    <definedName name="ALTINH">#REF!</definedName>
    <definedName name="Anguon">#REF!</definedName>
    <definedName name="ANN">#REF!</definedName>
    <definedName name="ANQD">#REF!</definedName>
    <definedName name="ANQQH">#REF!</definedName>
    <definedName name="ANSNN">#REF!</definedName>
    <definedName name="ANSNNxnk">#REF!</definedName>
    <definedName name="APC">#REF!</definedName>
    <definedName name="ATRAM">#REF!</definedName>
    <definedName name="ATW">#REF!</definedName>
    <definedName name="bb" localSheetId="12">{"Thuxm2.xls","Sheet1"}</definedName>
    <definedName name="bb" localSheetId="13">{"Thuxm2.xls","Sheet1"}</definedName>
    <definedName name="bb">{"Thuxm2.xls","Sheet1"}</definedName>
    <definedName name="BDAY">#REF!</definedName>
    <definedName name="BOQ">#REF!</definedName>
    <definedName name="BTRAM">#REF!</definedName>
    <definedName name="BVCISUMMARY">#REF!</definedName>
    <definedName name="Can_doi">#REF!</definedName>
    <definedName name="cap">#REF!</definedName>
    <definedName name="cap0.7">#REF!</definedName>
    <definedName name="CDAY">#REF!</definedName>
    <definedName name="CL">#REF!</definedName>
    <definedName name="COMMON">#REF!</definedName>
    <definedName name="CON_EQP_COS">#REF!</definedName>
    <definedName name="CongVattu" localSheetId="12">#REF!</definedName>
    <definedName name="CongVattu" localSheetId="13">#REF!</definedName>
    <definedName name="CongVattu">#REF!</definedName>
    <definedName name="COVER">#REF!</definedName>
    <definedName name="CRITINST">#REF!</definedName>
    <definedName name="CRITPURC">#REF!</definedName>
    <definedName name="CS_10">#REF!</definedName>
    <definedName name="CS_100">#REF!</definedName>
    <definedName name="CS_10S">#REF!</definedName>
    <definedName name="CS_120">#REF!</definedName>
    <definedName name="CS_140">#REF!</definedName>
    <definedName name="CS_160">#REF!</definedName>
    <definedName name="CS_20">#REF!</definedName>
    <definedName name="CS_30">#REF!</definedName>
    <definedName name="CS_40">#REF!</definedName>
    <definedName name="CS_40S">#REF!</definedName>
    <definedName name="CS_5S">#REF!</definedName>
    <definedName name="CS_60">#REF!</definedName>
    <definedName name="CS_80">#REF!</definedName>
    <definedName name="CS_80S">#REF!</definedName>
    <definedName name="CS_STD">#REF!</definedName>
    <definedName name="CS_XS">#REF!</definedName>
    <definedName name="CS_XXS">#REF!</definedName>
    <definedName name="ctdn9697">#REF!</definedName>
    <definedName name="CTRAM">#REF!</definedName>
    <definedName name="DATA_DATA2_List">#REF!</definedName>
    <definedName name="_xlnm.Database">#REF!</definedName>
    <definedName name="DATDAO">#REF!</definedName>
    <definedName name="DDAY">#REF!</definedName>
    <definedName name="DM">#REF!</definedName>
    <definedName name="DNNN">#REF!</definedName>
    <definedName name="dobt">#REF!</definedName>
    <definedName name="dongia">#REF!</definedName>
    <definedName name="DSTD_Clear">[0]!DSTD_Clear</definedName>
    <definedName name="DSUMDATA">#REF!</definedName>
    <definedName name="duaån">#REF!</definedName>
    <definedName name="duan">#REF!</definedName>
    <definedName name="End_1">#REF!</definedName>
    <definedName name="End_10">#REF!</definedName>
    <definedName name="End_11">#REF!</definedName>
    <definedName name="End_12">#REF!</definedName>
    <definedName name="End_13">#REF!</definedName>
    <definedName name="End_2">#REF!</definedName>
    <definedName name="End_3">#REF!</definedName>
    <definedName name="End_4">#REF!</definedName>
    <definedName name="End_5">#REF!</definedName>
    <definedName name="End_6">#REF!</definedName>
    <definedName name="End_7">#REF!</definedName>
    <definedName name="End_8">#REF!</definedName>
    <definedName name="End_9">#REF!</definedName>
    <definedName name="_xlnm.Extract">#REF!</definedName>
    <definedName name="h" localSheetId="12" hidden="1">{"'Sheet1'!$L$16"}</definedName>
    <definedName name="h" localSheetId="13" hidden="1">{"'Sheet1'!$L$16"}</definedName>
    <definedName name="h" hidden="1">{"'Sheet1'!$L$16"}</definedName>
    <definedName name="HANG" localSheetId="12" hidden="1">{#N/A,#N/A,FALSE,"Chi tiÆt"}</definedName>
    <definedName name="HANG" localSheetId="13" hidden="1">{#N/A,#N/A,FALSE,"Chi tiÆt"}</definedName>
    <definedName name="HANG" hidden="1">{#N/A,#N/A,FALSE,"Chi tiÆt"}</definedName>
    <definedName name="HHUHOI">[0]!HHUHOI</definedName>
    <definedName name="HIHIHIHOI" localSheetId="12" hidden="1">{"'Sheet1'!$L$16"}</definedName>
    <definedName name="HIHIHIHOI" localSheetId="13" hidden="1">{"'Sheet1'!$L$16"}</definedName>
    <definedName name="HIHIHIHOI" hidden="1">{"'Sheet1'!$L$16"}</definedName>
    <definedName name="HJKL" localSheetId="12" hidden="1">{"'Sheet1'!$L$16"}</definedName>
    <definedName name="HJKL" localSheetId="13" hidden="1">{"'Sheet1'!$L$16"}</definedName>
    <definedName name="HJKL" hidden="1">{"'Sheet1'!$L$16"}</definedName>
    <definedName name="HOME_MANP">#REF!</definedName>
    <definedName name="HOMEOFFICE_COST">#REF!</definedName>
    <definedName name="HT">#REF!</definedName>
    <definedName name="HTML_CodePage" hidden="1">950</definedName>
    <definedName name="HTML_Control" localSheetId="12" hidden="1">{"'Sheet1'!$L$16"}</definedName>
    <definedName name="HTML_Control" localSheetId="13" hidden="1">{"'Sheet1'!$L$16"}</definedName>
    <definedName name="HTML_Control" hidden="1">{"'Sheet1'!$L$16"}</definedName>
    <definedName name="HTML_Description" hidden="1">""</definedName>
    <definedName name="HTML_Email" hidden="1">""</definedName>
    <definedName name="HTML_Header" hidden="1">"Sheet1"</definedName>
    <definedName name="HTML_LastUpdate" hidden="1">"2000/9/14"</definedName>
    <definedName name="HTML_LineAfter" hidden="1">FALSE</definedName>
    <definedName name="HTML_LineBefore" hidden="1">FALSE</definedName>
    <definedName name="HTML_Name" hidden="1">"J.C.WONG"</definedName>
    <definedName name="HTML_OBDlg2" hidden="1">TRUE</definedName>
    <definedName name="HTML_OBDlg4" hidden="1">TRUE</definedName>
    <definedName name="HTML_OS" hidden="1">0</definedName>
    <definedName name="HTML_PathFile" hidden="1">"C:\2689\Q\國內\00q3961台化龍德PTA3建造\MyHTML.htm"</definedName>
    <definedName name="HTML_Title" hidden="1">"00Q3961-SUM"</definedName>
    <definedName name="huy">#REF!</definedName>
    <definedName name="IDLAB_COST">#REF!</definedName>
    <definedName name="INDMANP">#REF!</definedName>
    <definedName name="K">#REF!</definedName>
    <definedName name="Khac">#REF!</definedName>
    <definedName name="Khong_can_doi">#REF!</definedName>
    <definedName name="KQ_Truong">#REF!</definedName>
    <definedName name="KVC">#REF!</definedName>
    <definedName name="L">#REF!</definedName>
    <definedName name="lVC">#REF!</definedName>
    <definedName name="MAJ_CON_EQP">#REF!</definedName>
    <definedName name="MG_A">#REF!</definedName>
    <definedName name="NCcap0.7">#REF!</definedName>
    <definedName name="NCcap1">#REF!</definedName>
    <definedName name="NET">#REF!</definedName>
    <definedName name="NET_1">#REF!</definedName>
    <definedName name="NET_ANA">#REF!</definedName>
    <definedName name="NET_ANA_1">#REF!</definedName>
    <definedName name="NET_ANA_2">#REF!</definedName>
    <definedName name="Ngay">#REF!</definedName>
    <definedName name="NHAÂN_COÂNG" localSheetId="12">BTRAM</definedName>
    <definedName name="NHAÂN_COÂNG" localSheetId="13">BTRAM</definedName>
    <definedName name="NHAÂN_COÂNG">BTRAM</definedName>
    <definedName name="NQD">#REF!</definedName>
    <definedName name="NQQH">#REF!</definedName>
    <definedName name="NSNN">#REF!</definedName>
    <definedName name="PC">#REF!</definedName>
    <definedName name="Phan_cap">#REF!</definedName>
    <definedName name="Phi_le_phi">#REF!</definedName>
    <definedName name="_xlnm.Print_Area" localSheetId="11">'B 3'!$A$1:$O$304</definedName>
    <definedName name="_xlnm.Print_Area" localSheetId="12">'B 4'!$A:$E</definedName>
    <definedName name="_xlnm.Print_Area" localSheetId="13">'B 5'!$A$1:$P$239</definedName>
    <definedName name="_xlnm.Print_Area" localSheetId="17">'B 9'!$A$3:$P$37</definedName>
    <definedName name="_xlnm.Print_Area" localSheetId="5">'B1'!$A$1:$Q$64</definedName>
    <definedName name="_xlnm.Print_Area" localSheetId="7">'B2'!$A$1:$Q$201</definedName>
    <definedName name="_xlnm.Print_Area" localSheetId="8">'B3'!$A$1:$N$256</definedName>
    <definedName name="_xlnm.Print_Area" localSheetId="9">'B4'!$A$1:$E$25</definedName>
    <definedName name="_xlnm.Print_Area" localSheetId="10">'B5'!$A$1:$P$249</definedName>
    <definedName name="_xlnm.Print_Area" localSheetId="14">'B6'!$A$1:$I$25</definedName>
    <definedName name="_xlnm.Print_Area" localSheetId="15">'B7'!$A$1:$AA$25</definedName>
    <definedName name="_xlnm.Print_Area" localSheetId="16">'B8'!$A$1:$I$144</definedName>
    <definedName name="_xlnm.Print_Area" localSheetId="18">'B9'!$A$1:$Z$87</definedName>
    <definedName name="_xlnm.Print_Area">#REF!</definedName>
    <definedName name="_xlnm.Print_Titles" localSheetId="11">'B 3'!$4:$6</definedName>
    <definedName name="_xlnm.Print_Titles" localSheetId="12">'B 4'!$4:$4</definedName>
    <definedName name="_xlnm.Print_Titles" localSheetId="13">'B 5'!$4:$5</definedName>
    <definedName name="_xlnm.Print_Titles" localSheetId="17">'B 9'!$7:$9</definedName>
    <definedName name="_xlnm.Print_Titles" localSheetId="6">'B dieu tiet'!$6:$10</definedName>
    <definedName name="_xlnm.Print_Titles" localSheetId="5">'B1'!$4:$8</definedName>
    <definedName name="_xlnm.Print_Titles" localSheetId="7">'B2'!$4:$8</definedName>
    <definedName name="_xlnm.Print_Titles" localSheetId="8">'B3'!$4:$7</definedName>
    <definedName name="_xlnm.Print_Titles" localSheetId="10">'B5'!$4:$6</definedName>
    <definedName name="_xlnm.Print_Titles" localSheetId="14">'B6'!$4:$5</definedName>
    <definedName name="_xlnm.Print_Titles" localSheetId="15">'B7'!$3:$8</definedName>
    <definedName name="_xlnm.Print_Titles" localSheetId="16">'B8'!$4:$5</definedName>
    <definedName name="_xlnm.Print_Titles" localSheetId="18">'B9'!$4:$6</definedName>
    <definedName name="_xlnm.Print_Titles">#N/A</definedName>
    <definedName name="PRINT_TITLES_MI" localSheetId="12">#REF!</definedName>
    <definedName name="PRINT_TITLES_MI" localSheetId="13">#REF!</definedName>
    <definedName name="PRINT_TITLES_MI">#REF!</definedName>
    <definedName name="PRINTA">#REF!</definedName>
    <definedName name="PRINTB">#REF!</definedName>
    <definedName name="PRINTC" localSheetId="12">#REF!</definedName>
    <definedName name="PRINTC" localSheetId="13">#REF!</definedName>
    <definedName name="PRINTC">#REF!</definedName>
    <definedName name="PROPOSAL">#REF!</definedName>
    <definedName name="SCT">#REF!</definedName>
    <definedName name="SPEC">#REF!</definedName>
    <definedName name="SPECSUMMARY">#REF!</definedName>
    <definedName name="Start_1">#REF!</definedName>
    <definedName name="Start_10">#REF!</definedName>
    <definedName name="Start_11">#REF!</definedName>
    <definedName name="Start_12">#REF!</definedName>
    <definedName name="Start_13">#REF!</definedName>
    <definedName name="Start_2">#REF!</definedName>
    <definedName name="Start_3">#REF!</definedName>
    <definedName name="Start_4">#REF!</definedName>
    <definedName name="Start_5">#REF!</definedName>
    <definedName name="Start_6">#REF!</definedName>
    <definedName name="Start_7">#REF!</definedName>
    <definedName name="Start_8">#REF!</definedName>
    <definedName name="Start_9">#REF!</definedName>
    <definedName name="SUMMARY">#REF!</definedName>
    <definedName name="TBA">#REF!</definedName>
    <definedName name="thanhtien">#REF!</definedName>
    <definedName name="Tong_co">#REF!</definedName>
    <definedName name="Tong_no">#REF!</definedName>
    <definedName name="ttbt">#REF!</definedName>
    <definedName name="TW">#REF!</definedName>
    <definedName name="VAÄT_LIEÄU">"ATRAM"</definedName>
    <definedName name="vanchuyen">#REF!</definedName>
    <definedName name="VARIINST">#REF!</definedName>
    <definedName name="VARIPURC">#REF!</definedName>
    <definedName name="vat_lieu_KVIII">#REF!</definedName>
    <definedName name="Vattu" localSheetId="12">#REF!</definedName>
    <definedName name="Vattu" localSheetId="13">#REF!</definedName>
    <definedName name="Vattu">#REF!</definedName>
    <definedName name="VC">#REF!</definedName>
    <definedName name="vccot">#REF!</definedName>
    <definedName name="vctb">#REF!</definedName>
    <definedName name="Vlcap0.7">#REF!</definedName>
    <definedName name="VLcap1">#REF!</definedName>
    <definedName name="Vua" localSheetId="12">#REF!</definedName>
    <definedName name="Vua" localSheetId="13">#REF!</definedName>
    <definedName name="Vua">#REF!</definedName>
    <definedName name="W">#REF!</definedName>
    <definedName name="wrn.chi._.tiÆt." localSheetId="12" hidden="1">{#N/A,#N/A,FALSE,"Chi tiÆt"}</definedName>
    <definedName name="wrn.chi._.tiÆt." localSheetId="13" hidden="1">{#N/A,#N/A,FALSE,"Chi tiÆt"}</definedName>
    <definedName name="wrn.chi._.tiÆt." hidden="1">{#N/A,#N/A,FALSE,"Chi tiÆt"}</definedName>
    <definedName name="X">#REF!</definedName>
    <definedName name="ZYX" localSheetId="12">#REF!</definedName>
    <definedName name="ZYX" localSheetId="13">#REF!</definedName>
    <definedName name="ZYX">#REF!</definedName>
    <definedName name="ZZZ">#REF!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7" i="4" l="1"/>
  <c r="D57" i="4" s="1"/>
  <c r="C199" i="4" l="1"/>
  <c r="H144" i="9" l="1"/>
  <c r="H92" i="9" s="1"/>
  <c r="G144" i="9"/>
  <c r="G92" i="9" s="1"/>
  <c r="F144" i="9"/>
  <c r="F92" i="9" s="1"/>
  <c r="I92" i="9"/>
  <c r="F80" i="9"/>
  <c r="G80" i="9"/>
  <c r="H80" i="9"/>
  <c r="I80" i="9"/>
  <c r="E48" i="9"/>
  <c r="F48" i="9"/>
  <c r="G48" i="9"/>
  <c r="H48" i="9"/>
  <c r="I48" i="9"/>
  <c r="G8" i="9"/>
  <c r="H8" i="9"/>
  <c r="I8" i="9"/>
  <c r="D40" i="9"/>
  <c r="D41" i="9"/>
  <c r="D42" i="9"/>
  <c r="D43" i="9"/>
  <c r="D44" i="9"/>
  <c r="D45" i="9"/>
  <c r="D46" i="9"/>
  <c r="E39" i="4"/>
  <c r="H7" i="9" l="1"/>
  <c r="G7" i="9"/>
  <c r="I7" i="9"/>
  <c r="E70" i="4"/>
  <c r="C191" i="17" l="1"/>
  <c r="E42" i="19"/>
  <c r="F42" i="19"/>
  <c r="G42" i="19"/>
  <c r="I42" i="19"/>
  <c r="J42" i="19"/>
  <c r="L42" i="19"/>
  <c r="M42" i="19"/>
  <c r="N42" i="19"/>
  <c r="O47" i="19"/>
  <c r="H47" i="19"/>
  <c r="D47" i="19"/>
  <c r="H46" i="19"/>
  <c r="D46" i="19"/>
  <c r="A2" i="18" l="1"/>
  <c r="D9" i="19"/>
  <c r="D8" i="19" s="1"/>
  <c r="E9" i="19"/>
  <c r="E8" i="19" s="1"/>
  <c r="F9" i="19"/>
  <c r="F8" i="19" s="1"/>
  <c r="G9" i="19"/>
  <c r="G8" i="19" s="1"/>
  <c r="H9" i="19"/>
  <c r="H8" i="19" s="1"/>
  <c r="I9" i="19"/>
  <c r="I8" i="19" s="1"/>
  <c r="J9" i="19"/>
  <c r="J8" i="19" s="1"/>
  <c r="K9" i="19"/>
  <c r="K8" i="19" s="1"/>
  <c r="L9" i="19"/>
  <c r="L8" i="19" s="1"/>
  <c r="M9" i="19"/>
  <c r="M8" i="19" s="1"/>
  <c r="N9" i="19"/>
  <c r="N8" i="19" s="1"/>
  <c r="O9" i="19"/>
  <c r="O8" i="19" s="1"/>
  <c r="D20" i="19"/>
  <c r="E20" i="19"/>
  <c r="F20" i="19"/>
  <c r="G20" i="19"/>
  <c r="I20" i="19"/>
  <c r="J20" i="19"/>
  <c r="L20" i="19"/>
  <c r="M20" i="19"/>
  <c r="N20" i="19"/>
  <c r="O20" i="19"/>
  <c r="K21" i="19"/>
  <c r="K22" i="19"/>
  <c r="H22" i="19" s="1"/>
  <c r="K23" i="19"/>
  <c r="H23" i="19" s="1"/>
  <c r="K24" i="19"/>
  <c r="H24" i="19" s="1"/>
  <c r="L25" i="19"/>
  <c r="M25" i="19"/>
  <c r="N25" i="19"/>
  <c r="O27" i="19"/>
  <c r="O25" i="19" s="1"/>
  <c r="K29" i="19"/>
  <c r="L29" i="19"/>
  <c r="M29" i="19"/>
  <c r="N29" i="19"/>
  <c r="O29" i="19"/>
  <c r="K31" i="19"/>
  <c r="L31" i="19"/>
  <c r="M31" i="19"/>
  <c r="N31" i="19"/>
  <c r="O31" i="19"/>
  <c r="D38" i="19"/>
  <c r="E38" i="19"/>
  <c r="F38" i="19"/>
  <c r="G38" i="19"/>
  <c r="H38" i="19"/>
  <c r="I38" i="19"/>
  <c r="J38" i="19"/>
  <c r="K38" i="19"/>
  <c r="L38" i="19"/>
  <c r="M38" i="19"/>
  <c r="N38" i="19"/>
  <c r="O39" i="19"/>
  <c r="O38" i="19" s="1"/>
  <c r="K40" i="19"/>
  <c r="L40" i="19"/>
  <c r="M40" i="19"/>
  <c r="N40" i="19"/>
  <c r="O40" i="19"/>
  <c r="D43" i="19"/>
  <c r="H43" i="19"/>
  <c r="D44" i="19"/>
  <c r="O44" i="19"/>
  <c r="D45" i="19"/>
  <c r="H45" i="19"/>
  <c r="O45" i="19"/>
  <c r="D48" i="19"/>
  <c r="K48" i="19" s="1"/>
  <c r="K42" i="19" s="1"/>
  <c r="D50" i="19"/>
  <c r="D49" i="19" s="1"/>
  <c r="E50" i="19"/>
  <c r="E49" i="19" s="1"/>
  <c r="F50" i="19"/>
  <c r="F49" i="19" s="1"/>
  <c r="G50" i="19"/>
  <c r="G49" i="19" s="1"/>
  <c r="I50" i="19"/>
  <c r="I49" i="19" s="1"/>
  <c r="J50" i="19"/>
  <c r="J49" i="19" s="1"/>
  <c r="K50" i="19"/>
  <c r="K49" i="19" s="1"/>
  <c r="L50" i="19"/>
  <c r="L49" i="19" s="1"/>
  <c r="M50" i="19"/>
  <c r="M49" i="19" s="1"/>
  <c r="N50" i="19"/>
  <c r="N49" i="19" s="1"/>
  <c r="H51" i="19"/>
  <c r="H50" i="19" s="1"/>
  <c r="H49" i="19" s="1"/>
  <c r="O51" i="19"/>
  <c r="O50" i="19" s="1"/>
  <c r="O49" i="19" s="1"/>
  <c r="D56" i="19"/>
  <c r="E56" i="19"/>
  <c r="F56" i="19"/>
  <c r="G56" i="19"/>
  <c r="H56" i="19"/>
  <c r="I56" i="19"/>
  <c r="J56" i="19"/>
  <c r="K56" i="19"/>
  <c r="L56" i="19"/>
  <c r="M56" i="19"/>
  <c r="N56" i="19"/>
  <c r="O56" i="19"/>
  <c r="D58" i="19"/>
  <c r="E58" i="19"/>
  <c r="F58" i="19"/>
  <c r="G58" i="19"/>
  <c r="H58" i="19"/>
  <c r="I58" i="19"/>
  <c r="J58" i="19"/>
  <c r="K58" i="19"/>
  <c r="L58" i="19"/>
  <c r="M58" i="19"/>
  <c r="N58" i="19"/>
  <c r="O59" i="19"/>
  <c r="O58" i="19" s="1"/>
  <c r="D60" i="19"/>
  <c r="E60" i="19"/>
  <c r="F60" i="19"/>
  <c r="G60" i="19"/>
  <c r="H60" i="19"/>
  <c r="I60" i="19"/>
  <c r="J60" i="19"/>
  <c r="K60" i="19"/>
  <c r="L60" i="19"/>
  <c r="M60" i="19"/>
  <c r="N60" i="19"/>
  <c r="O60" i="19"/>
  <c r="D63" i="19"/>
  <c r="E63" i="19"/>
  <c r="F63" i="19"/>
  <c r="G63" i="19"/>
  <c r="H63" i="19"/>
  <c r="I63" i="19"/>
  <c r="J63" i="19"/>
  <c r="K63" i="19"/>
  <c r="L63" i="19"/>
  <c r="M63" i="19"/>
  <c r="N63" i="19"/>
  <c r="O63" i="19"/>
  <c r="D71" i="19"/>
  <c r="E71" i="19"/>
  <c r="F71" i="19"/>
  <c r="G71" i="19"/>
  <c r="H71" i="19"/>
  <c r="I71" i="19"/>
  <c r="J71" i="19"/>
  <c r="L71" i="19"/>
  <c r="M71" i="19"/>
  <c r="N71" i="19"/>
  <c r="O71" i="19"/>
  <c r="K72" i="19"/>
  <c r="K73" i="19"/>
  <c r="K74" i="19"/>
  <c r="K75" i="19"/>
  <c r="K76" i="19"/>
  <c r="K77" i="19"/>
  <c r="D79" i="19"/>
  <c r="D78" i="19" s="1"/>
  <c r="E79" i="19"/>
  <c r="E78" i="19" s="1"/>
  <c r="F79" i="19"/>
  <c r="F78" i="19" s="1"/>
  <c r="G79" i="19"/>
  <c r="G78" i="19" s="1"/>
  <c r="I79" i="19"/>
  <c r="I78" i="19" s="1"/>
  <c r="J79" i="19"/>
  <c r="J78" i="19" s="1"/>
  <c r="K79" i="19"/>
  <c r="K78" i="19" s="1"/>
  <c r="L79" i="19"/>
  <c r="L78" i="19" s="1"/>
  <c r="M79" i="19"/>
  <c r="M78" i="19" s="1"/>
  <c r="N79" i="19"/>
  <c r="N78" i="19" s="1"/>
  <c r="O79" i="19"/>
  <c r="O78" i="19" s="1"/>
  <c r="H80" i="19"/>
  <c r="H81" i="19"/>
  <c r="H82" i="19"/>
  <c r="H83" i="19"/>
  <c r="D84" i="19"/>
  <c r="E84" i="19"/>
  <c r="F84" i="19"/>
  <c r="G84" i="19"/>
  <c r="I84" i="19"/>
  <c r="J84" i="19"/>
  <c r="L84" i="19"/>
  <c r="M84" i="19"/>
  <c r="N84" i="19"/>
  <c r="O84" i="19"/>
  <c r="H85" i="19"/>
  <c r="K85" i="19"/>
  <c r="K86" i="19"/>
  <c r="H86" i="19" s="1"/>
  <c r="K87" i="19"/>
  <c r="H87" i="19" s="1"/>
  <c r="D99" i="19"/>
  <c r="E99" i="19"/>
  <c r="F99" i="19"/>
  <c r="G99" i="19"/>
  <c r="H99" i="19"/>
  <c r="I99" i="19"/>
  <c r="J99" i="19"/>
  <c r="K99" i="19"/>
  <c r="L99" i="19"/>
  <c r="M99" i="19"/>
  <c r="N99" i="19"/>
  <c r="O99" i="19"/>
  <c r="D102" i="19"/>
  <c r="E102" i="19"/>
  <c r="F102" i="19"/>
  <c r="G102" i="19"/>
  <c r="I102" i="19"/>
  <c r="H103" i="19"/>
  <c r="H104" i="19"/>
  <c r="H105" i="19"/>
  <c r="H106" i="19"/>
  <c r="H107" i="19"/>
  <c r="D108" i="19"/>
  <c r="E108" i="19"/>
  <c r="F108" i="19"/>
  <c r="G108" i="19"/>
  <c r="H108" i="19"/>
  <c r="I108" i="19"/>
  <c r="J108" i="19"/>
  <c r="K108" i="19"/>
  <c r="L108" i="19"/>
  <c r="M108" i="19"/>
  <c r="N108" i="19"/>
  <c r="O108" i="19"/>
  <c r="D133" i="19"/>
  <c r="E133" i="19"/>
  <c r="F133" i="19"/>
  <c r="G133" i="19"/>
  <c r="H133" i="19"/>
  <c r="I133" i="19"/>
  <c r="J133" i="19"/>
  <c r="K133" i="19"/>
  <c r="L133" i="19"/>
  <c r="M133" i="19"/>
  <c r="N133" i="19"/>
  <c r="O133" i="19"/>
  <c r="D140" i="19"/>
  <c r="E140" i="19"/>
  <c r="G140" i="19"/>
  <c r="H140" i="19"/>
  <c r="I140" i="19"/>
  <c r="J140" i="19"/>
  <c r="K140" i="19"/>
  <c r="L140" i="19"/>
  <c r="M140" i="19"/>
  <c r="N140" i="19"/>
  <c r="O140" i="19"/>
  <c r="P140" i="19"/>
  <c r="F238" i="19"/>
  <c r="F140" i="19" s="1"/>
  <c r="C7" i="18"/>
  <c r="C6" i="18" s="1"/>
  <c r="D8" i="18"/>
  <c r="E8" i="18"/>
  <c r="C9" i="18"/>
  <c r="C10" i="18"/>
  <c r="C12" i="18"/>
  <c r="C11" i="18" s="1"/>
  <c r="D14" i="18"/>
  <c r="E14" i="18"/>
  <c r="E13" i="18" s="1"/>
  <c r="D15" i="18"/>
  <c r="E15" i="18"/>
  <c r="C16" i="18"/>
  <c r="C15" i="18" s="1"/>
  <c r="D17" i="18"/>
  <c r="E17" i="18"/>
  <c r="C18" i="18"/>
  <c r="C17" i="18" s="1"/>
  <c r="C19" i="18"/>
  <c r="D20" i="18"/>
  <c r="E20" i="18"/>
  <c r="C21" i="18"/>
  <c r="C20" i="18" s="1"/>
  <c r="D22" i="18"/>
  <c r="E22" i="18"/>
  <c r="C23" i="18"/>
  <c r="C22" i="18" s="1"/>
  <c r="V8" i="17"/>
  <c r="X8" i="17" s="1"/>
  <c r="J11" i="17"/>
  <c r="J10" i="17" s="1"/>
  <c r="C11" i="17" s="1"/>
  <c r="C10" i="17" s="1"/>
  <c r="D11" i="17" s="1"/>
  <c r="D10" i="17" s="1"/>
  <c r="E11" i="17" s="1"/>
  <c r="E10" i="17" s="1"/>
  <c r="F11" i="17" s="1"/>
  <c r="F10" i="17" s="1"/>
  <c r="G11" i="17" s="1"/>
  <c r="G10" i="17" s="1"/>
  <c r="I11" i="17" s="1"/>
  <c r="I10" i="17" s="1"/>
  <c r="K11" i="17" s="1"/>
  <c r="K10" i="17" s="1"/>
  <c r="L11" i="17" s="1"/>
  <c r="L10" i="17" s="1"/>
  <c r="P12" i="17"/>
  <c r="U12" i="17"/>
  <c r="H13" i="17"/>
  <c r="H14" i="17"/>
  <c r="H15" i="17"/>
  <c r="H16" i="17"/>
  <c r="F19" i="17"/>
  <c r="J19" i="17"/>
  <c r="K19" i="17"/>
  <c r="L19" i="17"/>
  <c r="P19" i="17"/>
  <c r="C19" i="17" s="1"/>
  <c r="D19" i="17" s="1"/>
  <c r="E19" i="17" s="1"/>
  <c r="G19" i="17" s="1"/>
  <c r="I19" i="17" s="1"/>
  <c r="U20" i="17"/>
  <c r="F22" i="17"/>
  <c r="J22" i="17"/>
  <c r="K22" i="17"/>
  <c r="L22" i="17"/>
  <c r="P22" i="17"/>
  <c r="C22" i="17" s="1"/>
  <c r="D22" i="17" s="1"/>
  <c r="E22" i="17" s="1"/>
  <c r="G22" i="17" s="1"/>
  <c r="I22" i="17" s="1"/>
  <c r="U23" i="17"/>
  <c r="U24" i="17"/>
  <c r="H25" i="17"/>
  <c r="F27" i="17"/>
  <c r="F26" i="17" s="1"/>
  <c r="J27" i="17"/>
  <c r="J26" i="17" s="1"/>
  <c r="K27" i="17"/>
  <c r="L27" i="17"/>
  <c r="P27" i="17"/>
  <c r="C27" i="17" s="1"/>
  <c r="C26" i="17" s="1"/>
  <c r="D27" i="17" s="1"/>
  <c r="E27" i="17" s="1"/>
  <c r="G27" i="17" s="1"/>
  <c r="H28" i="17"/>
  <c r="H27" i="17" s="1"/>
  <c r="I27" i="17" s="1"/>
  <c r="U28" i="17"/>
  <c r="N29" i="17" s="1"/>
  <c r="P30" i="17"/>
  <c r="U30" i="17"/>
  <c r="F31" i="17"/>
  <c r="J31" i="17"/>
  <c r="K31" i="17"/>
  <c r="L31" i="17"/>
  <c r="P31" i="17"/>
  <c r="C31" i="17" s="1"/>
  <c r="D31" i="17" s="1"/>
  <c r="E31" i="17" s="1"/>
  <c r="G31" i="17" s="1"/>
  <c r="I31" i="17" s="1"/>
  <c r="M31" i="17" s="1"/>
  <c r="U32" i="17"/>
  <c r="N33" i="17"/>
  <c r="F34" i="17"/>
  <c r="J34" i="17"/>
  <c r="K34" i="17"/>
  <c r="L34" i="17"/>
  <c r="P34" i="17"/>
  <c r="C34" i="17" s="1"/>
  <c r="D34" i="17" s="1"/>
  <c r="E34" i="17" s="1"/>
  <c r="G34" i="17" s="1"/>
  <c r="I34" i="17" s="1"/>
  <c r="H36" i="17"/>
  <c r="F38" i="17"/>
  <c r="J38" i="17"/>
  <c r="K38" i="17"/>
  <c r="L38" i="17"/>
  <c r="C38" i="17" s="1"/>
  <c r="D38" i="17" s="1"/>
  <c r="E38" i="17" s="1"/>
  <c r="G38" i="17" s="1"/>
  <c r="I38" i="17" s="1"/>
  <c r="P39" i="17"/>
  <c r="AC39" i="17"/>
  <c r="N40" i="17" s="1"/>
  <c r="P40" i="17"/>
  <c r="U40" i="17"/>
  <c r="AC40" i="17"/>
  <c r="N41" i="17" s="1"/>
  <c r="N42" i="17" s="1"/>
  <c r="H43" i="17" s="1"/>
  <c r="P43" i="17"/>
  <c r="U43" i="17"/>
  <c r="H44" i="17"/>
  <c r="P44" i="17"/>
  <c r="U44" i="17"/>
  <c r="H45" i="17" s="1"/>
  <c r="P45" i="17"/>
  <c r="U45" i="17"/>
  <c r="H46" i="17" s="1"/>
  <c r="U46" i="17"/>
  <c r="F47" i="17"/>
  <c r="J47" i="17"/>
  <c r="K47" i="17"/>
  <c r="L47" i="17"/>
  <c r="P47" i="17"/>
  <c r="C47" i="17" s="1"/>
  <c r="D47" i="17" s="1"/>
  <c r="E47" i="17" s="1"/>
  <c r="G47" i="17" s="1"/>
  <c r="H48" i="17" s="1"/>
  <c r="U48" i="17"/>
  <c r="H49" i="17"/>
  <c r="C50" i="17"/>
  <c r="D50" i="17"/>
  <c r="E50" i="17"/>
  <c r="F50" i="17"/>
  <c r="H50" i="17"/>
  <c r="I50" i="17"/>
  <c r="J50" i="17"/>
  <c r="K50" i="17"/>
  <c r="L50" i="17"/>
  <c r="N51" i="17" s="1"/>
  <c r="N52" i="17" s="1"/>
  <c r="M50" i="17" s="1"/>
  <c r="P53" i="17"/>
  <c r="U53" i="17"/>
  <c r="N54" i="17" s="1"/>
  <c r="N55" i="17" s="1"/>
  <c r="N56" i="17" s="1"/>
  <c r="N57" i="17" s="1"/>
  <c r="N58" i="17" s="1"/>
  <c r="N59" i="17" s="1"/>
  <c r="N60" i="17" s="1"/>
  <c r="J63" i="17"/>
  <c r="L63" i="17"/>
  <c r="P64" i="17"/>
  <c r="U64" i="17"/>
  <c r="H65" i="17" s="1"/>
  <c r="P65" i="17"/>
  <c r="U65" i="17"/>
  <c r="H66" i="17" s="1"/>
  <c r="P66" i="17"/>
  <c r="U66" i="17"/>
  <c r="H67" i="17" s="1"/>
  <c r="P67" i="17"/>
  <c r="U67" i="17"/>
  <c r="K63" i="17" s="1"/>
  <c r="P68" i="17"/>
  <c r="U68" i="17"/>
  <c r="H69" i="17"/>
  <c r="U69" i="17"/>
  <c r="H70" i="17" s="1"/>
  <c r="U70" i="17"/>
  <c r="J72" i="17"/>
  <c r="J71" i="17" s="1"/>
  <c r="L72" i="17"/>
  <c r="L71" i="17" s="1"/>
  <c r="P73" i="17"/>
  <c r="U73" i="17"/>
  <c r="H74" i="17" s="1"/>
  <c r="P74" i="17"/>
  <c r="U74" i="17"/>
  <c r="U75" i="17"/>
  <c r="H76" i="17" s="1"/>
  <c r="U76" i="17"/>
  <c r="H77" i="17"/>
  <c r="N77" i="17" s="1"/>
  <c r="P77" i="17"/>
  <c r="R77" i="17"/>
  <c r="U77" i="17"/>
  <c r="F79" i="17"/>
  <c r="K79" i="17"/>
  <c r="L79" i="17"/>
  <c r="P80" i="17"/>
  <c r="U80" i="17"/>
  <c r="C79" i="17" s="1"/>
  <c r="H81" i="17" s="1"/>
  <c r="P81" i="17"/>
  <c r="U81" i="17"/>
  <c r="C82" i="17"/>
  <c r="D82" i="17"/>
  <c r="E82" i="17"/>
  <c r="F82" i="17"/>
  <c r="G82" i="17"/>
  <c r="H82" i="17"/>
  <c r="I82" i="17"/>
  <c r="J82" i="17"/>
  <c r="J78" i="17" s="1"/>
  <c r="K82" i="17"/>
  <c r="L82" i="17"/>
  <c r="N83" i="17" s="1"/>
  <c r="U83" i="17"/>
  <c r="N84" i="17" s="1"/>
  <c r="U84" i="17"/>
  <c r="N85" i="17" s="1"/>
  <c r="U85" i="17"/>
  <c r="H86" i="17"/>
  <c r="N86" i="17" s="1"/>
  <c r="P86" i="17"/>
  <c r="U86" i="17"/>
  <c r="N87" i="17" s="1"/>
  <c r="P87" i="17"/>
  <c r="U87" i="17"/>
  <c r="N88" i="17" s="1"/>
  <c r="U88" i="17"/>
  <c r="N89" i="17" s="1"/>
  <c r="C90" i="17"/>
  <c r="D90" i="17"/>
  <c r="E90" i="17"/>
  <c r="F90" i="17"/>
  <c r="G90" i="17"/>
  <c r="H90" i="17"/>
  <c r="I90" i="17"/>
  <c r="J90" i="17"/>
  <c r="K90" i="17"/>
  <c r="L90" i="17"/>
  <c r="N91" i="17" s="1"/>
  <c r="N92" i="17" s="1"/>
  <c r="N93" i="17" s="1"/>
  <c r="J95" i="17"/>
  <c r="L95" i="17"/>
  <c r="C95" i="17" s="1"/>
  <c r="D95" i="17" s="1"/>
  <c r="E95" i="17" s="1"/>
  <c r="F95" i="17" s="1"/>
  <c r="G95" i="17" s="1"/>
  <c r="I95" i="17" s="1"/>
  <c r="K95" i="17" s="1"/>
  <c r="M95" i="17" s="1"/>
  <c r="P96" i="17"/>
  <c r="U96" i="17"/>
  <c r="J98" i="17"/>
  <c r="J97" i="17" s="1"/>
  <c r="P99" i="17"/>
  <c r="U99" i="17"/>
  <c r="P100" i="17"/>
  <c r="U100" i="17"/>
  <c r="H101" i="17"/>
  <c r="N101" i="17" s="1"/>
  <c r="P101" i="17"/>
  <c r="U101" i="17"/>
  <c r="P102" i="17"/>
  <c r="N103" i="17" s="1"/>
  <c r="N104" i="17" s="1"/>
  <c r="N105" i="17" s="1"/>
  <c r="J107" i="17"/>
  <c r="L107" i="17"/>
  <c r="F107" i="17" s="1"/>
  <c r="K107" i="17" s="1"/>
  <c r="P108" i="17"/>
  <c r="U108" i="17"/>
  <c r="H109" i="17" s="1"/>
  <c r="P109" i="17"/>
  <c r="U109" i="17"/>
  <c r="H110" i="17" s="1"/>
  <c r="P110" i="17"/>
  <c r="U110" i="17"/>
  <c r="F112" i="17"/>
  <c r="J112" i="17"/>
  <c r="K112" i="17"/>
  <c r="L112" i="17"/>
  <c r="C112" i="17" s="1"/>
  <c r="H113" i="17" s="1"/>
  <c r="U113" i="17"/>
  <c r="H114" i="17" s="1"/>
  <c r="P114" i="17"/>
  <c r="U114" i="17"/>
  <c r="H115" i="17"/>
  <c r="I115" i="17"/>
  <c r="J115" i="17"/>
  <c r="K115" i="17"/>
  <c r="L115" i="17"/>
  <c r="N117" i="17"/>
  <c r="N118" i="17" s="1"/>
  <c r="C120" i="17"/>
  <c r="D120" i="17"/>
  <c r="E120" i="17"/>
  <c r="F120" i="17"/>
  <c r="G120" i="17"/>
  <c r="H120" i="17"/>
  <c r="I120" i="17"/>
  <c r="J120" i="17"/>
  <c r="K120" i="17"/>
  <c r="L120" i="17"/>
  <c r="N121" i="17" s="1"/>
  <c r="N123" i="17" s="1"/>
  <c r="P125" i="17"/>
  <c r="U125" i="17"/>
  <c r="F127" i="17"/>
  <c r="J127" i="17"/>
  <c r="P127" i="17"/>
  <c r="C127" i="17" s="1"/>
  <c r="D127" i="17" s="1"/>
  <c r="E127" i="17" s="1"/>
  <c r="I127" i="17" s="1"/>
  <c r="K127" i="17" s="1"/>
  <c r="L127" i="17" s="1"/>
  <c r="M127" i="17" s="1"/>
  <c r="P128" i="17"/>
  <c r="U128" i="17"/>
  <c r="N129" i="17" s="1"/>
  <c r="F130" i="17"/>
  <c r="J130" i="17"/>
  <c r="K130" i="17"/>
  <c r="L130" i="17"/>
  <c r="P130" i="17"/>
  <c r="C130" i="17" s="1"/>
  <c r="D130" i="17" s="1"/>
  <c r="E130" i="17" s="1"/>
  <c r="H131" i="17" s="1"/>
  <c r="H130" i="17" s="1"/>
  <c r="M130" i="17" s="1"/>
  <c r="P131" i="17"/>
  <c r="U131" i="17"/>
  <c r="U133" i="17"/>
  <c r="C134" i="17"/>
  <c r="D134" i="17"/>
  <c r="E134" i="17"/>
  <c r="F134" i="17"/>
  <c r="G134" i="17"/>
  <c r="I134" i="17"/>
  <c r="J134" i="17"/>
  <c r="K134" i="17"/>
  <c r="L134" i="17"/>
  <c r="H135" i="17"/>
  <c r="H134" i="17" s="1"/>
  <c r="P135" i="17"/>
  <c r="U135" i="17"/>
  <c r="P136" i="17"/>
  <c r="U137" i="17"/>
  <c r="N138" i="17" s="1"/>
  <c r="U138" i="17"/>
  <c r="P139" i="17"/>
  <c r="U139" i="17"/>
  <c r="J141" i="17"/>
  <c r="L141" i="17"/>
  <c r="K141" i="17" s="1"/>
  <c r="P142" i="17"/>
  <c r="U142" i="17"/>
  <c r="H143" i="17" s="1"/>
  <c r="P143" i="17"/>
  <c r="U143" i="17"/>
  <c r="H144" i="17" s="1"/>
  <c r="P144" i="17"/>
  <c r="U144" i="17"/>
  <c r="J145" i="17"/>
  <c r="P146" i="17"/>
  <c r="U146" i="17"/>
  <c r="H147" i="17" s="1"/>
  <c r="P147" i="17"/>
  <c r="R147" i="17" s="1"/>
  <c r="U147" i="17"/>
  <c r="U148" i="17"/>
  <c r="U149" i="17"/>
  <c r="N150" i="17" s="1"/>
  <c r="P150" i="17"/>
  <c r="U150" i="17"/>
  <c r="N152" i="17" s="1"/>
  <c r="N153" i="17" s="1"/>
  <c r="N154" i="17" s="1"/>
  <c r="N155" i="17" s="1"/>
  <c r="N156" i="17" s="1"/>
  <c r="N157" i="17" s="1"/>
  <c r="F158" i="17"/>
  <c r="J158" i="17"/>
  <c r="C158" i="17" s="1"/>
  <c r="D158" i="17" s="1"/>
  <c r="E158" i="17" s="1"/>
  <c r="G158" i="17" s="1"/>
  <c r="I158" i="17" s="1"/>
  <c r="K158" i="17" s="1"/>
  <c r="L158" i="17" s="1"/>
  <c r="U159" i="17"/>
  <c r="N160" i="17" s="1"/>
  <c r="U160" i="17"/>
  <c r="F162" i="17"/>
  <c r="J162" i="17"/>
  <c r="K162" i="17"/>
  <c r="L162" i="17"/>
  <c r="C162" i="17" s="1"/>
  <c r="D162" i="17" s="1"/>
  <c r="E162" i="17" s="1"/>
  <c r="G162" i="17" s="1"/>
  <c r="P163" i="17"/>
  <c r="U163" i="17"/>
  <c r="M164" i="17" s="1"/>
  <c r="U165" i="17"/>
  <c r="P168" i="17"/>
  <c r="U168" i="17"/>
  <c r="F169" i="17"/>
  <c r="F167" i="17" s="1"/>
  <c r="F166" i="17" s="1"/>
  <c r="J169" i="17"/>
  <c r="J167" i="17" s="1"/>
  <c r="J166" i="17" s="1"/>
  <c r="J161" i="17" s="1"/>
  <c r="H168" i="17" s="1"/>
  <c r="K169" i="17"/>
  <c r="K167" i="17" s="1"/>
  <c r="K166" i="17" s="1"/>
  <c r="L169" i="17"/>
  <c r="L167" i="17" s="1"/>
  <c r="L166" i="17" s="1"/>
  <c r="P169" i="17"/>
  <c r="C169" i="17" s="1"/>
  <c r="D169" i="17" s="1"/>
  <c r="E169" i="17" s="1"/>
  <c r="G169" i="17" s="1"/>
  <c r="I169" i="17" s="1"/>
  <c r="P170" i="17"/>
  <c r="U170" i="17"/>
  <c r="M169" i="17" s="1"/>
  <c r="U171" i="17"/>
  <c r="H172" i="17" s="1"/>
  <c r="P172" i="17"/>
  <c r="U172" i="17"/>
  <c r="H173" i="17" s="1"/>
  <c r="P173" i="17"/>
  <c r="U173" i="17"/>
  <c r="N174" i="17" s="1"/>
  <c r="P174" i="17"/>
  <c r="U174" i="17"/>
  <c r="P175" i="17"/>
  <c r="U175" i="17"/>
  <c r="P176" i="17"/>
  <c r="U176" i="17"/>
  <c r="J178" i="17"/>
  <c r="L178" i="17"/>
  <c r="C178" i="17" s="1"/>
  <c r="F178" i="17" s="1"/>
  <c r="K178" i="17" s="1"/>
  <c r="P179" i="17"/>
  <c r="U179" i="17"/>
  <c r="H180" i="17" s="1"/>
  <c r="P180" i="17"/>
  <c r="U180" i="17"/>
  <c r="J181" i="17"/>
  <c r="K181" i="17"/>
  <c r="L181" i="17"/>
  <c r="C181" i="17" s="1"/>
  <c r="D181" i="17" s="1"/>
  <c r="E181" i="17" s="1"/>
  <c r="F181" i="17" s="1"/>
  <c r="G181" i="17" s="1"/>
  <c r="H182" i="17" s="1"/>
  <c r="H181" i="17" s="1"/>
  <c r="P182" i="17"/>
  <c r="U182" i="17"/>
  <c r="C183" i="17"/>
  <c r="D183" i="17"/>
  <c r="E183" i="17"/>
  <c r="F183" i="17"/>
  <c r="G183" i="17"/>
  <c r="I183" i="17"/>
  <c r="J183" i="17"/>
  <c r="K183" i="17"/>
  <c r="L183" i="17"/>
  <c r="H184" i="17"/>
  <c r="H183" i="17" s="1"/>
  <c r="M183" i="17" s="1"/>
  <c r="J185" i="17"/>
  <c r="C185" i="17" s="1"/>
  <c r="D185" i="17" s="1"/>
  <c r="E185" i="17" s="1"/>
  <c r="F185" i="17" s="1"/>
  <c r="I185" i="17" s="1"/>
  <c r="K185" i="17" s="1"/>
  <c r="L185" i="17" s="1"/>
  <c r="P186" i="17"/>
  <c r="U186" i="17"/>
  <c r="H187" i="17"/>
  <c r="P187" i="17"/>
  <c r="U187" i="17"/>
  <c r="P189" i="17"/>
  <c r="U189" i="17"/>
  <c r="C190" i="17"/>
  <c r="J191" i="17"/>
  <c r="J190" i="17" s="1"/>
  <c r="D191" i="17"/>
  <c r="D190" i="17" s="1"/>
  <c r="L191" i="17"/>
  <c r="L190" i="17" s="1"/>
  <c r="M191" i="17"/>
  <c r="N196" i="17" s="1"/>
  <c r="P196" i="17"/>
  <c r="U196" i="17"/>
  <c r="H197" i="17"/>
  <c r="U197" i="17"/>
  <c r="N199" i="17" s="1"/>
  <c r="J200" i="17"/>
  <c r="J198" i="17" s="1"/>
  <c r="C200" i="17" s="1"/>
  <c r="C198" i="17" s="1"/>
  <c r="D200" i="17" s="1"/>
  <c r="D198" i="17" s="1"/>
  <c r="E200" i="17" s="1"/>
  <c r="E198" i="17" s="1"/>
  <c r="F200" i="17" s="1"/>
  <c r="F198" i="17" s="1"/>
  <c r="K200" i="17" s="1"/>
  <c r="K198" i="17" s="1"/>
  <c r="L200" i="17" s="1"/>
  <c r="L198" i="17" s="1"/>
  <c r="P201" i="17"/>
  <c r="H202" i="17"/>
  <c r="N202" i="17" s="1"/>
  <c r="N203" i="17" s="1"/>
  <c r="N204" i="17" s="1"/>
  <c r="N207" i="17" s="1"/>
  <c r="P209" i="17"/>
  <c r="U209" i="17"/>
  <c r="J211" i="17"/>
  <c r="J208" i="17" s="1"/>
  <c r="H212" i="17" s="1"/>
  <c r="P212" i="17"/>
  <c r="U212" i="17"/>
  <c r="F211" i="17" s="1"/>
  <c r="K211" i="17" s="1"/>
  <c r="K208" i="17" s="1"/>
  <c r="L211" i="17" s="1"/>
  <c r="L208" i="17" s="1"/>
  <c r="F214" i="17"/>
  <c r="J214" i="17"/>
  <c r="K214" i="17"/>
  <c r="L214" i="17"/>
  <c r="C214" i="17" s="1"/>
  <c r="D214" i="17" s="1"/>
  <c r="E214" i="17" s="1"/>
  <c r="G214" i="17" s="1"/>
  <c r="H215" i="17" s="1"/>
  <c r="H214" i="17" s="1"/>
  <c r="P215" i="17"/>
  <c r="U215" i="17"/>
  <c r="D217" i="17"/>
  <c r="J217" i="17"/>
  <c r="C217" i="17" s="1"/>
  <c r="E217" i="17" s="1"/>
  <c r="F217" i="17" s="1"/>
  <c r="I217" i="17" s="1"/>
  <c r="K217" i="17" s="1"/>
  <c r="L217" i="17" s="1"/>
  <c r="M217" i="17" s="1"/>
  <c r="P218" i="17"/>
  <c r="U218" i="17"/>
  <c r="F219" i="17"/>
  <c r="J219" i="17"/>
  <c r="K219" i="17"/>
  <c r="L219" i="17"/>
  <c r="P219" i="17"/>
  <c r="C219" i="17" s="1"/>
  <c r="D219" i="17" s="1"/>
  <c r="E219" i="17" s="1"/>
  <c r="G219" i="17" s="1"/>
  <c r="H220" i="17" s="1"/>
  <c r="H219" i="17" s="1"/>
  <c r="N221" i="17" s="1"/>
  <c r="F223" i="17"/>
  <c r="J223" i="17"/>
  <c r="K223" i="17"/>
  <c r="L223" i="17"/>
  <c r="H224" i="17" s="1"/>
  <c r="P224" i="17"/>
  <c r="R224" i="17"/>
  <c r="U224" i="17"/>
  <c r="P225" i="17"/>
  <c r="U225" i="17"/>
  <c r="F226" i="17"/>
  <c r="J226" i="17"/>
  <c r="K226" i="17"/>
  <c r="L226" i="17"/>
  <c r="N227" i="17" s="1"/>
  <c r="U227" i="17"/>
  <c r="C226" i="17" s="1"/>
  <c r="D226" i="17" s="1"/>
  <c r="E226" i="17" s="1"/>
  <c r="G226" i="17" s="1"/>
  <c r="H228" i="17" s="1"/>
  <c r="P228" i="17"/>
  <c r="U228" i="17"/>
  <c r="H229" i="17" s="1"/>
  <c r="P229" i="17"/>
  <c r="U229" i="17"/>
  <c r="F230" i="17"/>
  <c r="J230" i="17"/>
  <c r="K230" i="17"/>
  <c r="L230" i="17"/>
  <c r="C230" i="17" s="1"/>
  <c r="D230" i="17" s="1"/>
  <c r="E230" i="17" s="1"/>
  <c r="G230" i="17" s="1"/>
  <c r="I230" i="17" s="1"/>
  <c r="M230" i="17" s="1"/>
  <c r="P231" i="17"/>
  <c r="U231" i="17"/>
  <c r="J233" i="17"/>
  <c r="K233" i="17"/>
  <c r="L233" i="17"/>
  <c r="C233" i="17" s="1"/>
  <c r="D233" i="17" s="1"/>
  <c r="E233" i="17" s="1"/>
  <c r="F233" i="17" s="1"/>
  <c r="G233" i="17" s="1"/>
  <c r="H234" i="17" s="1"/>
  <c r="M233" i="17" s="1"/>
  <c r="P234" i="17"/>
  <c r="U234" i="17"/>
  <c r="J235" i="17"/>
  <c r="K235" i="17"/>
  <c r="L235" i="17"/>
  <c r="C235" i="17" s="1"/>
  <c r="D235" i="17" s="1"/>
  <c r="E235" i="17" s="1"/>
  <c r="F235" i="17" s="1"/>
  <c r="G235" i="17" s="1"/>
  <c r="I235" i="17" s="1"/>
  <c r="P236" i="17"/>
  <c r="U236" i="17"/>
  <c r="N237" i="17" s="1"/>
  <c r="N238" i="17" s="1"/>
  <c r="N239" i="17" s="1"/>
  <c r="F240" i="17"/>
  <c r="J240" i="17"/>
  <c r="K240" i="17"/>
  <c r="L240" i="17"/>
  <c r="H241" i="17" s="1"/>
  <c r="N241" i="17" s="1"/>
  <c r="P241" i="17"/>
  <c r="U241" i="17"/>
  <c r="G240" i="17" s="1"/>
  <c r="H242" i="17" s="1"/>
  <c r="P242" i="17"/>
  <c r="U242" i="17"/>
  <c r="H244" i="17" s="1"/>
  <c r="P244" i="17"/>
  <c r="U244" i="17"/>
  <c r="H245" i="17" s="1"/>
  <c r="P245" i="17"/>
  <c r="U245" i="17"/>
  <c r="C246" i="17"/>
  <c r="D246" i="17"/>
  <c r="E246" i="17"/>
  <c r="F246" i="17"/>
  <c r="G246" i="17"/>
  <c r="H246" i="17"/>
  <c r="I246" i="17"/>
  <c r="J246" i="17"/>
  <c r="J243" i="17" s="1"/>
  <c r="K246" i="17"/>
  <c r="K243" i="17" s="1"/>
  <c r="L246" i="17"/>
  <c r="L243" i="17" s="1"/>
  <c r="N247" i="17" s="1"/>
  <c r="P247" i="17"/>
  <c r="U247" i="17"/>
  <c r="N248" i="17" s="1"/>
  <c r="P248" i="17"/>
  <c r="U248" i="17"/>
  <c r="P249" i="17"/>
  <c r="U249" i="17"/>
  <c r="N250" i="17" s="1"/>
  <c r="N251" i="17"/>
  <c r="F252" i="17"/>
  <c r="J252" i="17"/>
  <c r="K252" i="17"/>
  <c r="L252" i="17"/>
  <c r="P252" i="17"/>
  <c r="C252" i="17" s="1"/>
  <c r="D252" i="17" s="1"/>
  <c r="E252" i="17" s="1"/>
  <c r="G252" i="17" s="1"/>
  <c r="I252" i="17" s="1"/>
  <c r="U253" i="17"/>
  <c r="N254" i="17" s="1"/>
  <c r="H255" i="17" s="1"/>
  <c r="P255" i="17"/>
  <c r="U255" i="17"/>
  <c r="H256" i="17" s="1"/>
  <c r="P256" i="17"/>
  <c r="U256" i="17"/>
  <c r="F259" i="17"/>
  <c r="F258" i="17" s="1"/>
  <c r="J259" i="17"/>
  <c r="J258" i="17" s="1"/>
  <c r="C259" i="17"/>
  <c r="C258" i="17" s="1"/>
  <c r="D259" i="17"/>
  <c r="D258" i="17" s="1"/>
  <c r="E259" i="17"/>
  <c r="E258" i="17" s="1"/>
  <c r="K259" i="17"/>
  <c r="K258" i="17" s="1"/>
  <c r="L259" i="17"/>
  <c r="L258" i="17" s="1"/>
  <c r="N261" i="17" s="1"/>
  <c r="U261" i="17"/>
  <c r="F263" i="17"/>
  <c r="J263" i="17"/>
  <c r="P263" i="17"/>
  <c r="C263" i="17" s="1"/>
  <c r="D263" i="17" s="1"/>
  <c r="E263" i="17" s="1"/>
  <c r="G263" i="17" s="1"/>
  <c r="I263" i="17" s="1"/>
  <c r="L263" i="17" s="1"/>
  <c r="P264" i="17"/>
  <c r="U264" i="17"/>
  <c r="N265" i="17" s="1"/>
  <c r="U265" i="17"/>
  <c r="F266" i="17"/>
  <c r="J266" i="17"/>
  <c r="P266" i="17"/>
  <c r="C266" i="17" s="1"/>
  <c r="D266" i="17" s="1"/>
  <c r="P267" i="17"/>
  <c r="U267" i="17"/>
  <c r="N268" i="17" s="1"/>
  <c r="F270" i="17"/>
  <c r="F269" i="17" s="1"/>
  <c r="J270" i="17"/>
  <c r="C270" i="17" s="1"/>
  <c r="C269" i="17" s="1"/>
  <c r="D270" i="17" s="1"/>
  <c r="D269" i="17" s="1"/>
  <c r="E270" i="17" s="1"/>
  <c r="E269" i="17" s="1"/>
  <c r="I270" i="17" s="1"/>
  <c r="I269" i="17" s="1"/>
  <c r="K270" i="17" s="1"/>
  <c r="K269" i="17" s="1"/>
  <c r="L270" i="17" s="1"/>
  <c r="L269" i="17" s="1"/>
  <c r="P271" i="17"/>
  <c r="U271" i="17"/>
  <c r="N272" i="17" s="1"/>
  <c r="P272" i="17"/>
  <c r="U272" i="17"/>
  <c r="N273" i="17" s="1"/>
  <c r="N274" i="17" s="1"/>
  <c r="C277" i="17"/>
  <c r="D277" i="17"/>
  <c r="E277" i="17"/>
  <c r="F277" i="17"/>
  <c r="G277" i="17"/>
  <c r="H277" i="17"/>
  <c r="I277" i="17"/>
  <c r="J277" i="17"/>
  <c r="K277" i="17"/>
  <c r="L277" i="17"/>
  <c r="P277" i="17"/>
  <c r="U278" i="17"/>
  <c r="N279" i="17" s="1"/>
  <c r="C280" i="17"/>
  <c r="D280" i="17"/>
  <c r="E280" i="17"/>
  <c r="E276" i="17" s="1"/>
  <c r="E275" i="17" s="1"/>
  <c r="F280" i="17"/>
  <c r="G280" i="17"/>
  <c r="H280" i="17"/>
  <c r="I280" i="17"/>
  <c r="I276" i="17" s="1"/>
  <c r="J280" i="17"/>
  <c r="K280" i="17"/>
  <c r="L280" i="17"/>
  <c r="P280" i="17"/>
  <c r="U281" i="17"/>
  <c r="N282" i="17" s="1"/>
  <c r="C284" i="17"/>
  <c r="D284" i="17"/>
  <c r="E284" i="17"/>
  <c r="F284" i="17"/>
  <c r="G284" i="17"/>
  <c r="G283" i="17" s="1"/>
  <c r="H284" i="17"/>
  <c r="H283" i="17" s="1"/>
  <c r="I284" i="17"/>
  <c r="I283" i="17" s="1"/>
  <c r="J284" i="17"/>
  <c r="K284" i="17"/>
  <c r="K283" i="17" s="1"/>
  <c r="L284" i="17"/>
  <c r="L283" i="17" s="1"/>
  <c r="N285" i="17" s="1"/>
  <c r="P285" i="17"/>
  <c r="U285" i="17"/>
  <c r="N286" i="17" s="1"/>
  <c r="N287" i="17" s="1"/>
  <c r="U287" i="17"/>
  <c r="N288" i="17" s="1"/>
  <c r="N289" i="17" s="1"/>
  <c r="C292" i="17"/>
  <c r="C290" i="17" s="1"/>
  <c r="D292" i="17"/>
  <c r="D290" i="17" s="1"/>
  <c r="E292" i="17"/>
  <c r="E290" i="17" s="1"/>
  <c r="F292" i="17"/>
  <c r="F290" i="17" s="1"/>
  <c r="G292" i="17"/>
  <c r="G290" i="17" s="1"/>
  <c r="H292" i="17"/>
  <c r="H290" i="17" s="1"/>
  <c r="I292" i="17"/>
  <c r="I290" i="17" s="1"/>
  <c r="J292" i="17"/>
  <c r="J290" i="17" s="1"/>
  <c r="K292" i="17"/>
  <c r="K290" i="17" s="1"/>
  <c r="N291" i="17" s="1"/>
  <c r="L292" i="17"/>
  <c r="L290" i="17" s="1"/>
  <c r="P292" i="17"/>
  <c r="N293" i="17" s="1"/>
  <c r="N294" i="17" s="1"/>
  <c r="N295" i="17" s="1"/>
  <c r="P295" i="17"/>
  <c r="U295" i="17"/>
  <c r="N296" i="17" s="1"/>
  <c r="N297" i="17" s="1"/>
  <c r="N298" i="17" s="1"/>
  <c r="N299" i="17" s="1"/>
  <c r="N300" i="17" s="1"/>
  <c r="N301" i="17" s="1"/>
  <c r="N302" i="17" s="1"/>
  <c r="P302" i="17"/>
  <c r="G303" i="17"/>
  <c r="H303" i="17"/>
  <c r="I303" i="17"/>
  <c r="K303" i="17"/>
  <c r="L303" i="17"/>
  <c r="C14" i="18" l="1"/>
  <c r="D13" i="18"/>
  <c r="K37" i="17"/>
  <c r="E5" i="18"/>
  <c r="K78" i="17"/>
  <c r="D5" i="18"/>
  <c r="C13" i="18"/>
  <c r="C8" i="18"/>
  <c r="C5" i="18" s="1"/>
  <c r="I275" i="17"/>
  <c r="L276" i="17"/>
  <c r="J111" i="17"/>
  <c r="J106" i="17" s="1"/>
  <c r="F276" i="17"/>
  <c r="F275" i="17" s="1"/>
  <c r="D262" i="17"/>
  <c r="E266" i="17" s="1"/>
  <c r="I266" i="17" s="1"/>
  <c r="K266" i="17" s="1"/>
  <c r="L266" i="17" s="1"/>
  <c r="F161" i="17"/>
  <c r="K232" i="17"/>
  <c r="F222" i="17"/>
  <c r="L177" i="17"/>
  <c r="C111" i="17"/>
  <c r="F111" i="17"/>
  <c r="F106" i="17" s="1"/>
  <c r="J37" i="17"/>
  <c r="F18" i="17"/>
  <c r="N15" i="17"/>
  <c r="H276" i="17"/>
  <c r="H275" i="17" s="1"/>
  <c r="D276" i="17"/>
  <c r="D275" i="17" s="1"/>
  <c r="J262" i="17"/>
  <c r="L222" i="17"/>
  <c r="M211" i="17"/>
  <c r="M208" i="17" s="1"/>
  <c r="N187" i="17"/>
  <c r="K177" i="17"/>
  <c r="H142" i="17"/>
  <c r="L111" i="17"/>
  <c r="L106" i="17" s="1"/>
  <c r="F78" i="17"/>
  <c r="N45" i="17"/>
  <c r="N44" i="17"/>
  <c r="F37" i="17"/>
  <c r="N25" i="17"/>
  <c r="K276" i="17"/>
  <c r="K275" i="17" s="1"/>
  <c r="G276" i="17"/>
  <c r="G275" i="17" s="1"/>
  <c r="C276" i="17"/>
  <c r="C275" i="17" s="1"/>
  <c r="F262" i="17"/>
  <c r="F257" i="17" s="1"/>
  <c r="K222" i="17"/>
  <c r="K161" i="17"/>
  <c r="N144" i="17"/>
  <c r="J126" i="17"/>
  <c r="J124" i="17" s="1"/>
  <c r="L98" i="17"/>
  <c r="L97" i="17" s="1"/>
  <c r="F98" i="17"/>
  <c r="F97" i="17" s="1"/>
  <c r="F94" i="17" s="1"/>
  <c r="C78" i="17"/>
  <c r="N49" i="17"/>
  <c r="H47" i="17"/>
  <c r="L37" i="17"/>
  <c r="N16" i="17"/>
  <c r="N14" i="17"/>
  <c r="F243" i="17"/>
  <c r="L232" i="17"/>
  <c r="N197" i="17"/>
  <c r="G178" i="17"/>
  <c r="G177" i="17" s="1"/>
  <c r="N165" i="17"/>
  <c r="N164" i="17" s="1"/>
  <c r="F126" i="17"/>
  <c r="F124" i="17" s="1"/>
  <c r="J94" i="17"/>
  <c r="L78" i="17"/>
  <c r="L62" i="17" s="1"/>
  <c r="J18" i="17"/>
  <c r="C262" i="17"/>
  <c r="E243" i="17"/>
  <c r="D188" i="17"/>
  <c r="C126" i="17"/>
  <c r="F63" i="17"/>
  <c r="D243" i="17"/>
  <c r="G223" i="17"/>
  <c r="G222" i="17" s="1"/>
  <c r="M190" i="17"/>
  <c r="H189" i="17"/>
  <c r="N189" i="17" s="1"/>
  <c r="M158" i="17" s="1"/>
  <c r="N143" i="17"/>
  <c r="I226" i="17"/>
  <c r="K145" i="17"/>
  <c r="E145" i="17"/>
  <c r="D141" i="17"/>
  <c r="G115" i="17"/>
  <c r="N109" i="17"/>
  <c r="E107" i="17"/>
  <c r="M19" i="17"/>
  <c r="H264" i="17"/>
  <c r="H263" i="17" s="1"/>
  <c r="E240" i="17"/>
  <c r="H170" i="17"/>
  <c r="H169" i="17" s="1"/>
  <c r="K126" i="17"/>
  <c r="K124" i="17" s="1"/>
  <c r="C124" i="17"/>
  <c r="H99" i="17"/>
  <c r="N48" i="17"/>
  <c r="G37" i="17"/>
  <c r="D26" i="17"/>
  <c r="D18" i="17" s="1"/>
  <c r="D211" i="17"/>
  <c r="D208" i="17" s="1"/>
  <c r="H141" i="17"/>
  <c r="D257" i="17"/>
  <c r="N245" i="17"/>
  <c r="C243" i="17"/>
  <c r="H231" i="17"/>
  <c r="H230" i="17" s="1"/>
  <c r="M226" i="17"/>
  <c r="C223" i="17"/>
  <c r="C222" i="17" s="1"/>
  <c r="N215" i="17"/>
  <c r="G211" i="17"/>
  <c r="G208" i="17" s="1"/>
  <c r="N212" i="17"/>
  <c r="I178" i="17"/>
  <c r="D178" i="17"/>
  <c r="D177" i="17" s="1"/>
  <c r="N173" i="17"/>
  <c r="G145" i="17"/>
  <c r="L145" i="17"/>
  <c r="L140" i="17" s="1"/>
  <c r="F145" i="17"/>
  <c r="H139" i="17"/>
  <c r="N139" i="17" s="1"/>
  <c r="H133" i="17"/>
  <c r="N133" i="17" s="1"/>
  <c r="C98" i="17"/>
  <c r="C97" i="17" s="1"/>
  <c r="C94" i="17" s="1"/>
  <c r="H68" i="17"/>
  <c r="M34" i="17"/>
  <c r="G26" i="17"/>
  <c r="G18" i="17" s="1"/>
  <c r="H12" i="17"/>
  <c r="H11" i="17" s="1"/>
  <c r="P11" i="17" s="1"/>
  <c r="J257" i="17"/>
  <c r="N46" i="17"/>
  <c r="N281" i="17"/>
  <c r="N280" i="17" s="1"/>
  <c r="M280" i="17"/>
  <c r="E262" i="17"/>
  <c r="H259" i="17"/>
  <c r="H258" i="17" s="1"/>
  <c r="N256" i="17"/>
  <c r="M246" i="17"/>
  <c r="M243" i="17" s="1"/>
  <c r="D240" i="17"/>
  <c r="M185" i="17"/>
  <c r="I181" i="17"/>
  <c r="H179" i="17"/>
  <c r="N179" i="17" s="1"/>
  <c r="N172" i="17"/>
  <c r="H159" i="17"/>
  <c r="H158" i="17" s="1"/>
  <c r="I130" i="17"/>
  <c r="I126" i="17" s="1"/>
  <c r="I124" i="17" s="1"/>
  <c r="H128" i="17"/>
  <c r="H127" i="17" s="1"/>
  <c r="E112" i="17"/>
  <c r="E111" i="17" s="1"/>
  <c r="E106" i="17" s="1"/>
  <c r="N102" i="17"/>
  <c r="E98" i="17"/>
  <c r="E97" i="17" s="1"/>
  <c r="E94" i="17" s="1"/>
  <c r="N81" i="17"/>
  <c r="I79" i="17"/>
  <c r="I78" i="17" s="1"/>
  <c r="N76" i="17"/>
  <c r="H75" i="17"/>
  <c r="N75" i="17" s="1"/>
  <c r="H73" i="17"/>
  <c r="H72" i="17" s="1"/>
  <c r="H71" i="17" s="1"/>
  <c r="D72" i="17"/>
  <c r="D71" i="17" s="1"/>
  <c r="N69" i="17"/>
  <c r="N66" i="17"/>
  <c r="E63" i="17"/>
  <c r="E37" i="17"/>
  <c r="H35" i="17"/>
  <c r="H34" i="17" s="1"/>
  <c r="H32" i="17"/>
  <c r="H31" i="17" s="1"/>
  <c r="H30" i="17"/>
  <c r="N30" i="17" s="1"/>
  <c r="M27" i="17"/>
  <c r="M26" i="17" s="1"/>
  <c r="E26" i="17"/>
  <c r="E18" i="17" s="1"/>
  <c r="E17" i="17" s="1"/>
  <c r="L26" i="17"/>
  <c r="L18" i="17" s="1"/>
  <c r="L17" i="17" s="1"/>
  <c r="M22" i="17"/>
  <c r="N13" i="17"/>
  <c r="N246" i="17"/>
  <c r="H271" i="17"/>
  <c r="H270" i="17" s="1"/>
  <c r="H269" i="17" s="1"/>
  <c r="M266" i="17"/>
  <c r="H267" i="17"/>
  <c r="H266" i="17" s="1"/>
  <c r="I262" i="17"/>
  <c r="K263" i="17"/>
  <c r="K262" i="17" s="1"/>
  <c r="K257" i="17" s="1"/>
  <c r="N255" i="17"/>
  <c r="I240" i="17"/>
  <c r="I233" i="17"/>
  <c r="I232" i="17" s="1"/>
  <c r="M223" i="17"/>
  <c r="E223" i="17"/>
  <c r="E222" i="17" s="1"/>
  <c r="N216" i="17"/>
  <c r="N214" i="17" s="1"/>
  <c r="I214" i="17"/>
  <c r="C211" i="17"/>
  <c r="C208" i="17" s="1"/>
  <c r="H201" i="17"/>
  <c r="H200" i="17" s="1"/>
  <c r="H198" i="17" s="1"/>
  <c r="M178" i="17"/>
  <c r="N171" i="17"/>
  <c r="D167" i="17"/>
  <c r="D166" i="17" s="1"/>
  <c r="D145" i="17"/>
  <c r="D112" i="17"/>
  <c r="D111" i="17" s="1"/>
  <c r="N110" i="17"/>
  <c r="M107" i="17"/>
  <c r="I98" i="17"/>
  <c r="I97" i="17" s="1"/>
  <c r="I94" i="17" s="1"/>
  <c r="D98" i="17"/>
  <c r="D97" i="17" s="1"/>
  <c r="D94" i="17" s="1"/>
  <c r="H96" i="17"/>
  <c r="H95" i="17" s="1"/>
  <c r="G79" i="17"/>
  <c r="G78" i="17" s="1"/>
  <c r="K72" i="17"/>
  <c r="K71" i="17" s="1"/>
  <c r="K62" i="17" s="1"/>
  <c r="G72" i="17"/>
  <c r="G71" i="17" s="1"/>
  <c r="C72" i="17"/>
  <c r="C71" i="17" s="1"/>
  <c r="H64" i="17"/>
  <c r="N64" i="17" s="1"/>
  <c r="D63" i="17"/>
  <c r="M38" i="17"/>
  <c r="N36" i="17"/>
  <c r="I26" i="17"/>
  <c r="K26" i="17"/>
  <c r="K18" i="17" s="1"/>
  <c r="E178" i="17"/>
  <c r="E177" i="17" s="1"/>
  <c r="N292" i="17"/>
  <c r="N290" i="17" s="1"/>
  <c r="C257" i="17"/>
  <c r="I259" i="17"/>
  <c r="I258" i="17" s="1"/>
  <c r="E232" i="17"/>
  <c r="M200" i="17"/>
  <c r="M198" i="17" s="1"/>
  <c r="K191" i="17"/>
  <c r="K190" i="17" s="1"/>
  <c r="I191" i="17"/>
  <c r="I190" i="17" s="1"/>
  <c r="E191" i="17"/>
  <c r="E190" i="17" s="1"/>
  <c r="E188" i="17" s="1"/>
  <c r="H186" i="17"/>
  <c r="H185" i="17" s="1"/>
  <c r="N182" i="17"/>
  <c r="N181" i="17" s="1"/>
  <c r="F177" i="17"/>
  <c r="N151" i="17"/>
  <c r="N147" i="17"/>
  <c r="M145" i="17"/>
  <c r="C145" i="17"/>
  <c r="C141" i="17"/>
  <c r="N116" i="17"/>
  <c r="I112" i="17"/>
  <c r="I111" i="17" s="1"/>
  <c r="M98" i="17"/>
  <c r="M97" i="17" s="1"/>
  <c r="M82" i="17"/>
  <c r="E79" i="17"/>
  <c r="E78" i="17" s="1"/>
  <c r="M72" i="17"/>
  <c r="M71" i="17" s="1"/>
  <c r="F72" i="17"/>
  <c r="F71" i="17" s="1"/>
  <c r="N70" i="17"/>
  <c r="C63" i="17"/>
  <c r="G50" i="17"/>
  <c r="M47" i="17"/>
  <c r="C37" i="17"/>
  <c r="M79" i="17"/>
  <c r="M78" i="17" s="1"/>
  <c r="D79" i="17"/>
  <c r="D78" i="17" s="1"/>
  <c r="E72" i="17"/>
  <c r="E71" i="17" s="1"/>
  <c r="N67" i="17"/>
  <c r="M63" i="17"/>
  <c r="M11" i="17"/>
  <c r="M10" i="17" s="1"/>
  <c r="H102" i="19"/>
  <c r="E14" i="19"/>
  <c r="O48" i="19"/>
  <c r="O42" i="19" s="1"/>
  <c r="N55" i="19"/>
  <c r="J55" i="19"/>
  <c r="F55" i="19"/>
  <c r="N14" i="19"/>
  <c r="I14" i="19"/>
  <c r="D14" i="19"/>
  <c r="H79" i="19"/>
  <c r="H78" i="19" s="1"/>
  <c r="M55" i="19"/>
  <c r="I55" i="19"/>
  <c r="E55" i="19"/>
  <c r="M14" i="19"/>
  <c r="G14" i="19"/>
  <c r="K71" i="19"/>
  <c r="L55" i="19"/>
  <c r="H55" i="19"/>
  <c r="D55" i="19"/>
  <c r="K20" i="19"/>
  <c r="K14" i="19" s="1"/>
  <c r="L14" i="19"/>
  <c r="L7" i="19" s="1"/>
  <c r="F14" i="19"/>
  <c r="H84" i="19"/>
  <c r="O55" i="19"/>
  <c r="K55" i="19"/>
  <c r="G55" i="19"/>
  <c r="O14" i="19"/>
  <c r="J14" i="19"/>
  <c r="D42" i="19"/>
  <c r="A2" i="19"/>
  <c r="A2" i="17"/>
  <c r="N7" i="19"/>
  <c r="H48" i="19"/>
  <c r="H42" i="19" s="1"/>
  <c r="H21" i="19"/>
  <c r="H20" i="19" s="1"/>
  <c r="H14" i="19" s="1"/>
  <c r="K84" i="19"/>
  <c r="L262" i="17"/>
  <c r="L257" i="17" s="1"/>
  <c r="M284" i="17"/>
  <c r="M283" i="17" s="1"/>
  <c r="M277" i="17"/>
  <c r="N278" i="17"/>
  <c r="N277" i="17" s="1"/>
  <c r="L275" i="17"/>
  <c r="G270" i="17"/>
  <c r="G269" i="17" s="1"/>
  <c r="N271" i="17"/>
  <c r="N270" i="17" s="1"/>
  <c r="N269" i="17" s="1"/>
  <c r="G259" i="17"/>
  <c r="G258" i="17" s="1"/>
  <c r="N259" i="17"/>
  <c r="N258" i="17" s="1"/>
  <c r="G243" i="17"/>
  <c r="H240" i="17"/>
  <c r="C240" i="17"/>
  <c r="H226" i="17"/>
  <c r="N228" i="17"/>
  <c r="N226" i="17" s="1"/>
  <c r="H225" i="17"/>
  <c r="N225" i="17" s="1"/>
  <c r="I223" i="17"/>
  <c r="G217" i="17"/>
  <c r="M167" i="17"/>
  <c r="M166" i="17" s="1"/>
  <c r="N168" i="17"/>
  <c r="N122" i="17"/>
  <c r="N120" i="17" s="1"/>
  <c r="N114" i="17" s="1"/>
  <c r="M120" i="17"/>
  <c r="E257" i="17"/>
  <c r="M252" i="17"/>
  <c r="K188" i="17"/>
  <c r="N304" i="17"/>
  <c r="N303" i="17" s="1"/>
  <c r="M303" i="17"/>
  <c r="M292" i="17"/>
  <c r="M290" i="17" s="1"/>
  <c r="M270" i="17"/>
  <c r="M269" i="17" s="1"/>
  <c r="G266" i="17"/>
  <c r="G262" i="17" s="1"/>
  <c r="M259" i="17"/>
  <c r="M258" i="17" s="1"/>
  <c r="M240" i="17"/>
  <c r="N234" i="17"/>
  <c r="N233" i="17" s="1"/>
  <c r="H233" i="17"/>
  <c r="D232" i="17"/>
  <c r="N231" i="17"/>
  <c r="N230" i="17" s="1"/>
  <c r="D223" i="17"/>
  <c r="D222" i="17" s="1"/>
  <c r="J222" i="17"/>
  <c r="L188" i="17"/>
  <c r="H163" i="17"/>
  <c r="H162" i="17" s="1"/>
  <c r="I162" i="17"/>
  <c r="H108" i="17"/>
  <c r="H107" i="17" s="1"/>
  <c r="I107" i="17"/>
  <c r="D107" i="17"/>
  <c r="H243" i="17"/>
  <c r="N244" i="17"/>
  <c r="F232" i="17"/>
  <c r="N284" i="17"/>
  <c r="N283" i="17" s="1"/>
  <c r="I243" i="17"/>
  <c r="M235" i="17"/>
  <c r="M232" i="17" s="1"/>
  <c r="G232" i="17"/>
  <c r="C232" i="17"/>
  <c r="J232" i="17"/>
  <c r="N229" i="17"/>
  <c r="N224" i="17"/>
  <c r="N220" i="17"/>
  <c r="N219" i="17" s="1"/>
  <c r="M219" i="17"/>
  <c r="M214" i="17"/>
  <c r="M181" i="17"/>
  <c r="M177" i="17" s="1"/>
  <c r="G112" i="17"/>
  <c r="N242" i="17"/>
  <c r="N240" i="17" s="1"/>
  <c r="I219" i="17"/>
  <c r="N201" i="17"/>
  <c r="N200" i="17" s="1"/>
  <c r="N198" i="17" s="1"/>
  <c r="G200" i="17"/>
  <c r="G198" i="17" s="1"/>
  <c r="C167" i="17"/>
  <c r="C166" i="17" s="1"/>
  <c r="C161" i="17" s="1"/>
  <c r="L126" i="17"/>
  <c r="L124" i="17" s="1"/>
  <c r="G107" i="17"/>
  <c r="C107" i="17"/>
  <c r="C106" i="17" s="1"/>
  <c r="N74" i="17"/>
  <c r="H253" i="17"/>
  <c r="H252" i="17" s="1"/>
  <c r="H236" i="17"/>
  <c r="H235" i="17" s="1"/>
  <c r="H213" i="17"/>
  <c r="E211" i="17"/>
  <c r="E208" i="17" s="1"/>
  <c r="F208" i="17"/>
  <c r="C177" i="17"/>
  <c r="M141" i="17"/>
  <c r="N142" i="17"/>
  <c r="D126" i="17"/>
  <c r="D124" i="17" s="1"/>
  <c r="M115" i="17"/>
  <c r="N119" i="17"/>
  <c r="N115" i="17" s="1"/>
  <c r="K98" i="17"/>
  <c r="K97" i="17" s="1"/>
  <c r="K94" i="17" s="1"/>
  <c r="J188" i="17"/>
  <c r="N180" i="17"/>
  <c r="H167" i="17"/>
  <c r="H166" i="17" s="1"/>
  <c r="N90" i="17"/>
  <c r="H218" i="17"/>
  <c r="H217" i="17" s="1"/>
  <c r="I211" i="17"/>
  <c r="I208" i="17" s="1"/>
  <c r="F191" i="17"/>
  <c r="F190" i="17" s="1"/>
  <c r="F188" i="17" s="1"/>
  <c r="G191" i="17"/>
  <c r="G190" i="17" s="1"/>
  <c r="C188" i="17"/>
  <c r="G185" i="17"/>
  <c r="J177" i="17"/>
  <c r="E167" i="17"/>
  <c r="E166" i="17" s="1"/>
  <c r="E161" i="17" s="1"/>
  <c r="I167" i="17"/>
  <c r="I166" i="17" s="1"/>
  <c r="M162" i="17"/>
  <c r="D161" i="17"/>
  <c r="F141" i="17"/>
  <c r="G141" i="17"/>
  <c r="N137" i="17"/>
  <c r="M112" i="17" s="1"/>
  <c r="I200" i="17"/>
  <c r="I198" i="17" s="1"/>
  <c r="N184" i="17"/>
  <c r="N183" i="17" s="1"/>
  <c r="G167" i="17"/>
  <c r="G166" i="17" s="1"/>
  <c r="G161" i="17" s="1"/>
  <c r="N159" i="17"/>
  <c r="N158" i="17" s="1"/>
  <c r="I141" i="17"/>
  <c r="E141" i="17"/>
  <c r="E140" i="17" s="1"/>
  <c r="K140" i="17"/>
  <c r="G130" i="17"/>
  <c r="N131" i="17"/>
  <c r="E126" i="17"/>
  <c r="E124" i="17" s="1"/>
  <c r="H112" i="17"/>
  <c r="H111" i="17" s="1"/>
  <c r="K111" i="17"/>
  <c r="K106" i="17" s="1"/>
  <c r="H209" i="17"/>
  <c r="L161" i="17"/>
  <c r="M151" i="17"/>
  <c r="H146" i="17"/>
  <c r="H145" i="17" s="1"/>
  <c r="H140" i="17" s="1"/>
  <c r="J140" i="17"/>
  <c r="M102" i="17"/>
  <c r="H100" i="17"/>
  <c r="N100" i="17" s="1"/>
  <c r="N99" i="17"/>
  <c r="G98" i="17"/>
  <c r="G97" i="17" s="1"/>
  <c r="G94" i="17" s="1"/>
  <c r="L94" i="17"/>
  <c r="I145" i="17"/>
  <c r="N132" i="17"/>
  <c r="N68" i="17"/>
  <c r="N65" i="17"/>
  <c r="J62" i="17"/>
  <c r="H125" i="17"/>
  <c r="N82" i="17"/>
  <c r="H63" i="17"/>
  <c r="N43" i="17"/>
  <c r="D37" i="17"/>
  <c r="I18" i="17"/>
  <c r="C18" i="17"/>
  <c r="C17" i="17" s="1"/>
  <c r="M90" i="17"/>
  <c r="I72" i="17"/>
  <c r="I71" i="17" s="1"/>
  <c r="G63" i="17"/>
  <c r="I47" i="17"/>
  <c r="I37" i="17" s="1"/>
  <c r="H39" i="17"/>
  <c r="N35" i="17"/>
  <c r="N34" i="17" s="1"/>
  <c r="N28" i="17"/>
  <c r="N27" i="17" s="1"/>
  <c r="H23" i="17"/>
  <c r="H20" i="17"/>
  <c r="H80" i="17"/>
  <c r="I63" i="17"/>
  <c r="N24" i="17"/>
  <c r="N21" i="17"/>
  <c r="N53" i="17"/>
  <c r="N50" i="17" s="1"/>
  <c r="L37" i="16"/>
  <c r="K37" i="16"/>
  <c r="K36" i="16"/>
  <c r="F36" i="16"/>
  <c r="L36" i="16" s="1"/>
  <c r="K35" i="16"/>
  <c r="F35" i="16"/>
  <c r="L35" i="16" s="1"/>
  <c r="K34" i="16"/>
  <c r="F34" i="16"/>
  <c r="L34" i="16" s="1"/>
  <c r="M34" i="16" s="1"/>
  <c r="L33" i="16"/>
  <c r="K33" i="16"/>
  <c r="L32" i="16"/>
  <c r="K32" i="16"/>
  <c r="K31" i="16"/>
  <c r="F31" i="16"/>
  <c r="L31" i="16" s="1"/>
  <c r="L30" i="16"/>
  <c r="K30" i="16"/>
  <c r="K29" i="16"/>
  <c r="F29" i="16"/>
  <c r="L29" i="16" s="1"/>
  <c r="P28" i="16"/>
  <c r="P32" i="16" s="1"/>
  <c r="P37" i="16" s="1"/>
  <c r="L28" i="16"/>
  <c r="K28" i="16"/>
  <c r="K27" i="16"/>
  <c r="J26" i="16"/>
  <c r="K26" i="16" s="1"/>
  <c r="M26" i="16" s="1"/>
  <c r="K25" i="16"/>
  <c r="M25" i="16" s="1"/>
  <c r="I25" i="16"/>
  <c r="I11" i="16" s="1"/>
  <c r="I10" i="16" s="1"/>
  <c r="L24" i="16"/>
  <c r="K24" i="16"/>
  <c r="K23" i="16"/>
  <c r="G23" i="16"/>
  <c r="F22" i="16"/>
  <c r="L22" i="16" s="1"/>
  <c r="K21" i="16"/>
  <c r="M21" i="16" s="1"/>
  <c r="L20" i="16"/>
  <c r="K20" i="16"/>
  <c r="G20" i="16"/>
  <c r="L19" i="16"/>
  <c r="K19" i="16"/>
  <c r="G19" i="16"/>
  <c r="P18" i="16"/>
  <c r="L18" i="16"/>
  <c r="K18" i="16"/>
  <c r="G18" i="16"/>
  <c r="L17" i="16"/>
  <c r="K17" i="16"/>
  <c r="G17" i="16"/>
  <c r="L16" i="16"/>
  <c r="K16" i="16"/>
  <c r="G16" i="16"/>
  <c r="L15" i="16"/>
  <c r="K15" i="16"/>
  <c r="G15" i="16"/>
  <c r="L14" i="16"/>
  <c r="K14" i="16"/>
  <c r="G14" i="16"/>
  <c r="K13" i="16"/>
  <c r="G13" i="16"/>
  <c r="L12" i="16"/>
  <c r="K12" i="16"/>
  <c r="G12" i="16"/>
  <c r="N11" i="16"/>
  <c r="N10" i="16" s="1"/>
  <c r="H11" i="16"/>
  <c r="H10" i="16" s="1"/>
  <c r="E62" i="17" l="1"/>
  <c r="D62" i="17"/>
  <c r="J7" i="19"/>
  <c r="M94" i="17"/>
  <c r="N243" i="17"/>
  <c r="G17" i="17"/>
  <c r="H10" i="17"/>
  <c r="P10" i="17" s="1"/>
  <c r="N73" i="17"/>
  <c r="N26" i="17"/>
  <c r="I188" i="17"/>
  <c r="I222" i="17"/>
  <c r="G7" i="19"/>
  <c r="M7" i="19"/>
  <c r="N47" i="17"/>
  <c r="M33" i="16"/>
  <c r="N178" i="17"/>
  <c r="J17" i="17"/>
  <c r="N12" i="17"/>
  <c r="N11" i="17" s="1"/>
  <c r="N10" i="17" s="1"/>
  <c r="F140" i="17"/>
  <c r="N170" i="17"/>
  <c r="G111" i="17"/>
  <c r="M276" i="17"/>
  <c r="F62" i="17"/>
  <c r="F61" i="17" s="1"/>
  <c r="F9" i="17" s="1"/>
  <c r="F8" i="17" s="1"/>
  <c r="M188" i="17"/>
  <c r="M37" i="16"/>
  <c r="K17" i="17"/>
  <c r="H178" i="17"/>
  <c r="H177" i="17" s="1"/>
  <c r="N264" i="17"/>
  <c r="N263" i="17" s="1"/>
  <c r="D106" i="17"/>
  <c r="N267" i="17"/>
  <c r="N266" i="17" s="1"/>
  <c r="F7" i="19"/>
  <c r="F17" i="17"/>
  <c r="I177" i="17"/>
  <c r="C140" i="17"/>
  <c r="N72" i="17"/>
  <c r="N71" i="17" s="1"/>
  <c r="M111" i="17"/>
  <c r="M106" i="17" s="1"/>
  <c r="N169" i="17"/>
  <c r="K7" i="19"/>
  <c r="I257" i="17"/>
  <c r="N32" i="17"/>
  <c r="N31" i="17" s="1"/>
  <c r="G62" i="17"/>
  <c r="G140" i="17"/>
  <c r="I106" i="17"/>
  <c r="D140" i="17"/>
  <c r="G188" i="17"/>
  <c r="N141" i="17"/>
  <c r="N276" i="17"/>
  <c r="N275" i="17" s="1"/>
  <c r="E7" i="19"/>
  <c r="M222" i="17"/>
  <c r="H126" i="17"/>
  <c r="H124" i="17" s="1"/>
  <c r="M14" i="16"/>
  <c r="M18" i="16"/>
  <c r="M32" i="16"/>
  <c r="G257" i="17"/>
  <c r="M263" i="17" s="1"/>
  <c r="M262" i="17" s="1"/>
  <c r="M24" i="16"/>
  <c r="M29" i="16"/>
  <c r="M31" i="16"/>
  <c r="M35" i="16"/>
  <c r="M16" i="16"/>
  <c r="M15" i="16"/>
  <c r="M28" i="16"/>
  <c r="M36" i="16"/>
  <c r="M18" i="17"/>
  <c r="H26" i="17"/>
  <c r="P26" i="17" s="1"/>
  <c r="C62" i="17"/>
  <c r="C61" i="17" s="1"/>
  <c r="C9" i="17" s="1"/>
  <c r="C8" i="17" s="1"/>
  <c r="H262" i="17"/>
  <c r="H257" i="17" s="1"/>
  <c r="N146" i="17"/>
  <c r="N145" i="17" s="1"/>
  <c r="N140" i="17" s="1"/>
  <c r="N223" i="17"/>
  <c r="M37" i="17"/>
  <c r="P214" i="17"/>
  <c r="L61" i="17"/>
  <c r="L9" i="17" s="1"/>
  <c r="L8" i="17" s="1"/>
  <c r="D17" i="17"/>
  <c r="M161" i="17"/>
  <c r="M62" i="17"/>
  <c r="N191" i="17"/>
  <c r="N190" i="17" s="1"/>
  <c r="N188" i="17" s="1"/>
  <c r="H191" i="17"/>
  <c r="H190" i="17" s="1"/>
  <c r="H188" i="17" s="1"/>
  <c r="H106" i="17"/>
  <c r="N253" i="17"/>
  <c r="N252" i="17" s="1"/>
  <c r="N96" i="17"/>
  <c r="N95" i="17" s="1"/>
  <c r="K61" i="17"/>
  <c r="K9" i="17" s="1"/>
  <c r="K8" i="17" s="1"/>
  <c r="I62" i="17"/>
  <c r="N63" i="17"/>
  <c r="N163" i="17"/>
  <c r="N162" i="17" s="1"/>
  <c r="N177" i="17"/>
  <c r="N186" i="17"/>
  <c r="N185" i="17" s="1"/>
  <c r="P185" i="17" s="1"/>
  <c r="D7" i="19"/>
  <c r="I7" i="19"/>
  <c r="O7" i="19"/>
  <c r="H7" i="19"/>
  <c r="H79" i="17"/>
  <c r="H78" i="17" s="1"/>
  <c r="H62" i="17" s="1"/>
  <c r="N80" i="17"/>
  <c r="N79" i="17" s="1"/>
  <c r="N78" i="17" s="1"/>
  <c r="N108" i="17"/>
  <c r="N107" i="17" s="1"/>
  <c r="N135" i="17"/>
  <c r="N134" i="17" s="1"/>
  <c r="M134" i="17"/>
  <c r="M126" i="17" s="1"/>
  <c r="M124" i="17" s="1"/>
  <c r="N125" i="17"/>
  <c r="N209" i="17"/>
  <c r="G106" i="17"/>
  <c r="H223" i="17"/>
  <c r="H222" i="17" s="1"/>
  <c r="N222" i="17" s="1"/>
  <c r="I161" i="17"/>
  <c r="N167" i="17"/>
  <c r="N166" i="17" s="1"/>
  <c r="I17" i="17"/>
  <c r="H98" i="17"/>
  <c r="H97" i="17" s="1"/>
  <c r="H94" i="17" s="1"/>
  <c r="N20" i="17"/>
  <c r="N19" i="17" s="1"/>
  <c r="H19" i="17"/>
  <c r="J61" i="17"/>
  <c r="N130" i="17"/>
  <c r="I140" i="17"/>
  <c r="H161" i="17"/>
  <c r="H232" i="17"/>
  <c r="M257" i="17"/>
  <c r="N218" i="17"/>
  <c r="N217" i="17" s="1"/>
  <c r="P217" i="17" s="1"/>
  <c r="M275" i="17"/>
  <c r="N23" i="17"/>
  <c r="N22" i="17" s="1"/>
  <c r="H22" i="17"/>
  <c r="H38" i="17"/>
  <c r="H37" i="17" s="1"/>
  <c r="N39" i="17"/>
  <c r="N38" i="17" s="1"/>
  <c r="N37" i="17" s="1"/>
  <c r="E61" i="17"/>
  <c r="E9" i="17" s="1"/>
  <c r="E8" i="17" s="1"/>
  <c r="N98" i="17"/>
  <c r="N97" i="17" s="1"/>
  <c r="N128" i="17"/>
  <c r="N127" i="17" s="1"/>
  <c r="G127" i="17"/>
  <c r="G126" i="17" s="1"/>
  <c r="G124" i="17" s="1"/>
  <c r="M140" i="17"/>
  <c r="N213" i="17"/>
  <c r="N211" i="17" s="1"/>
  <c r="H211" i="17"/>
  <c r="H208" i="17" s="1"/>
  <c r="N113" i="17"/>
  <c r="N112" i="17" s="1"/>
  <c r="N111" i="17" s="1"/>
  <c r="N236" i="17"/>
  <c r="N235" i="17" s="1"/>
  <c r="N232" i="17" s="1"/>
  <c r="M13" i="16"/>
  <c r="M20" i="16"/>
  <c r="M27" i="16"/>
  <c r="J11" i="16"/>
  <c r="J10" i="16" s="1"/>
  <c r="M17" i="16"/>
  <c r="M19" i="16"/>
  <c r="M23" i="16"/>
  <c r="K11" i="16"/>
  <c r="K10" i="16" s="1"/>
  <c r="G11" i="16"/>
  <c r="G10" i="16" s="1"/>
  <c r="M30" i="16"/>
  <c r="M22" i="16"/>
  <c r="L11" i="16"/>
  <c r="L10" i="16" s="1"/>
  <c r="F11" i="16"/>
  <c r="F10" i="16" s="1"/>
  <c r="N262" i="17" l="1"/>
  <c r="N257" i="17" s="1"/>
  <c r="M17" i="17"/>
  <c r="N94" i="17"/>
  <c r="P177" i="17"/>
  <c r="J9" i="17"/>
  <c r="J8" i="17" s="1"/>
  <c r="D61" i="17"/>
  <c r="D9" i="17" s="1"/>
  <c r="D8" i="17" s="1"/>
  <c r="P140" i="17"/>
  <c r="M11" i="16"/>
  <c r="M10" i="16" s="1"/>
  <c r="N161" i="17"/>
  <c r="P161" i="17" s="1"/>
  <c r="N62" i="17"/>
  <c r="P62" i="17" s="1"/>
  <c r="I61" i="17"/>
  <c r="I9" i="17" s="1"/>
  <c r="I8" i="17" s="1"/>
  <c r="P94" i="17"/>
  <c r="P188" i="17"/>
  <c r="G61" i="17"/>
  <c r="G9" i="17" s="1"/>
  <c r="G8" i="17" s="1"/>
  <c r="M61" i="17"/>
  <c r="M9" i="17" s="1"/>
  <c r="M8" i="17" s="1"/>
  <c r="H18" i="17"/>
  <c r="H61" i="17"/>
  <c r="N208" i="17"/>
  <c r="P208" i="17" s="1"/>
  <c r="N126" i="17"/>
  <c r="N124" i="17" s="1"/>
  <c r="P124" i="17" s="1"/>
  <c r="N18" i="17"/>
  <c r="N17" i="17" s="1"/>
  <c r="N106" i="17"/>
  <c r="P106" i="17" s="1"/>
  <c r="F117" i="4"/>
  <c r="E117" i="4" s="1"/>
  <c r="N61" i="17" l="1"/>
  <c r="P61" i="17" s="1"/>
  <c r="H17" i="17"/>
  <c r="P18" i="17"/>
  <c r="D18" i="4"/>
  <c r="D67" i="3"/>
  <c r="D54" i="2"/>
  <c r="E144" i="4"/>
  <c r="P17" i="17" l="1"/>
  <c r="H9" i="17"/>
  <c r="N9" i="17"/>
  <c r="N8" i="17" s="1"/>
  <c r="H204" i="4"/>
  <c r="I204" i="4"/>
  <c r="J204" i="4"/>
  <c r="K204" i="4"/>
  <c r="L204" i="4"/>
  <c r="M204" i="4"/>
  <c r="N204" i="4"/>
  <c r="O204" i="4"/>
  <c r="P204" i="4"/>
  <c r="Q204" i="4"/>
  <c r="G204" i="4"/>
  <c r="H8" i="17" l="1"/>
  <c r="P9" i="17"/>
  <c r="H142" i="4"/>
  <c r="I142" i="4"/>
  <c r="J142" i="4"/>
  <c r="K142" i="4"/>
  <c r="L142" i="4"/>
  <c r="M142" i="4"/>
  <c r="N142" i="4"/>
  <c r="O142" i="4"/>
  <c r="P142" i="4"/>
  <c r="Q142" i="4"/>
  <c r="G142" i="4"/>
  <c r="F146" i="4"/>
  <c r="R8" i="17" l="1"/>
  <c r="P8" i="17"/>
  <c r="Q129" i="4"/>
  <c r="H127" i="4" l="1"/>
  <c r="I127" i="4"/>
  <c r="J127" i="4"/>
  <c r="K127" i="4"/>
  <c r="L127" i="4"/>
  <c r="M127" i="4"/>
  <c r="N127" i="4"/>
  <c r="O127" i="4"/>
  <c r="Q127" i="4"/>
  <c r="G127" i="4"/>
  <c r="F129" i="4"/>
  <c r="D129" i="4" s="1"/>
  <c r="E97" i="4"/>
  <c r="P128" i="4" l="1"/>
  <c r="P127" i="4" s="1"/>
  <c r="F127" i="4" s="1"/>
  <c r="D148" i="4"/>
  <c r="D145" i="4"/>
  <c r="C181" i="4"/>
  <c r="C190" i="4" s="1"/>
  <c r="D193" i="4" l="1"/>
  <c r="E193" i="4" s="1"/>
  <c r="D187" i="4"/>
  <c r="E187" i="4" s="1"/>
  <c r="Q59" i="4" l="1"/>
  <c r="Q56" i="4" s="1"/>
  <c r="P59" i="4"/>
  <c r="P56" i="4" s="1"/>
  <c r="O59" i="4"/>
  <c r="O56" i="4" s="1"/>
  <c r="N59" i="4"/>
  <c r="N56" i="4" s="1"/>
  <c r="M59" i="4"/>
  <c r="M56" i="4" s="1"/>
  <c r="L59" i="4"/>
  <c r="L56" i="4" s="1"/>
  <c r="K59" i="4"/>
  <c r="K56" i="4" s="1"/>
  <c r="J59" i="4"/>
  <c r="J56" i="4" s="1"/>
  <c r="I59" i="4"/>
  <c r="I56" i="4" s="1"/>
  <c r="H59" i="4"/>
  <c r="H56" i="4" s="1"/>
  <c r="G59" i="4"/>
  <c r="G56" i="4" s="1"/>
  <c r="F60" i="4"/>
  <c r="D60" i="4" s="1"/>
  <c r="F61" i="4"/>
  <c r="D61" i="4" s="1"/>
  <c r="E144" i="9" l="1"/>
  <c r="D144" i="9" s="1"/>
  <c r="D143" i="9"/>
  <c r="D142" i="9"/>
  <c r="D141" i="9"/>
  <c r="D140" i="9"/>
  <c r="D139" i="9"/>
  <c r="D138" i="9"/>
  <c r="D137" i="9"/>
  <c r="D136" i="9"/>
  <c r="D135" i="9"/>
  <c r="D134" i="9"/>
  <c r="D133" i="9"/>
  <c r="D132" i="9"/>
  <c r="D131" i="9"/>
  <c r="D130" i="9"/>
  <c r="D129" i="9"/>
  <c r="D128" i="9"/>
  <c r="D127" i="9"/>
  <c r="D126" i="9"/>
  <c r="D125" i="9"/>
  <c r="D124" i="9"/>
  <c r="D123" i="9"/>
  <c r="D122" i="9"/>
  <c r="D121" i="9"/>
  <c r="D120" i="9"/>
  <c r="D119" i="9"/>
  <c r="D118" i="9"/>
  <c r="D117" i="9"/>
  <c r="D116" i="9"/>
  <c r="D115" i="9"/>
  <c r="D114" i="9"/>
  <c r="D113" i="9"/>
  <c r="D112" i="9"/>
  <c r="D111" i="9"/>
  <c r="D110" i="9"/>
  <c r="D109" i="9"/>
  <c r="D108" i="9"/>
  <c r="D107" i="9"/>
  <c r="D106" i="9"/>
  <c r="D105" i="9"/>
  <c r="D104" i="9"/>
  <c r="D103" i="9"/>
  <c r="D102" i="9"/>
  <c r="D101" i="9"/>
  <c r="D100" i="9"/>
  <c r="D99" i="9"/>
  <c r="D98" i="9"/>
  <c r="D97" i="9"/>
  <c r="D96" i="9"/>
  <c r="D95" i="9"/>
  <c r="D94" i="9"/>
  <c r="D93" i="9"/>
  <c r="D91" i="9"/>
  <c r="D90" i="9"/>
  <c r="D89" i="9"/>
  <c r="D88" i="9"/>
  <c r="D87" i="9"/>
  <c r="D86" i="9"/>
  <c r="D85" i="9"/>
  <c r="D84" i="9"/>
  <c r="D83" i="9"/>
  <c r="D82" i="9"/>
  <c r="D81" i="9"/>
  <c r="E80" i="9"/>
  <c r="D79" i="9"/>
  <c r="D78" i="9"/>
  <c r="D77" i="9"/>
  <c r="D76" i="9"/>
  <c r="D75" i="9"/>
  <c r="D74" i="9"/>
  <c r="D73" i="9"/>
  <c r="D72" i="9"/>
  <c r="D71" i="9"/>
  <c r="D70" i="9"/>
  <c r="D69" i="9"/>
  <c r="D68" i="9"/>
  <c r="D67" i="9"/>
  <c r="D66" i="9"/>
  <c r="D65" i="9"/>
  <c r="D64" i="9"/>
  <c r="D63" i="9"/>
  <c r="D62" i="9"/>
  <c r="D61" i="9"/>
  <c r="D60" i="9"/>
  <c r="D59" i="9"/>
  <c r="D58" i="9"/>
  <c r="D57" i="9"/>
  <c r="D56" i="9"/>
  <c r="D55" i="9"/>
  <c r="D54" i="9"/>
  <c r="D53" i="9"/>
  <c r="D52" i="9"/>
  <c r="D51" i="9"/>
  <c r="D50" i="9"/>
  <c r="D49" i="9"/>
  <c r="F47" i="9"/>
  <c r="F8" i="9" s="1"/>
  <c r="F7" i="9" s="1"/>
  <c r="E47" i="9"/>
  <c r="E8" i="9" s="1"/>
  <c r="D39" i="9"/>
  <c r="D38" i="9"/>
  <c r="D37" i="9"/>
  <c r="D36" i="9"/>
  <c r="D35" i="9"/>
  <c r="D34" i="9"/>
  <c r="D33" i="9"/>
  <c r="D32" i="9"/>
  <c r="D31" i="9"/>
  <c r="D30" i="9"/>
  <c r="D29" i="9"/>
  <c r="D28" i="9"/>
  <c r="D27" i="9"/>
  <c r="D26" i="9"/>
  <c r="D25" i="9"/>
  <c r="D24" i="9"/>
  <c r="D23" i="9"/>
  <c r="D22" i="9"/>
  <c r="D21" i="9"/>
  <c r="D20" i="9"/>
  <c r="D19" i="9"/>
  <c r="D18" i="9"/>
  <c r="D17" i="9"/>
  <c r="D16" i="9"/>
  <c r="D15" i="9"/>
  <c r="D14" i="9"/>
  <c r="D13" i="9"/>
  <c r="D12" i="9"/>
  <c r="D11" i="9"/>
  <c r="D10" i="9"/>
  <c r="D9" i="9"/>
  <c r="D92" i="9" l="1"/>
  <c r="D80" i="9"/>
  <c r="D47" i="9"/>
  <c r="D8" i="9" s="1"/>
  <c r="D48" i="9"/>
  <c r="E92" i="9"/>
  <c r="E7" i="9" s="1"/>
  <c r="D7" i="9" l="1"/>
  <c r="G33" i="2"/>
  <c r="E130" i="4" l="1"/>
  <c r="M38" i="4" l="1"/>
  <c r="Q156" i="4" l="1"/>
  <c r="P156" i="4"/>
  <c r="O156" i="4"/>
  <c r="N156" i="4"/>
  <c r="M156" i="4"/>
  <c r="L156" i="4"/>
  <c r="K156" i="4"/>
  <c r="J156" i="4"/>
  <c r="I156" i="4"/>
  <c r="H156" i="4"/>
  <c r="G156" i="4"/>
  <c r="M82" i="4" l="1"/>
  <c r="M81" i="4"/>
  <c r="M80" i="4"/>
  <c r="G103" i="4" l="1"/>
  <c r="G114" i="4"/>
  <c r="G124" i="4"/>
  <c r="H124" i="4" l="1"/>
  <c r="I124" i="4"/>
  <c r="J124" i="4"/>
  <c r="K124" i="4"/>
  <c r="L124" i="4"/>
  <c r="M124" i="4"/>
  <c r="N124" i="4"/>
  <c r="O124" i="4"/>
  <c r="P124" i="4"/>
  <c r="Q124" i="4"/>
  <c r="R180" i="4" l="1"/>
  <c r="F178" i="4"/>
  <c r="F177" i="4"/>
  <c r="F176" i="4"/>
  <c r="F175" i="4"/>
  <c r="F174" i="4"/>
  <c r="F173" i="4"/>
  <c r="F172" i="4"/>
  <c r="F171" i="4"/>
  <c r="F169" i="4"/>
  <c r="F167" i="4"/>
  <c r="F166" i="4"/>
  <c r="F163" i="4"/>
  <c r="F162" i="4"/>
  <c r="F160" i="4"/>
  <c r="F158" i="4"/>
  <c r="F157" i="4"/>
  <c r="F156" i="4"/>
  <c r="F155" i="4"/>
  <c r="F154" i="4"/>
  <c r="F95" i="4"/>
  <c r="I164" i="4"/>
  <c r="O114" i="4"/>
  <c r="Q114" i="4"/>
  <c r="P114" i="4"/>
  <c r="N114" i="4"/>
  <c r="M114" i="4"/>
  <c r="L114" i="4"/>
  <c r="K114" i="4"/>
  <c r="J114" i="4"/>
  <c r="I114" i="4"/>
  <c r="H114" i="4"/>
  <c r="Q89" i="4"/>
  <c r="P89" i="4"/>
  <c r="O89" i="4"/>
  <c r="N89" i="4"/>
  <c r="M89" i="4"/>
  <c r="L89" i="4"/>
  <c r="K89" i="4"/>
  <c r="J89" i="4"/>
  <c r="H89" i="4"/>
  <c r="G89" i="4"/>
  <c r="L93" i="4" l="1"/>
  <c r="R93" i="4"/>
  <c r="P64" i="4" l="1"/>
  <c r="O64" i="4"/>
  <c r="N64" i="4"/>
  <c r="M64" i="4"/>
  <c r="L64" i="4"/>
  <c r="K64" i="4"/>
  <c r="J64" i="4"/>
  <c r="F98" i="4"/>
  <c r="D98" i="4" s="1"/>
  <c r="Q103" i="4"/>
  <c r="Q93" i="4" s="1"/>
  <c r="P103" i="4"/>
  <c r="P93" i="4" s="1"/>
  <c r="O103" i="4"/>
  <c r="O93" i="4" s="1"/>
  <c r="N103" i="4"/>
  <c r="N93" i="4" s="1"/>
  <c r="M103" i="4"/>
  <c r="M93" i="4" s="1"/>
  <c r="K103" i="4"/>
  <c r="K93" i="4" s="1"/>
  <c r="J103" i="4"/>
  <c r="J93" i="4" s="1"/>
  <c r="I103" i="4"/>
  <c r="H103" i="4"/>
  <c r="H93" i="4" s="1"/>
  <c r="G170" i="4" l="1"/>
  <c r="F170" i="4" s="1"/>
  <c r="G75" i="4"/>
  <c r="H168" i="4"/>
  <c r="H165" i="4" s="1"/>
  <c r="H161" i="4" s="1"/>
  <c r="H159" i="4" s="1"/>
  <c r="I168" i="4"/>
  <c r="I165" i="4" s="1"/>
  <c r="I161" i="4" s="1"/>
  <c r="I159" i="4" s="1"/>
  <c r="J168" i="4"/>
  <c r="J165" i="4" s="1"/>
  <c r="J161" i="4" s="1"/>
  <c r="J159" i="4" s="1"/>
  <c r="K168" i="4"/>
  <c r="K165" i="4" s="1"/>
  <c r="K161" i="4" s="1"/>
  <c r="K159" i="4" s="1"/>
  <c r="L168" i="4"/>
  <c r="L165" i="4" s="1"/>
  <c r="L161" i="4" s="1"/>
  <c r="L159" i="4" s="1"/>
  <c r="M168" i="4"/>
  <c r="M165" i="4" s="1"/>
  <c r="M161" i="4" s="1"/>
  <c r="M159" i="4" s="1"/>
  <c r="N168" i="4"/>
  <c r="N165" i="4" s="1"/>
  <c r="N161" i="4" s="1"/>
  <c r="N159" i="4" s="1"/>
  <c r="O168" i="4"/>
  <c r="O165" i="4" s="1"/>
  <c r="O161" i="4" s="1"/>
  <c r="O159" i="4" s="1"/>
  <c r="P168" i="4"/>
  <c r="P165" i="4" s="1"/>
  <c r="P161" i="4" s="1"/>
  <c r="P159" i="4" s="1"/>
  <c r="Q168" i="4"/>
  <c r="Q165" i="4" s="1"/>
  <c r="Q161" i="4" s="1"/>
  <c r="Q159" i="4" s="1"/>
  <c r="R168" i="4"/>
  <c r="R165" i="4" s="1"/>
  <c r="R161" i="4" s="1"/>
  <c r="R159" i="4" s="1"/>
  <c r="D171" i="4"/>
  <c r="C170" i="4"/>
  <c r="D170" i="4" s="1"/>
  <c r="E169" i="4"/>
  <c r="C75" i="4"/>
  <c r="D75" i="4" s="1"/>
  <c r="C77" i="4"/>
  <c r="D168" i="4" l="1"/>
  <c r="C168" i="4"/>
  <c r="C161" i="4" s="1"/>
  <c r="C159" i="4" s="1"/>
  <c r="E171" i="4"/>
  <c r="E170" i="4"/>
  <c r="G168" i="4"/>
  <c r="G165" i="4" l="1"/>
  <c r="G161" i="4" s="1"/>
  <c r="G159" i="4" s="1"/>
  <c r="F168" i="4"/>
  <c r="E168" i="4"/>
  <c r="D167" i="4"/>
  <c r="H65" i="4"/>
  <c r="D65" i="4"/>
  <c r="Q65" i="4"/>
  <c r="P65" i="4"/>
  <c r="O65" i="4"/>
  <c r="N65" i="4"/>
  <c r="M65" i="4"/>
  <c r="L65" i="4"/>
  <c r="K65" i="4"/>
  <c r="J65" i="4"/>
  <c r="I65" i="4"/>
  <c r="G65" i="4"/>
  <c r="D166" i="4"/>
  <c r="E166" i="4" s="1"/>
  <c r="C48" i="4"/>
  <c r="D48" i="4" s="1"/>
  <c r="E48" i="4" s="1"/>
  <c r="C54" i="4"/>
  <c r="C52" i="4"/>
  <c r="D52" i="4" s="1"/>
  <c r="C51" i="4"/>
  <c r="C50" i="4"/>
  <c r="C49" i="4"/>
  <c r="C156" i="4"/>
  <c r="F165" i="4" l="1"/>
  <c r="F161" i="4"/>
  <c r="E167" i="4"/>
  <c r="F37" i="2" l="1"/>
  <c r="F22" i="4"/>
  <c r="O21" i="8" l="1"/>
  <c r="Q21" i="8"/>
  <c r="R21" i="8"/>
  <c r="S21" i="8"/>
  <c r="T21" i="8"/>
  <c r="U21" i="8"/>
  <c r="V21" i="8"/>
  <c r="X21" i="8"/>
  <c r="Y21" i="8"/>
  <c r="N21" i="8"/>
  <c r="Q19" i="8"/>
  <c r="R19" i="8"/>
  <c r="S19" i="8"/>
  <c r="T19" i="8"/>
  <c r="U19" i="8"/>
  <c r="V19" i="8"/>
  <c r="W19" i="8"/>
  <c r="X19" i="8"/>
  <c r="Y19" i="8"/>
  <c r="O19" i="8"/>
  <c r="P19" i="8"/>
  <c r="Y14" i="8"/>
  <c r="X14" i="8"/>
  <c r="Q14" i="8"/>
  <c r="R14" i="8"/>
  <c r="S14" i="8"/>
  <c r="T14" i="8"/>
  <c r="U14" i="8"/>
  <c r="V14" i="8"/>
  <c r="O14" i="8"/>
  <c r="P14" i="8"/>
  <c r="Y12" i="8"/>
  <c r="O12" i="8"/>
  <c r="P12" i="8"/>
  <c r="X12" i="8"/>
  <c r="W13" i="8"/>
  <c r="W12" i="8" s="1"/>
  <c r="W15" i="8"/>
  <c r="W16" i="8"/>
  <c r="W17" i="8"/>
  <c r="W22" i="8"/>
  <c r="W21" i="8" s="1"/>
  <c r="W24" i="8"/>
  <c r="W23" i="8" s="1"/>
  <c r="X24" i="8"/>
  <c r="X23" i="8" s="1"/>
  <c r="Y24" i="8"/>
  <c r="Y23" i="8" s="1"/>
  <c r="N13" i="8"/>
  <c r="N12" i="8" s="1"/>
  <c r="N15" i="8"/>
  <c r="N16" i="8"/>
  <c r="N17" i="8"/>
  <c r="N20" i="8"/>
  <c r="N19" i="8" s="1"/>
  <c r="P22" i="8"/>
  <c r="P21" i="8" s="1"/>
  <c r="O24" i="8"/>
  <c r="O23" i="8" s="1"/>
  <c r="P24" i="8"/>
  <c r="P23" i="8" s="1"/>
  <c r="N25" i="8"/>
  <c r="N24" i="8" s="1"/>
  <c r="N23" i="8" s="1"/>
  <c r="N14" i="8" l="1"/>
  <c r="N11" i="8" s="1"/>
  <c r="W14" i="8"/>
  <c r="W11" i="8" s="1"/>
  <c r="W10" i="8" s="1"/>
  <c r="X11" i="8"/>
  <c r="X10" i="8" s="1"/>
  <c r="O11" i="8"/>
  <c r="O10" i="8" s="1"/>
  <c r="Y11" i="8"/>
  <c r="Y10" i="8" s="1"/>
  <c r="P11" i="8"/>
  <c r="P10" i="8" s="1"/>
  <c r="F10" i="15"/>
  <c r="F11" i="15"/>
  <c r="F12" i="15"/>
  <c r="F13" i="15"/>
  <c r="F14" i="15"/>
  <c r="F15" i="15"/>
  <c r="F16" i="15"/>
  <c r="F17" i="15"/>
  <c r="F9" i="15"/>
  <c r="F20" i="15"/>
  <c r="F21" i="15"/>
  <c r="F22" i="15"/>
  <c r="F23" i="15"/>
  <c r="F19" i="15"/>
  <c r="F25" i="15"/>
  <c r="F24" i="15" s="1"/>
  <c r="G24" i="15"/>
  <c r="H24" i="15"/>
  <c r="I24" i="15"/>
  <c r="G18" i="15"/>
  <c r="H18" i="15"/>
  <c r="I18" i="15"/>
  <c r="G8" i="15"/>
  <c r="H8" i="15"/>
  <c r="I8" i="15"/>
  <c r="E18" i="15"/>
  <c r="E8" i="15"/>
  <c r="E24" i="15"/>
  <c r="N10" i="8" l="1"/>
  <c r="F18" i="15"/>
  <c r="E7" i="15"/>
  <c r="I7" i="15"/>
  <c r="F8" i="15"/>
  <c r="F7" i="15" s="1"/>
  <c r="H7" i="15"/>
  <c r="G7" i="15"/>
  <c r="D178" i="4"/>
  <c r="E178" i="4" s="1"/>
  <c r="D177" i="4"/>
  <c r="E177" i="4" s="1"/>
  <c r="D176" i="4"/>
  <c r="E176" i="4" s="1"/>
  <c r="D175" i="4"/>
  <c r="E175" i="4" s="1"/>
  <c r="D174" i="4"/>
  <c r="E174" i="4" s="1"/>
  <c r="D173" i="4"/>
  <c r="E173" i="4" s="1"/>
  <c r="D172" i="4"/>
  <c r="E172" i="4" s="1"/>
  <c r="D165" i="4"/>
  <c r="E165" i="4" s="1"/>
  <c r="D164" i="4"/>
  <c r="D163" i="4"/>
  <c r="E163" i="4" s="1"/>
  <c r="D162" i="4"/>
  <c r="E162" i="4" s="1"/>
  <c r="D160" i="4"/>
  <c r="D161" i="4"/>
  <c r="E161" i="4" s="1"/>
  <c r="F164" i="4"/>
  <c r="H33" i="2"/>
  <c r="I33" i="2"/>
  <c r="J33" i="2"/>
  <c r="K33" i="2"/>
  <c r="L33" i="2"/>
  <c r="M33" i="2"/>
  <c r="N33" i="2"/>
  <c r="O33" i="2"/>
  <c r="P33" i="2"/>
  <c r="Q33" i="2"/>
  <c r="C33" i="2"/>
  <c r="D37" i="2"/>
  <c r="E37" i="2" s="1"/>
  <c r="C12" i="4"/>
  <c r="C13" i="4"/>
  <c r="C14" i="4"/>
  <c r="C15" i="4"/>
  <c r="C16" i="4"/>
  <c r="C11" i="4"/>
  <c r="F159" i="4" l="1"/>
  <c r="E164" i="4"/>
  <c r="D159" i="4"/>
  <c r="E160" i="4"/>
  <c r="E159" i="4" s="1"/>
  <c r="G45" i="4" l="1"/>
  <c r="K82" i="4" l="1"/>
  <c r="O82" i="4"/>
  <c r="J82" i="4"/>
  <c r="I93" i="4" l="1"/>
  <c r="G73" i="4" l="1"/>
  <c r="O31" i="4" l="1"/>
  <c r="F200" i="4"/>
  <c r="D200" i="4" s="1"/>
  <c r="R142" i="4"/>
  <c r="H184" i="4"/>
  <c r="H181" i="4" s="1"/>
  <c r="I184" i="4"/>
  <c r="I181" i="4" s="1"/>
  <c r="J184" i="4"/>
  <c r="J181" i="4" s="1"/>
  <c r="K184" i="4"/>
  <c r="L184" i="4"/>
  <c r="L181" i="4" s="1"/>
  <c r="M184" i="4"/>
  <c r="M181" i="4" s="1"/>
  <c r="N184" i="4"/>
  <c r="N181" i="4" s="1"/>
  <c r="P184" i="4"/>
  <c r="P181" i="4" s="1"/>
  <c r="Q184" i="4"/>
  <c r="O184" i="4"/>
  <c r="O181" i="4" s="1"/>
  <c r="N48" i="3"/>
  <c r="N51" i="3"/>
  <c r="F125" i="4"/>
  <c r="D125" i="4" s="1"/>
  <c r="F185" i="4"/>
  <c r="P35" i="4"/>
  <c r="M35" i="4"/>
  <c r="L35" i="4"/>
  <c r="K35" i="4"/>
  <c r="J35" i="4"/>
  <c r="J31" i="4" s="1"/>
  <c r="I35" i="4"/>
  <c r="H35" i="4"/>
  <c r="D95" i="4"/>
  <c r="F92" i="4"/>
  <c r="D92" i="4" s="1"/>
  <c r="AB63" i="3"/>
  <c r="Z63" i="3"/>
  <c r="X63" i="3"/>
  <c r="V63" i="3"/>
  <c r="T63" i="3"/>
  <c r="R63" i="3"/>
  <c r="P63" i="3"/>
  <c r="N63" i="3"/>
  <c r="L63" i="3"/>
  <c r="J63" i="3"/>
  <c r="H63" i="3"/>
  <c r="C63" i="3"/>
  <c r="D63" i="3" s="1"/>
  <c r="C54" i="3"/>
  <c r="D54" i="3" s="1"/>
  <c r="C53" i="3"/>
  <c r="D53" i="3" s="1"/>
  <c r="F61" i="2"/>
  <c r="F52" i="2"/>
  <c r="D52" i="2"/>
  <c r="D51" i="2"/>
  <c r="P82" i="4"/>
  <c r="N82" i="4"/>
  <c r="L82" i="4"/>
  <c r="I82" i="4"/>
  <c r="H79" i="4"/>
  <c r="G82" i="4"/>
  <c r="G87" i="4"/>
  <c r="F52" i="4"/>
  <c r="Q63" i="4"/>
  <c r="P63" i="4"/>
  <c r="O63" i="4"/>
  <c r="N63" i="4"/>
  <c r="M63" i="4"/>
  <c r="L63" i="4"/>
  <c r="K63" i="4"/>
  <c r="J63" i="4"/>
  <c r="G63" i="4"/>
  <c r="F183" i="4"/>
  <c r="F182" i="4"/>
  <c r="D183" i="4"/>
  <c r="D184" i="4"/>
  <c r="D182" i="4"/>
  <c r="C191" i="4"/>
  <c r="D197" i="4"/>
  <c r="E197" i="4" s="1"/>
  <c r="D61" i="2"/>
  <c r="C60" i="2"/>
  <c r="D60" i="2" s="1"/>
  <c r="D57" i="2"/>
  <c r="C44" i="2"/>
  <c r="C46" i="3" s="1"/>
  <c r="D46" i="3" s="1"/>
  <c r="G26" i="4"/>
  <c r="G21" i="4" s="1"/>
  <c r="H26" i="4"/>
  <c r="H21" i="4" s="1"/>
  <c r="I26" i="4"/>
  <c r="I21" i="4" s="1"/>
  <c r="J26" i="4"/>
  <c r="J21" i="4" s="1"/>
  <c r="K26" i="4"/>
  <c r="K21" i="4" s="1"/>
  <c r="L26" i="4"/>
  <c r="L21" i="4" s="1"/>
  <c r="M26" i="4"/>
  <c r="M21" i="4" s="1"/>
  <c r="N26" i="4"/>
  <c r="N21" i="4" s="1"/>
  <c r="O26" i="4"/>
  <c r="O21" i="4" s="1"/>
  <c r="P26" i="4"/>
  <c r="P21" i="4" s="1"/>
  <c r="Q26" i="4"/>
  <c r="Q21" i="4" s="1"/>
  <c r="R26" i="4"/>
  <c r="C26" i="4"/>
  <c r="C21" i="4" s="1"/>
  <c r="C20" i="4" s="1"/>
  <c r="AB66" i="3"/>
  <c r="AB65" i="3"/>
  <c r="AB64" i="3"/>
  <c r="AB61" i="3"/>
  <c r="AB60" i="3"/>
  <c r="AB58" i="3"/>
  <c r="AB57" i="3"/>
  <c r="AC57" i="3" s="1"/>
  <c r="AB56" i="3"/>
  <c r="AC56" i="3" s="1"/>
  <c r="AB55" i="3"/>
  <c r="AC55" i="3" s="1"/>
  <c r="AB54" i="3"/>
  <c r="AB53" i="3"/>
  <c r="AC53" i="3" s="1"/>
  <c r="AB52" i="3"/>
  <c r="AB51" i="3"/>
  <c r="AB49" i="3"/>
  <c r="AB48" i="3"/>
  <c r="AB47" i="3"/>
  <c r="AB46" i="3"/>
  <c r="AB45" i="3"/>
  <c r="AB44" i="3"/>
  <c r="AB43" i="3"/>
  <c r="AC43" i="3" s="1"/>
  <c r="AB42" i="3"/>
  <c r="AC42" i="3" s="1"/>
  <c r="AB41" i="3"/>
  <c r="AC41" i="3" s="1"/>
  <c r="AB40" i="3"/>
  <c r="AC40" i="3" s="1"/>
  <c r="AB38" i="3"/>
  <c r="AC38" i="3" s="1"/>
  <c r="AB37" i="3"/>
  <c r="AC37" i="3" s="1"/>
  <c r="AB36" i="3"/>
  <c r="AC36" i="3" s="1"/>
  <c r="AB34" i="3"/>
  <c r="AB33" i="3"/>
  <c r="AB32" i="3"/>
  <c r="AB31" i="3"/>
  <c r="AB30" i="3"/>
  <c r="AB29" i="3"/>
  <c r="AB28" i="3"/>
  <c r="AB27" i="3"/>
  <c r="AB26" i="3"/>
  <c r="AB25" i="3"/>
  <c r="AB24" i="3"/>
  <c r="AB23" i="3"/>
  <c r="AB18" i="3"/>
  <c r="AB17" i="3"/>
  <c r="AB16" i="3"/>
  <c r="AB15" i="3"/>
  <c r="AB14" i="3"/>
  <c r="AB13" i="3"/>
  <c r="AB12" i="3"/>
  <c r="AC59" i="3"/>
  <c r="AA59" i="3"/>
  <c r="Y59" i="3"/>
  <c r="W59" i="3"/>
  <c r="U59" i="3"/>
  <c r="S59" i="3"/>
  <c r="Q59" i="3"/>
  <c r="O59" i="3"/>
  <c r="M59" i="3"/>
  <c r="K59" i="3"/>
  <c r="Z66" i="3"/>
  <c r="Z65" i="3"/>
  <c r="Z64" i="3"/>
  <c r="Z61" i="3"/>
  <c r="Z60" i="3"/>
  <c r="Z58" i="3"/>
  <c r="Z57" i="3"/>
  <c r="AA57" i="3" s="1"/>
  <c r="Z56" i="3"/>
  <c r="AA56" i="3" s="1"/>
  <c r="Z55" i="3"/>
  <c r="AA55" i="3" s="1"/>
  <c r="Z54" i="3"/>
  <c r="Z53" i="3"/>
  <c r="AA53" i="3" s="1"/>
  <c r="Z52" i="3"/>
  <c r="Z51" i="3"/>
  <c r="Z49" i="3"/>
  <c r="Z48" i="3"/>
  <c r="Z47" i="3"/>
  <c r="Z46" i="3"/>
  <c r="Z45" i="3"/>
  <c r="Z44" i="3"/>
  <c r="Z43" i="3"/>
  <c r="AA43" i="3" s="1"/>
  <c r="Z42" i="3"/>
  <c r="AA42" i="3" s="1"/>
  <c r="Z41" i="3"/>
  <c r="AA41" i="3" s="1"/>
  <c r="Z40" i="3"/>
  <c r="AA40" i="3" s="1"/>
  <c r="Z38" i="3"/>
  <c r="AA38" i="3" s="1"/>
  <c r="Z37" i="3"/>
  <c r="AA37" i="3" s="1"/>
  <c r="Z36" i="3"/>
  <c r="AA36" i="3" s="1"/>
  <c r="Z34" i="3"/>
  <c r="Z33" i="3"/>
  <c r="Z32" i="3"/>
  <c r="Z31" i="3"/>
  <c r="Z30" i="3"/>
  <c r="Z29" i="3"/>
  <c r="Z28" i="3"/>
  <c r="Z27" i="3"/>
  <c r="Z26" i="3"/>
  <c r="Z25" i="3"/>
  <c r="Z24" i="3"/>
  <c r="Z23" i="3"/>
  <c r="Z18" i="3"/>
  <c r="Z17" i="3"/>
  <c r="Z16" i="3"/>
  <c r="Z15" i="3"/>
  <c r="Z14" i="3"/>
  <c r="Z13" i="3"/>
  <c r="Z12" i="3"/>
  <c r="X66" i="3"/>
  <c r="X65" i="3"/>
  <c r="X64" i="3"/>
  <c r="X61" i="3"/>
  <c r="X60" i="3"/>
  <c r="X58" i="3"/>
  <c r="X57" i="3"/>
  <c r="Y57" i="3" s="1"/>
  <c r="X56" i="3"/>
  <c r="Y56" i="3" s="1"/>
  <c r="X55" i="3"/>
  <c r="Y55" i="3" s="1"/>
  <c r="X54" i="3"/>
  <c r="Y54" i="3" s="1"/>
  <c r="X53" i="3"/>
  <c r="Y53" i="3" s="1"/>
  <c r="X52" i="3"/>
  <c r="X51" i="3"/>
  <c r="X49" i="3"/>
  <c r="X48" i="3"/>
  <c r="X47" i="3"/>
  <c r="X46" i="3"/>
  <c r="X45" i="3"/>
  <c r="X44" i="3"/>
  <c r="X43" i="3"/>
  <c r="Y43" i="3" s="1"/>
  <c r="X42" i="3"/>
  <c r="Y42" i="3" s="1"/>
  <c r="X41" i="3"/>
  <c r="Y41" i="3" s="1"/>
  <c r="X40" i="3"/>
  <c r="Y40" i="3" s="1"/>
  <c r="X38" i="3"/>
  <c r="Y38" i="3" s="1"/>
  <c r="X37" i="3"/>
  <c r="Y37" i="3" s="1"/>
  <c r="X36" i="3"/>
  <c r="Y36" i="3" s="1"/>
  <c r="X34" i="3"/>
  <c r="X33" i="3"/>
  <c r="X32" i="3"/>
  <c r="X31" i="3"/>
  <c r="X30" i="3"/>
  <c r="X29" i="3"/>
  <c r="X28" i="3"/>
  <c r="X27" i="3"/>
  <c r="X26" i="3"/>
  <c r="X25" i="3"/>
  <c r="X24" i="3"/>
  <c r="X23" i="3"/>
  <c r="X18" i="3"/>
  <c r="X17" i="3"/>
  <c r="X16" i="3"/>
  <c r="X15" i="3"/>
  <c r="X14" i="3"/>
  <c r="X13" i="3"/>
  <c r="X12" i="3"/>
  <c r="V66" i="3"/>
  <c r="V65" i="3"/>
  <c r="V64" i="3"/>
  <c r="V61" i="3"/>
  <c r="V60" i="3"/>
  <c r="V58" i="3"/>
  <c r="V57" i="3"/>
  <c r="W57" i="3" s="1"/>
  <c r="V56" i="3"/>
  <c r="W56" i="3" s="1"/>
  <c r="V55" i="3"/>
  <c r="W55" i="3" s="1"/>
  <c r="V54" i="3"/>
  <c r="W54" i="3" s="1"/>
  <c r="V53" i="3"/>
  <c r="W53" i="3" s="1"/>
  <c r="V52" i="3"/>
  <c r="V51" i="3"/>
  <c r="V49" i="3"/>
  <c r="V48" i="3"/>
  <c r="V47" i="3"/>
  <c r="V46" i="3"/>
  <c r="V45" i="3"/>
  <c r="V44" i="3"/>
  <c r="V43" i="3"/>
  <c r="W43" i="3" s="1"/>
  <c r="V42" i="3"/>
  <c r="W42" i="3" s="1"/>
  <c r="V41" i="3"/>
  <c r="W41" i="3" s="1"/>
  <c r="V40" i="3"/>
  <c r="W40" i="3" s="1"/>
  <c r="V38" i="3"/>
  <c r="W38" i="3" s="1"/>
  <c r="V37" i="3"/>
  <c r="W37" i="3" s="1"/>
  <c r="V36" i="3"/>
  <c r="W36" i="3" s="1"/>
  <c r="V34" i="3"/>
  <c r="V33" i="3"/>
  <c r="V32" i="3"/>
  <c r="V31" i="3"/>
  <c r="V30" i="3"/>
  <c r="V29" i="3"/>
  <c r="V28" i="3"/>
  <c r="V27" i="3"/>
  <c r="V26" i="3"/>
  <c r="V25" i="3"/>
  <c r="V24" i="3"/>
  <c r="V23" i="3"/>
  <c r="V18" i="3"/>
  <c r="V17" i="3"/>
  <c r="V16" i="3"/>
  <c r="V15" i="3"/>
  <c r="V14" i="3"/>
  <c r="V13" i="3"/>
  <c r="V12" i="3"/>
  <c r="T66" i="3"/>
  <c r="T65" i="3"/>
  <c r="T64" i="3"/>
  <c r="T61" i="3"/>
  <c r="T60" i="3"/>
  <c r="T58" i="3"/>
  <c r="T57" i="3"/>
  <c r="U57" i="3" s="1"/>
  <c r="T56" i="3"/>
  <c r="U56" i="3" s="1"/>
  <c r="T55" i="3"/>
  <c r="U55" i="3" s="1"/>
  <c r="T54" i="3"/>
  <c r="T53" i="3"/>
  <c r="U53" i="3" s="1"/>
  <c r="T52" i="3"/>
  <c r="T51" i="3"/>
  <c r="T49" i="3"/>
  <c r="T48" i="3"/>
  <c r="T47" i="3"/>
  <c r="T46" i="3"/>
  <c r="T45" i="3"/>
  <c r="T44" i="3"/>
  <c r="T43" i="3"/>
  <c r="U43" i="3" s="1"/>
  <c r="T42" i="3"/>
  <c r="U42" i="3" s="1"/>
  <c r="T41" i="3"/>
  <c r="U41" i="3" s="1"/>
  <c r="T40" i="3"/>
  <c r="U40" i="3" s="1"/>
  <c r="T38" i="3"/>
  <c r="U38" i="3" s="1"/>
  <c r="T37" i="3"/>
  <c r="U37" i="3" s="1"/>
  <c r="T36" i="3"/>
  <c r="U36" i="3" s="1"/>
  <c r="T34" i="3"/>
  <c r="T33" i="3"/>
  <c r="T32" i="3"/>
  <c r="T31" i="3"/>
  <c r="T30" i="3"/>
  <c r="T29" i="3"/>
  <c r="T28" i="3"/>
  <c r="T27" i="3"/>
  <c r="T26" i="3"/>
  <c r="T25" i="3"/>
  <c r="T24" i="3"/>
  <c r="T23" i="3"/>
  <c r="T18" i="3"/>
  <c r="T17" i="3"/>
  <c r="T16" i="3"/>
  <c r="T15" i="3"/>
  <c r="T14" i="3"/>
  <c r="T13" i="3"/>
  <c r="T12" i="3"/>
  <c r="R66" i="3"/>
  <c r="R65" i="3"/>
  <c r="R64" i="3"/>
  <c r="R61" i="3"/>
  <c r="R60" i="3"/>
  <c r="R58" i="3"/>
  <c r="R57" i="3"/>
  <c r="S57" i="3" s="1"/>
  <c r="R56" i="3"/>
  <c r="S56" i="3" s="1"/>
  <c r="R55" i="3"/>
  <c r="S55" i="3" s="1"/>
  <c r="R54" i="3"/>
  <c r="R53" i="3"/>
  <c r="S53" i="3" s="1"/>
  <c r="R52" i="3"/>
  <c r="R51" i="3"/>
  <c r="R49" i="3"/>
  <c r="R48" i="3"/>
  <c r="R47" i="3"/>
  <c r="R46" i="3"/>
  <c r="R45" i="3"/>
  <c r="R44" i="3"/>
  <c r="R43" i="3"/>
  <c r="S43" i="3" s="1"/>
  <c r="R42" i="3"/>
  <c r="S42" i="3" s="1"/>
  <c r="R41" i="3"/>
  <c r="S41" i="3" s="1"/>
  <c r="R40" i="3"/>
  <c r="S40" i="3" s="1"/>
  <c r="R38" i="3"/>
  <c r="S38" i="3" s="1"/>
  <c r="R37" i="3"/>
  <c r="S37" i="3" s="1"/>
  <c r="R36" i="3"/>
  <c r="S36" i="3" s="1"/>
  <c r="R34" i="3"/>
  <c r="R33" i="3"/>
  <c r="R32" i="3"/>
  <c r="R31" i="3"/>
  <c r="R30" i="3"/>
  <c r="R29" i="3"/>
  <c r="R28" i="3"/>
  <c r="R27" i="3"/>
  <c r="R26" i="3"/>
  <c r="R25" i="3"/>
  <c r="R24" i="3"/>
  <c r="R23" i="3"/>
  <c r="R18" i="3"/>
  <c r="R17" i="3"/>
  <c r="R16" i="3"/>
  <c r="R15" i="3"/>
  <c r="R14" i="3"/>
  <c r="R13" i="3"/>
  <c r="R12" i="3"/>
  <c r="P66" i="3"/>
  <c r="P65" i="3"/>
  <c r="P64" i="3"/>
  <c r="P61" i="3"/>
  <c r="P60" i="3"/>
  <c r="P58" i="3"/>
  <c r="P57" i="3"/>
  <c r="Q57" i="3" s="1"/>
  <c r="P56" i="3"/>
  <c r="Q56" i="3" s="1"/>
  <c r="P55" i="3"/>
  <c r="Q55" i="3" s="1"/>
  <c r="P54" i="3"/>
  <c r="Q54" i="3" s="1"/>
  <c r="P53" i="3"/>
  <c r="Q53" i="3" s="1"/>
  <c r="P52" i="3"/>
  <c r="P51" i="3"/>
  <c r="P49" i="3"/>
  <c r="P48" i="3"/>
  <c r="P47" i="3"/>
  <c r="P46" i="3"/>
  <c r="P45" i="3"/>
  <c r="P44" i="3"/>
  <c r="P43" i="3"/>
  <c r="Q43" i="3" s="1"/>
  <c r="P42" i="3"/>
  <c r="Q42" i="3" s="1"/>
  <c r="P41" i="3"/>
  <c r="Q41" i="3" s="1"/>
  <c r="P40" i="3"/>
  <c r="Q40" i="3" s="1"/>
  <c r="P38" i="3"/>
  <c r="Q38" i="3" s="1"/>
  <c r="P37" i="3"/>
  <c r="Q37" i="3" s="1"/>
  <c r="P36" i="3"/>
  <c r="Q36" i="3" s="1"/>
  <c r="P34" i="3"/>
  <c r="P33" i="3"/>
  <c r="P32" i="3"/>
  <c r="P31" i="3"/>
  <c r="P30" i="3"/>
  <c r="P29" i="3"/>
  <c r="P28" i="3"/>
  <c r="P27" i="3"/>
  <c r="P26" i="3"/>
  <c r="P25" i="3"/>
  <c r="P24" i="3"/>
  <c r="P23" i="3"/>
  <c r="P18" i="3"/>
  <c r="P17" i="3"/>
  <c r="P16" i="3"/>
  <c r="P15" i="3"/>
  <c r="P14" i="3"/>
  <c r="P13" i="3"/>
  <c r="P12" i="3"/>
  <c r="N66" i="3"/>
  <c r="N65" i="3"/>
  <c r="N64" i="3"/>
  <c r="N61" i="3"/>
  <c r="N60" i="3"/>
  <c r="N58" i="3"/>
  <c r="N57" i="3"/>
  <c r="O57" i="3" s="1"/>
  <c r="N56" i="3"/>
  <c r="O56" i="3" s="1"/>
  <c r="N55" i="3"/>
  <c r="O55" i="3" s="1"/>
  <c r="N54" i="3"/>
  <c r="N53" i="3"/>
  <c r="O53" i="3" s="1"/>
  <c r="N52" i="3"/>
  <c r="N49" i="3"/>
  <c r="N47" i="3"/>
  <c r="N46" i="3"/>
  <c r="N45" i="3"/>
  <c r="N44" i="3"/>
  <c r="N43" i="3"/>
  <c r="O43" i="3" s="1"/>
  <c r="N42" i="3"/>
  <c r="O42" i="3" s="1"/>
  <c r="N41" i="3"/>
  <c r="O41" i="3" s="1"/>
  <c r="N40" i="3"/>
  <c r="O40" i="3" s="1"/>
  <c r="N38" i="3"/>
  <c r="N37" i="3"/>
  <c r="O37" i="3" s="1"/>
  <c r="N36" i="3"/>
  <c r="O36" i="3" s="1"/>
  <c r="N34" i="3"/>
  <c r="N33" i="3"/>
  <c r="N32" i="3"/>
  <c r="N31" i="3"/>
  <c r="N30" i="3"/>
  <c r="N29" i="3"/>
  <c r="N28" i="3"/>
  <c r="N27" i="3"/>
  <c r="N26" i="3"/>
  <c r="N25" i="3"/>
  <c r="N24" i="3"/>
  <c r="N23" i="3"/>
  <c r="N18" i="3"/>
  <c r="N17" i="3"/>
  <c r="N16" i="3"/>
  <c r="N15" i="3"/>
  <c r="N14" i="3"/>
  <c r="N13" i="3"/>
  <c r="N12" i="3"/>
  <c r="L66" i="3"/>
  <c r="L65" i="3"/>
  <c r="L64" i="3"/>
  <c r="L61" i="3"/>
  <c r="L60" i="3"/>
  <c r="L58" i="3"/>
  <c r="L57" i="3"/>
  <c r="M57" i="3" s="1"/>
  <c r="L56" i="3"/>
  <c r="M56" i="3" s="1"/>
  <c r="L55" i="3"/>
  <c r="M55" i="3" s="1"/>
  <c r="L54" i="3"/>
  <c r="M54" i="3" s="1"/>
  <c r="L53" i="3"/>
  <c r="M53" i="3" s="1"/>
  <c r="L52" i="3"/>
  <c r="L51" i="3"/>
  <c r="L49" i="3"/>
  <c r="L48" i="3"/>
  <c r="L47" i="3"/>
  <c r="L46" i="3"/>
  <c r="L45" i="3"/>
  <c r="L44" i="3"/>
  <c r="L43" i="3"/>
  <c r="M43" i="3" s="1"/>
  <c r="L42" i="3"/>
  <c r="M42" i="3" s="1"/>
  <c r="L41" i="3"/>
  <c r="M41" i="3" s="1"/>
  <c r="L40" i="3"/>
  <c r="M40" i="3" s="1"/>
  <c r="L38" i="3"/>
  <c r="M38" i="3" s="1"/>
  <c r="L37" i="3"/>
  <c r="M37" i="3" s="1"/>
  <c r="L36" i="3"/>
  <c r="M36" i="3" s="1"/>
  <c r="L34" i="3"/>
  <c r="L33" i="3"/>
  <c r="L32" i="3"/>
  <c r="L31" i="3"/>
  <c r="L30" i="3"/>
  <c r="L29" i="3"/>
  <c r="L28" i="3"/>
  <c r="L27" i="3"/>
  <c r="L26" i="3"/>
  <c r="L25" i="3"/>
  <c r="L24" i="3"/>
  <c r="L23" i="3"/>
  <c r="L18" i="3"/>
  <c r="L17" i="3"/>
  <c r="L16" i="3"/>
  <c r="L15" i="3"/>
  <c r="L14" i="3"/>
  <c r="L13" i="3"/>
  <c r="L12" i="3"/>
  <c r="J66" i="3"/>
  <c r="J65" i="3"/>
  <c r="J64" i="3"/>
  <c r="J61" i="3"/>
  <c r="J60" i="3"/>
  <c r="J58" i="3"/>
  <c r="J57" i="3"/>
  <c r="K57" i="3" s="1"/>
  <c r="J56" i="3"/>
  <c r="K56" i="3" s="1"/>
  <c r="J55" i="3"/>
  <c r="K55" i="3" s="1"/>
  <c r="J54" i="3"/>
  <c r="J53" i="3"/>
  <c r="K53" i="3" s="1"/>
  <c r="J52" i="3"/>
  <c r="J51" i="3"/>
  <c r="J49" i="3"/>
  <c r="J48" i="3"/>
  <c r="J47" i="3"/>
  <c r="J46" i="3"/>
  <c r="J45" i="3"/>
  <c r="J44" i="3"/>
  <c r="J43" i="3"/>
  <c r="K43" i="3" s="1"/>
  <c r="J42" i="3"/>
  <c r="K42" i="3" s="1"/>
  <c r="J41" i="3"/>
  <c r="K41" i="3" s="1"/>
  <c r="J40" i="3"/>
  <c r="J38" i="3"/>
  <c r="K38" i="3" s="1"/>
  <c r="J37" i="3"/>
  <c r="K37" i="3" s="1"/>
  <c r="J36" i="3"/>
  <c r="J34" i="3"/>
  <c r="J33" i="3"/>
  <c r="J32" i="3"/>
  <c r="J31" i="3"/>
  <c r="J30" i="3"/>
  <c r="J29" i="3"/>
  <c r="J28" i="3"/>
  <c r="J27" i="3"/>
  <c r="J26" i="3"/>
  <c r="J25" i="3"/>
  <c r="J24" i="3"/>
  <c r="J23" i="3"/>
  <c r="J18" i="3"/>
  <c r="J17" i="3"/>
  <c r="J16" i="3"/>
  <c r="J15" i="3"/>
  <c r="J14" i="3"/>
  <c r="J13" i="3"/>
  <c r="J12" i="3"/>
  <c r="H66" i="3"/>
  <c r="H65" i="3"/>
  <c r="H64" i="3"/>
  <c r="H61" i="3"/>
  <c r="H60" i="3"/>
  <c r="H58" i="3"/>
  <c r="H57" i="3"/>
  <c r="I57" i="3" s="1"/>
  <c r="H56" i="3"/>
  <c r="I56" i="3" s="1"/>
  <c r="H55" i="3"/>
  <c r="I55" i="3" s="1"/>
  <c r="H54" i="3"/>
  <c r="H53" i="3"/>
  <c r="H52" i="3"/>
  <c r="H51" i="3"/>
  <c r="H49" i="3"/>
  <c r="H48" i="3"/>
  <c r="H47" i="3"/>
  <c r="H46" i="3"/>
  <c r="H45" i="3"/>
  <c r="H44" i="3"/>
  <c r="H43" i="3"/>
  <c r="H42" i="3"/>
  <c r="I42" i="3" s="1"/>
  <c r="H41" i="3"/>
  <c r="H40" i="3"/>
  <c r="I40" i="3" s="1"/>
  <c r="H38" i="3"/>
  <c r="I38" i="3" s="1"/>
  <c r="H37" i="3"/>
  <c r="I37" i="3" s="1"/>
  <c r="H36" i="3"/>
  <c r="I36" i="3" s="1"/>
  <c r="H34" i="3"/>
  <c r="H33" i="3"/>
  <c r="H32" i="3"/>
  <c r="H31" i="3"/>
  <c r="H30" i="3"/>
  <c r="H29" i="3"/>
  <c r="H28" i="3"/>
  <c r="H27" i="3"/>
  <c r="H26" i="3"/>
  <c r="H25" i="3"/>
  <c r="H24" i="3"/>
  <c r="H23" i="3"/>
  <c r="H18" i="3"/>
  <c r="H17" i="3"/>
  <c r="H16" i="3"/>
  <c r="H15" i="3"/>
  <c r="H14" i="3"/>
  <c r="H13" i="3"/>
  <c r="H12" i="3"/>
  <c r="E34" i="3"/>
  <c r="D55" i="3"/>
  <c r="D34" i="3"/>
  <c r="C14" i="3"/>
  <c r="D14" i="3" s="1"/>
  <c r="C15" i="3"/>
  <c r="D15" i="3" s="1"/>
  <c r="C16" i="3"/>
  <c r="D16" i="3" s="1"/>
  <c r="C17" i="3"/>
  <c r="D17" i="3" s="1"/>
  <c r="C18" i="3"/>
  <c r="D18" i="3" s="1"/>
  <c r="C13" i="3"/>
  <c r="D13" i="3" s="1"/>
  <c r="C56" i="3"/>
  <c r="D56" i="3" s="1"/>
  <c r="C57" i="3"/>
  <c r="D57" i="3" s="1"/>
  <c r="C58" i="3"/>
  <c r="D58" i="3" s="1"/>
  <c r="C59" i="3"/>
  <c r="C60" i="3"/>
  <c r="D60" i="3" s="1"/>
  <c r="C61" i="3"/>
  <c r="D61" i="3" s="1"/>
  <c r="C64" i="3"/>
  <c r="D64" i="3" s="1"/>
  <c r="C65" i="3"/>
  <c r="D65" i="3" s="1"/>
  <c r="C66" i="3"/>
  <c r="D66" i="3" s="1"/>
  <c r="C42" i="3"/>
  <c r="D42" i="3" s="1"/>
  <c r="C43" i="3"/>
  <c r="D43" i="3" s="1"/>
  <c r="C44" i="3"/>
  <c r="D44" i="3" s="1"/>
  <c r="C45" i="3"/>
  <c r="D45" i="3" s="1"/>
  <c r="C47" i="3"/>
  <c r="D47" i="3" s="1"/>
  <c r="C48" i="3"/>
  <c r="D48" i="3" s="1"/>
  <c r="C49" i="3"/>
  <c r="D49" i="3" s="1"/>
  <c r="C51" i="3"/>
  <c r="D51" i="3" s="1"/>
  <c r="C52" i="3"/>
  <c r="D52" i="3" s="1"/>
  <c r="C41" i="3"/>
  <c r="D41" i="3" s="1"/>
  <c r="C37" i="3"/>
  <c r="D37" i="3" s="1"/>
  <c r="C38" i="3"/>
  <c r="D38" i="3" s="1"/>
  <c r="C40" i="3"/>
  <c r="C36" i="3"/>
  <c r="D36" i="3" s="1"/>
  <c r="C33" i="3"/>
  <c r="D33" i="3" s="1"/>
  <c r="C32" i="3"/>
  <c r="C29" i="3"/>
  <c r="D29" i="3" s="1"/>
  <c r="C30" i="3"/>
  <c r="D30" i="3" s="1"/>
  <c r="C28" i="3"/>
  <c r="D28" i="3" s="1"/>
  <c r="C25" i="3"/>
  <c r="D25" i="3" s="1"/>
  <c r="C26" i="3"/>
  <c r="D26" i="3" s="1"/>
  <c r="C24" i="3"/>
  <c r="D24" i="3" s="1"/>
  <c r="M48" i="2"/>
  <c r="T50" i="3" s="1"/>
  <c r="K48" i="2"/>
  <c r="P50" i="3" s="1"/>
  <c r="D150" i="4"/>
  <c r="D28" i="4"/>
  <c r="E28" i="4" s="1"/>
  <c r="D29" i="4"/>
  <c r="D194" i="4"/>
  <c r="E194" i="4" s="1"/>
  <c r="D156" i="4"/>
  <c r="D155" i="4"/>
  <c r="D154" i="4"/>
  <c r="D149" i="4"/>
  <c r="E149" i="4" s="1"/>
  <c r="D43" i="2"/>
  <c r="E43" i="2" s="1"/>
  <c r="E45" i="3" s="1"/>
  <c r="D64" i="2"/>
  <c r="E64" i="2" s="1"/>
  <c r="E66" i="3" s="1"/>
  <c r="D63" i="2"/>
  <c r="E63" i="2" s="1"/>
  <c r="E65" i="3" s="1"/>
  <c r="D62" i="2"/>
  <c r="D59" i="2"/>
  <c r="D58" i="2"/>
  <c r="D56" i="2"/>
  <c r="D55" i="2"/>
  <c r="D50" i="2"/>
  <c r="E50" i="2" s="1"/>
  <c r="E52" i="3" s="1"/>
  <c r="D49" i="2"/>
  <c r="D47" i="2"/>
  <c r="E47" i="2" s="1"/>
  <c r="E49" i="3" s="1"/>
  <c r="D46" i="2"/>
  <c r="D45" i="2"/>
  <c r="E45" i="2" s="1"/>
  <c r="E47" i="3" s="1"/>
  <c r="D42" i="2"/>
  <c r="E42" i="2" s="1"/>
  <c r="E44" i="3" s="1"/>
  <c r="D41" i="2"/>
  <c r="D40" i="2"/>
  <c r="D39" i="2"/>
  <c r="D38" i="2"/>
  <c r="D36" i="2"/>
  <c r="D35" i="2"/>
  <c r="D34" i="2"/>
  <c r="D32" i="2"/>
  <c r="D31" i="2"/>
  <c r="E31" i="2" s="1"/>
  <c r="E33" i="3" s="1"/>
  <c r="D30" i="2"/>
  <c r="E30" i="2" s="1"/>
  <c r="D28" i="2"/>
  <c r="E28" i="2" s="1"/>
  <c r="E30" i="3" s="1"/>
  <c r="D26" i="2"/>
  <c r="E26" i="2" s="1"/>
  <c r="D24" i="2"/>
  <c r="D23" i="2"/>
  <c r="E23" i="2" s="1"/>
  <c r="E25" i="3" s="1"/>
  <c r="D22" i="2"/>
  <c r="E22" i="2" s="1"/>
  <c r="E24" i="3" s="1"/>
  <c r="D16" i="2"/>
  <c r="D15" i="2"/>
  <c r="D14" i="2"/>
  <c r="D13" i="2"/>
  <c r="D12" i="2"/>
  <c r="D11" i="2"/>
  <c r="D27" i="2"/>
  <c r="E27" i="2" s="1"/>
  <c r="E29" i="3" s="1"/>
  <c r="G153" i="4"/>
  <c r="F8" i="13"/>
  <c r="G8" i="13"/>
  <c r="I8" i="13"/>
  <c r="J8" i="13"/>
  <c r="N8" i="13"/>
  <c r="P8" i="13"/>
  <c r="Q8" i="13"/>
  <c r="V8" i="13"/>
  <c r="T9" i="13"/>
  <c r="T10" i="13"/>
  <c r="R19" i="13"/>
  <c r="X19" i="13" s="1"/>
  <c r="K21" i="13"/>
  <c r="T21" i="13" s="1"/>
  <c r="H24" i="13"/>
  <c r="M24" i="13"/>
  <c r="R24" i="13" s="1"/>
  <c r="M25" i="13"/>
  <c r="R25" i="13" s="1"/>
  <c r="H26" i="13"/>
  <c r="M26" i="13"/>
  <c r="T26" i="13" s="1"/>
  <c r="R32" i="13"/>
  <c r="X32" i="13" s="1"/>
  <c r="T32" i="13"/>
  <c r="M34" i="13"/>
  <c r="R34" i="13" s="1"/>
  <c r="R35" i="13"/>
  <c r="W35" i="13" s="1"/>
  <c r="T35" i="13"/>
  <c r="H36" i="13"/>
  <c r="R36" i="13"/>
  <c r="X36" i="13" s="1"/>
  <c r="T36" i="13"/>
  <c r="R40" i="13"/>
  <c r="X40" i="13" s="1"/>
  <c r="T40" i="13"/>
  <c r="O41" i="13"/>
  <c r="R41" i="13"/>
  <c r="W41" i="13" s="1"/>
  <c r="T41" i="13"/>
  <c r="M42" i="13"/>
  <c r="T42" i="13" s="1"/>
  <c r="U42" i="13"/>
  <c r="U8" i="13" s="1"/>
  <c r="H45" i="13"/>
  <c r="M45" i="13"/>
  <c r="T45" i="13" s="1"/>
  <c r="H46" i="13"/>
  <c r="M46" i="13"/>
  <c r="R46" i="13" s="1"/>
  <c r="K47" i="13"/>
  <c r="L47" i="13"/>
  <c r="M47" i="13" s="1"/>
  <c r="R49" i="13"/>
  <c r="S49" i="13"/>
  <c r="T49" i="13" s="1"/>
  <c r="M50" i="13"/>
  <c r="R50" i="13" s="1"/>
  <c r="W50" i="13" s="1"/>
  <c r="F51" i="13"/>
  <c r="G51" i="13"/>
  <c r="H51" i="13"/>
  <c r="I51" i="13"/>
  <c r="J51" i="13"/>
  <c r="K51" i="13"/>
  <c r="L51" i="13"/>
  <c r="N51" i="13"/>
  <c r="O51" i="13"/>
  <c r="P51" i="13"/>
  <c r="Q51" i="13"/>
  <c r="U51" i="13"/>
  <c r="V51" i="13"/>
  <c r="M52" i="13"/>
  <c r="M51" i="13" s="1"/>
  <c r="R53" i="13"/>
  <c r="X53" i="13" s="1"/>
  <c r="T53" i="13"/>
  <c r="R54" i="13"/>
  <c r="W54" i="13" s="1"/>
  <c r="T54" i="13"/>
  <c r="X55" i="13"/>
  <c r="X56" i="13"/>
  <c r="R57" i="13"/>
  <c r="W57" i="13" s="1"/>
  <c r="T57" i="13"/>
  <c r="R58" i="13"/>
  <c r="X58" i="13" s="1"/>
  <c r="T58" i="13"/>
  <c r="R59" i="13"/>
  <c r="X59" i="13" s="1"/>
  <c r="T59" i="13"/>
  <c r="R60" i="13"/>
  <c r="W60" i="13" s="1"/>
  <c r="T60" i="13"/>
  <c r="R61" i="13"/>
  <c r="X61" i="13" s="1"/>
  <c r="T61" i="13"/>
  <c r="R62" i="13"/>
  <c r="W62" i="13" s="1"/>
  <c r="T62" i="13"/>
  <c r="R63" i="13"/>
  <c r="X63" i="13" s="1"/>
  <c r="T63" i="13"/>
  <c r="R64" i="13"/>
  <c r="S64" i="13"/>
  <c r="T64" i="13" s="1"/>
  <c r="R65" i="13"/>
  <c r="S65" i="13"/>
  <c r="T65" i="13" s="1"/>
  <c r="R66" i="13"/>
  <c r="W66" i="13" s="1"/>
  <c r="T66" i="13"/>
  <c r="R67" i="13"/>
  <c r="S67" i="13"/>
  <c r="T67" i="13" s="1"/>
  <c r="T68" i="13"/>
  <c r="W68" i="13"/>
  <c r="X68" i="13"/>
  <c r="T69" i="13"/>
  <c r="W69" i="13"/>
  <c r="X69" i="13"/>
  <c r="F70" i="13"/>
  <c r="G70" i="13"/>
  <c r="H70" i="13"/>
  <c r="I70" i="13"/>
  <c r="J70" i="13"/>
  <c r="K70" i="13"/>
  <c r="L70" i="13"/>
  <c r="M70" i="13"/>
  <c r="N70" i="13"/>
  <c r="O70" i="13"/>
  <c r="P70" i="13"/>
  <c r="Q70" i="13"/>
  <c r="R70" i="13"/>
  <c r="S70" i="13"/>
  <c r="U70" i="13"/>
  <c r="V70" i="13"/>
  <c r="W70" i="13"/>
  <c r="T71" i="13"/>
  <c r="T72" i="13"/>
  <c r="E9" i="12"/>
  <c r="F9" i="12"/>
  <c r="G9" i="12"/>
  <c r="I9" i="12"/>
  <c r="J9" i="12"/>
  <c r="L9" i="12"/>
  <c r="M9" i="12"/>
  <c r="N9" i="12"/>
  <c r="D10" i="12"/>
  <c r="K10" i="12"/>
  <c r="D11" i="12"/>
  <c r="O11" i="12"/>
  <c r="K11" i="12" s="1"/>
  <c r="H11" i="12" s="1"/>
  <c r="D12" i="12"/>
  <c r="O12" i="12"/>
  <c r="K12" i="12" s="1"/>
  <c r="H12" i="12" s="1"/>
  <c r="D13" i="12"/>
  <c r="K13" i="12"/>
  <c r="H13" i="12" s="1"/>
  <c r="D14" i="12"/>
  <c r="K14" i="12"/>
  <c r="H14" i="12" s="1"/>
  <c r="D15" i="12"/>
  <c r="O15" i="12"/>
  <c r="K15" i="12" s="1"/>
  <c r="H15" i="12" s="1"/>
  <c r="D16" i="12"/>
  <c r="K16" i="12"/>
  <c r="H16" i="12" s="1"/>
  <c r="D17" i="12"/>
  <c r="K17" i="12"/>
  <c r="H17" i="12" s="1"/>
  <c r="D18" i="12"/>
  <c r="O18" i="12" s="1"/>
  <c r="K18" i="12" s="1"/>
  <c r="H18" i="12" s="1"/>
  <c r="D19" i="12"/>
  <c r="O19" i="12" s="1"/>
  <c r="K19" i="12" s="1"/>
  <c r="H19" i="12" s="1"/>
  <c r="D20" i="12"/>
  <c r="K20" i="12"/>
  <c r="H20" i="12" s="1"/>
  <c r="D21" i="12"/>
  <c r="K21" i="12"/>
  <c r="H21" i="12" s="1"/>
  <c r="D22" i="12"/>
  <c r="O22" i="12"/>
  <c r="K22" i="12" s="1"/>
  <c r="H22" i="12" s="1"/>
  <c r="D23" i="12"/>
  <c r="K23" i="12"/>
  <c r="H23" i="12" s="1"/>
  <c r="D24" i="12"/>
  <c r="O24" i="12" s="1"/>
  <c r="K24" i="12" s="1"/>
  <c r="H24" i="12" s="1"/>
  <c r="D25" i="12"/>
  <c r="O25" i="12" s="1"/>
  <c r="K25" i="12" s="1"/>
  <c r="H25" i="12" s="1"/>
  <c r="D26" i="12"/>
  <c r="O26" i="12" s="1"/>
  <c r="K26" i="12" s="1"/>
  <c r="H26" i="12" s="1"/>
  <c r="D27" i="12"/>
  <c r="O27" i="12"/>
  <c r="K27" i="12" s="1"/>
  <c r="H27" i="12" s="1"/>
  <c r="D28" i="12"/>
  <c r="O28" i="12"/>
  <c r="K28" i="12" s="1"/>
  <c r="H28" i="12" s="1"/>
  <c r="D29" i="12"/>
  <c r="O29" i="12" s="1"/>
  <c r="K29" i="12" s="1"/>
  <c r="H29" i="12" s="1"/>
  <c r="D30" i="12"/>
  <c r="O30" i="12" s="1"/>
  <c r="K30" i="12" s="1"/>
  <c r="H30" i="12" s="1"/>
  <c r="D31" i="12"/>
  <c r="O31" i="12" s="1"/>
  <c r="K31" i="12" s="1"/>
  <c r="H31" i="12" s="1"/>
  <c r="D32" i="12"/>
  <c r="O32" i="12"/>
  <c r="K32" i="12" s="1"/>
  <c r="H32" i="12" s="1"/>
  <c r="D33" i="12"/>
  <c r="O33" i="12"/>
  <c r="K33" i="12" s="1"/>
  <c r="H33" i="12" s="1"/>
  <c r="D34" i="12"/>
  <c r="O34" i="12" s="1"/>
  <c r="K34" i="12" s="1"/>
  <c r="H34" i="12" s="1"/>
  <c r="D35" i="12"/>
  <c r="O35" i="12" s="1"/>
  <c r="K35" i="12" s="1"/>
  <c r="H35" i="12" s="1"/>
  <c r="D36" i="12"/>
  <c r="O36" i="12"/>
  <c r="K36" i="12" s="1"/>
  <c r="H36" i="12" s="1"/>
  <c r="D37" i="12"/>
  <c r="O37" i="12"/>
  <c r="K37" i="12" s="1"/>
  <c r="H37" i="12" s="1"/>
  <c r="D38" i="12"/>
  <c r="O38" i="12"/>
  <c r="K38" i="12" s="1"/>
  <c r="H38" i="12" s="1"/>
  <c r="E39" i="12"/>
  <c r="F39" i="12"/>
  <c r="G39" i="12"/>
  <c r="I39" i="12"/>
  <c r="L39" i="12"/>
  <c r="M39" i="12"/>
  <c r="N39" i="12"/>
  <c r="O39" i="12"/>
  <c r="K40" i="12"/>
  <c r="D41" i="12"/>
  <c r="K41" i="12"/>
  <c r="H41" i="12" s="1"/>
  <c r="D42" i="12"/>
  <c r="K42" i="12"/>
  <c r="H42" i="12" s="1"/>
  <c r="D43" i="12"/>
  <c r="K43" i="12"/>
  <c r="H43" i="12" s="1"/>
  <c r="D44" i="12"/>
  <c r="K44" i="12"/>
  <c r="H44" i="12" s="1"/>
  <c r="D45" i="12"/>
  <c r="K45" i="12"/>
  <c r="H45" i="12" s="1"/>
  <c r="D46" i="12"/>
  <c r="K46" i="12"/>
  <c r="H46" i="12" s="1"/>
  <c r="D47" i="12"/>
  <c r="K47" i="12"/>
  <c r="H47" i="12" s="1"/>
  <c r="D48" i="12"/>
  <c r="K48" i="12"/>
  <c r="H48" i="12" s="1"/>
  <c r="D49" i="12"/>
  <c r="K49" i="12"/>
  <c r="H49" i="12" s="1"/>
  <c r="D50" i="12"/>
  <c r="K50" i="12"/>
  <c r="H50" i="12" s="1"/>
  <c r="D51" i="12"/>
  <c r="K51" i="12"/>
  <c r="H51" i="12" s="1"/>
  <c r="D52" i="12"/>
  <c r="K52" i="12"/>
  <c r="H52" i="12" s="1"/>
  <c r="D53" i="12"/>
  <c r="K53" i="12"/>
  <c r="H53" i="12" s="1"/>
  <c r="D54" i="12"/>
  <c r="J54" i="12"/>
  <c r="K54" i="12"/>
  <c r="D55" i="12"/>
  <c r="J55" i="12"/>
  <c r="K55" i="12"/>
  <c r="D56" i="12"/>
  <c r="K56" i="12"/>
  <c r="H56" i="12" s="1"/>
  <c r="D57" i="12"/>
  <c r="K57" i="12"/>
  <c r="H57" i="12" s="1"/>
  <c r="D58" i="12"/>
  <c r="K58" i="12"/>
  <c r="H58" i="12" s="1"/>
  <c r="D59" i="12"/>
  <c r="K59" i="12"/>
  <c r="H59" i="12" s="1"/>
  <c r="D60" i="12"/>
  <c r="J60" i="12" s="1"/>
  <c r="K60" i="12"/>
  <c r="D61" i="12"/>
  <c r="K61" i="12"/>
  <c r="H61" i="12" s="1"/>
  <c r="D62" i="12"/>
  <c r="K62" i="12"/>
  <c r="H62" i="12" s="1"/>
  <c r="D63" i="12"/>
  <c r="K63" i="12"/>
  <c r="H63" i="12" s="1"/>
  <c r="K64" i="12"/>
  <c r="D65" i="12"/>
  <c r="K65" i="12"/>
  <c r="H65" i="12" s="1"/>
  <c r="D66" i="12"/>
  <c r="K66" i="12"/>
  <c r="H66" i="12" s="1"/>
  <c r="D67" i="12"/>
  <c r="K67" i="12"/>
  <c r="H67" i="12" s="1"/>
  <c r="D68" i="12"/>
  <c r="K68" i="12"/>
  <c r="H68" i="12" s="1"/>
  <c r="G70" i="12"/>
  <c r="I70" i="12"/>
  <c r="J70" i="12"/>
  <c r="N70" i="12"/>
  <c r="D71" i="12"/>
  <c r="D70" i="12" s="1"/>
  <c r="L71" i="12"/>
  <c r="K71" i="12" s="1"/>
  <c r="G72" i="12"/>
  <c r="I72" i="12"/>
  <c r="J72" i="12"/>
  <c r="L72" i="12"/>
  <c r="M72" i="12"/>
  <c r="M69" i="12" s="1"/>
  <c r="N72" i="12"/>
  <c r="O72" i="12"/>
  <c r="O69" i="12" s="1"/>
  <c r="D73" i="12"/>
  <c r="D74" i="12"/>
  <c r="K74" i="12"/>
  <c r="H74" i="12" s="1"/>
  <c r="D75" i="12"/>
  <c r="K75" i="12"/>
  <c r="H75" i="12" s="1"/>
  <c r="N76" i="12"/>
  <c r="O76" i="12"/>
  <c r="P76" i="12"/>
  <c r="E77" i="12"/>
  <c r="F77" i="12"/>
  <c r="G77" i="12"/>
  <c r="I77" i="12"/>
  <c r="J77" i="12"/>
  <c r="L77" i="12"/>
  <c r="M77" i="12"/>
  <c r="D78" i="12"/>
  <c r="K78" i="12"/>
  <c r="D79" i="12"/>
  <c r="K79" i="12"/>
  <c r="H79" i="12" s="1"/>
  <c r="E80" i="12"/>
  <c r="F80" i="12"/>
  <c r="G80" i="12"/>
  <c r="I80" i="12"/>
  <c r="J80" i="12"/>
  <c r="L80" i="12"/>
  <c r="M80" i="12"/>
  <c r="D81" i="12"/>
  <c r="D80" i="12" s="1"/>
  <c r="K81" i="12"/>
  <c r="K80" i="12" s="1"/>
  <c r="D83" i="12"/>
  <c r="D82" i="12" s="1"/>
  <c r="E83" i="12"/>
  <c r="E82" i="12" s="1"/>
  <c r="F83" i="12"/>
  <c r="F82" i="12" s="1"/>
  <c r="G83" i="12"/>
  <c r="G82" i="12" s="1"/>
  <c r="J83" i="12"/>
  <c r="J82" i="12" s="1"/>
  <c r="L83" i="12"/>
  <c r="L82" i="12" s="1"/>
  <c r="M83" i="12"/>
  <c r="M82" i="12" s="1"/>
  <c r="N83" i="12"/>
  <c r="N82" i="12" s="1"/>
  <c r="O83" i="12"/>
  <c r="O82" i="12" s="1"/>
  <c r="I84" i="12"/>
  <c r="I83" i="12" s="1"/>
  <c r="I82" i="12" s="1"/>
  <c r="K84" i="12"/>
  <c r="K83" i="12" s="1"/>
  <c r="K85" i="12"/>
  <c r="P86" i="12"/>
  <c r="E87" i="12"/>
  <c r="E86" i="12" s="1"/>
  <c r="F87" i="12"/>
  <c r="F86" i="12" s="1"/>
  <c r="G87" i="12"/>
  <c r="G86" i="12" s="1"/>
  <c r="I87" i="12"/>
  <c r="I86" i="12" s="1"/>
  <c r="J87" i="12"/>
  <c r="J86" i="12" s="1"/>
  <c r="L87" i="12"/>
  <c r="L86" i="12" s="1"/>
  <c r="M87" i="12"/>
  <c r="M86" i="12" s="1"/>
  <c r="N87" i="12"/>
  <c r="N86" i="12" s="1"/>
  <c r="O87" i="12"/>
  <c r="O86" i="12" s="1"/>
  <c r="D88" i="12"/>
  <c r="K88" i="12"/>
  <c r="H88" i="12" s="1"/>
  <c r="D89" i="12"/>
  <c r="K89" i="12"/>
  <c r="H89" i="12" s="1"/>
  <c r="D90" i="12"/>
  <c r="K90" i="12"/>
  <c r="D91" i="12"/>
  <c r="H91" i="12"/>
  <c r="D92" i="12"/>
  <c r="H92" i="12"/>
  <c r="K93" i="12"/>
  <c r="H93" i="12" s="1"/>
  <c r="E94" i="12"/>
  <c r="F94" i="12"/>
  <c r="G94" i="12"/>
  <c r="K94" i="12" s="1"/>
  <c r="H94" i="12" s="1"/>
  <c r="O94" i="12"/>
  <c r="P94" i="12"/>
  <c r="D95" i="12"/>
  <c r="D96" i="12"/>
  <c r="D97" i="12"/>
  <c r="D98" i="12"/>
  <c r="D99" i="12"/>
  <c r="G100" i="12"/>
  <c r="I100" i="12"/>
  <c r="L100" i="12"/>
  <c r="M100" i="12"/>
  <c r="N100" i="12"/>
  <c r="D101" i="12"/>
  <c r="K101" i="12"/>
  <c r="H101" i="12" s="1"/>
  <c r="D102" i="12"/>
  <c r="J102" i="12"/>
  <c r="D103" i="12"/>
  <c r="J103" i="12"/>
  <c r="D104" i="12"/>
  <c r="O104" i="12" s="1"/>
  <c r="K104" i="12" s="1"/>
  <c r="H104" i="12" s="1"/>
  <c r="D105" i="12"/>
  <c r="J105" i="12"/>
  <c r="E107" i="12"/>
  <c r="F107" i="12"/>
  <c r="G107" i="12"/>
  <c r="J107" i="12"/>
  <c r="D108" i="12"/>
  <c r="I108" i="12"/>
  <c r="D109" i="12"/>
  <c r="I109" i="12"/>
  <c r="D110" i="12"/>
  <c r="I110" i="12"/>
  <c r="D111" i="12"/>
  <c r="I111" i="12"/>
  <c r="D112" i="12"/>
  <c r="I112" i="12"/>
  <c r="D113" i="12"/>
  <c r="I113" i="12"/>
  <c r="D114" i="12"/>
  <c r="D115" i="12"/>
  <c r="I115" i="12"/>
  <c r="D116" i="12"/>
  <c r="F117" i="12"/>
  <c r="J117" i="12"/>
  <c r="D118" i="12"/>
  <c r="I118" i="12"/>
  <c r="D119" i="12"/>
  <c r="I119" i="12"/>
  <c r="D120" i="12"/>
  <c r="I120" i="12"/>
  <c r="D121" i="12"/>
  <c r="I121" i="12"/>
  <c r="E123" i="12"/>
  <c r="E122" i="12" s="1"/>
  <c r="F123" i="12"/>
  <c r="F122" i="12" s="1"/>
  <c r="G123" i="12"/>
  <c r="G122" i="12" s="1"/>
  <c r="J123" i="12"/>
  <c r="L123" i="12"/>
  <c r="L122" i="12" s="1"/>
  <c r="L106" i="12" s="1"/>
  <c r="D124" i="12"/>
  <c r="I124" i="12"/>
  <c r="D125" i="12"/>
  <c r="I125" i="12"/>
  <c r="D126" i="12"/>
  <c r="I126" i="12"/>
  <c r="D127" i="12"/>
  <c r="I127" i="12"/>
  <c r="D128" i="12"/>
  <c r="M128" i="12" s="1"/>
  <c r="D129" i="12"/>
  <c r="J129" i="12"/>
  <c r="E130" i="12"/>
  <c r="F130" i="12"/>
  <c r="G130" i="12"/>
  <c r="I130" i="12"/>
  <c r="D131" i="12"/>
  <c r="J131" i="12"/>
  <c r="D132" i="12"/>
  <c r="J132" i="12"/>
  <c r="D134" i="12"/>
  <c r="E134" i="12"/>
  <c r="F134" i="12"/>
  <c r="G134" i="12"/>
  <c r="H134" i="12"/>
  <c r="I134" i="12"/>
  <c r="J134" i="12"/>
  <c r="K134" i="12"/>
  <c r="L134" i="12"/>
  <c r="M134" i="12"/>
  <c r="N134" i="12"/>
  <c r="O134" i="12"/>
  <c r="D137" i="12"/>
  <c r="E137" i="12"/>
  <c r="F137" i="12"/>
  <c r="G137" i="12"/>
  <c r="H137" i="12"/>
  <c r="I137" i="12"/>
  <c r="J137" i="12"/>
  <c r="K137" i="12"/>
  <c r="L137" i="12"/>
  <c r="M137" i="12"/>
  <c r="N137" i="12"/>
  <c r="O137" i="12"/>
  <c r="D140" i="12"/>
  <c r="E140" i="12"/>
  <c r="F140" i="12"/>
  <c r="G140" i="12"/>
  <c r="H140" i="12"/>
  <c r="I140" i="12"/>
  <c r="J140" i="12"/>
  <c r="K140" i="12"/>
  <c r="L140" i="12"/>
  <c r="M140" i="12"/>
  <c r="N140" i="12"/>
  <c r="O140" i="12"/>
  <c r="E143" i="12"/>
  <c r="F143" i="12"/>
  <c r="G143" i="12"/>
  <c r="I143" i="12"/>
  <c r="J143" i="12"/>
  <c r="L143" i="12"/>
  <c r="M143" i="12"/>
  <c r="N143" i="12"/>
  <c r="O143" i="12"/>
  <c r="D145" i="12"/>
  <c r="D143" i="12" s="1"/>
  <c r="K145" i="12"/>
  <c r="D146" i="12"/>
  <c r="E146" i="12"/>
  <c r="F146" i="12"/>
  <c r="G146" i="12"/>
  <c r="H146" i="12"/>
  <c r="I146" i="12"/>
  <c r="J146" i="12"/>
  <c r="K146" i="12"/>
  <c r="L146" i="12"/>
  <c r="M146" i="12"/>
  <c r="N146" i="12"/>
  <c r="O146" i="12"/>
  <c r="D148" i="12"/>
  <c r="E148" i="12"/>
  <c r="F148" i="12"/>
  <c r="G148" i="12"/>
  <c r="H148" i="12"/>
  <c r="I148" i="12"/>
  <c r="J148" i="12"/>
  <c r="K148" i="12"/>
  <c r="L148" i="12"/>
  <c r="M148" i="12"/>
  <c r="N148" i="12"/>
  <c r="O148" i="12"/>
  <c r="D151" i="12"/>
  <c r="E151" i="12"/>
  <c r="F151" i="12"/>
  <c r="G151" i="12"/>
  <c r="H151" i="12"/>
  <c r="I151" i="12"/>
  <c r="J151" i="12"/>
  <c r="K151" i="12"/>
  <c r="L151" i="12"/>
  <c r="M151" i="12"/>
  <c r="N151" i="12"/>
  <c r="O151" i="12"/>
  <c r="D156" i="12"/>
  <c r="E156" i="12"/>
  <c r="F156" i="12"/>
  <c r="G156" i="12"/>
  <c r="H156" i="12"/>
  <c r="I156" i="12"/>
  <c r="J156" i="12"/>
  <c r="K156" i="12"/>
  <c r="L156" i="12"/>
  <c r="M156" i="12"/>
  <c r="N156" i="12"/>
  <c r="O156" i="12"/>
  <c r="D165" i="12"/>
  <c r="E165" i="12"/>
  <c r="F165" i="12"/>
  <c r="G165" i="12"/>
  <c r="H165" i="12"/>
  <c r="I165" i="12"/>
  <c r="J165" i="12"/>
  <c r="L165" i="12"/>
  <c r="M165" i="12"/>
  <c r="N165" i="12"/>
  <c r="O167" i="12"/>
  <c r="O165" i="12" s="1"/>
  <c r="K168" i="12"/>
  <c r="K165" i="12" s="1"/>
  <c r="O169" i="12"/>
  <c r="D170" i="12"/>
  <c r="E170" i="12"/>
  <c r="F170" i="12"/>
  <c r="G170" i="12"/>
  <c r="H170" i="12"/>
  <c r="I170" i="12"/>
  <c r="J170" i="12"/>
  <c r="K170" i="12"/>
  <c r="L170" i="12"/>
  <c r="M170" i="12"/>
  <c r="N170" i="12"/>
  <c r="O171" i="12"/>
  <c r="O172" i="12"/>
  <c r="D173" i="12"/>
  <c r="E173" i="12"/>
  <c r="F173" i="12"/>
  <c r="G173" i="12"/>
  <c r="H173" i="12"/>
  <c r="I173" i="12"/>
  <c r="J173" i="12"/>
  <c r="K173" i="12"/>
  <c r="L173" i="12"/>
  <c r="M173" i="12"/>
  <c r="N173" i="12"/>
  <c r="O173" i="12"/>
  <c r="D180" i="12"/>
  <c r="D179" i="12" s="1"/>
  <c r="E180" i="12"/>
  <c r="E179" i="12" s="1"/>
  <c r="F180" i="12"/>
  <c r="F179" i="12" s="1"/>
  <c r="G180" i="12"/>
  <c r="G179" i="12" s="1"/>
  <c r="H180" i="12"/>
  <c r="H179" i="12" s="1"/>
  <c r="I180" i="12"/>
  <c r="I179" i="12" s="1"/>
  <c r="J180" i="12"/>
  <c r="J179" i="12" s="1"/>
  <c r="K180" i="12"/>
  <c r="K179" i="12" s="1"/>
  <c r="L180" i="12"/>
  <c r="L179" i="12" s="1"/>
  <c r="M180" i="12"/>
  <c r="M179" i="12" s="1"/>
  <c r="N180" i="12"/>
  <c r="N179" i="12" s="1"/>
  <c r="O182" i="12"/>
  <c r="O180" i="12" s="1"/>
  <c r="O179" i="12" s="1"/>
  <c r="E184" i="12"/>
  <c r="F184" i="12"/>
  <c r="G184" i="12"/>
  <c r="I184" i="12"/>
  <c r="J184" i="12"/>
  <c r="L184" i="12"/>
  <c r="M184" i="12"/>
  <c r="N184" i="12"/>
  <c r="O184" i="12"/>
  <c r="D185" i="12"/>
  <c r="D184" i="12" s="1"/>
  <c r="K185" i="12"/>
  <c r="H185" i="12" s="1"/>
  <c r="H184" i="12" s="1"/>
  <c r="E186" i="12"/>
  <c r="F186" i="12"/>
  <c r="G186" i="12"/>
  <c r="I186" i="12"/>
  <c r="J186" i="12"/>
  <c r="M186" i="12"/>
  <c r="N186" i="12"/>
  <c r="O186" i="12"/>
  <c r="D187" i="12"/>
  <c r="K187" i="12"/>
  <c r="H187" i="12" s="1"/>
  <c r="D188" i="12"/>
  <c r="H188" i="12"/>
  <c r="D189" i="12"/>
  <c r="L189" i="12"/>
  <c r="K189" i="12" s="1"/>
  <c r="E190" i="12"/>
  <c r="F190" i="12"/>
  <c r="G190" i="12"/>
  <c r="I190" i="12"/>
  <c r="J190" i="12"/>
  <c r="M190" i="12"/>
  <c r="N190" i="12"/>
  <c r="O190" i="12"/>
  <c r="D191" i="12"/>
  <c r="D190" i="12" s="1"/>
  <c r="L191" i="12"/>
  <c r="K191" i="12" s="1"/>
  <c r="K190" i="12" s="1"/>
  <c r="E193" i="12"/>
  <c r="E192" i="12" s="1"/>
  <c r="F193" i="12"/>
  <c r="F192" i="12" s="1"/>
  <c r="G193" i="12"/>
  <c r="G192" i="12" s="1"/>
  <c r="I193" i="12"/>
  <c r="I192" i="12" s="1"/>
  <c r="J193" i="12"/>
  <c r="J192" i="12" s="1"/>
  <c r="M193" i="12"/>
  <c r="M192" i="12" s="1"/>
  <c r="N193" i="12"/>
  <c r="N192" i="12" s="1"/>
  <c r="O193" i="12"/>
  <c r="O192" i="12" s="1"/>
  <c r="D194" i="12"/>
  <c r="L194" i="12"/>
  <c r="K194" i="12" s="1"/>
  <c r="H194" i="12" s="1"/>
  <c r="H193" i="12" s="1"/>
  <c r="H192" i="12" s="1"/>
  <c r="D195" i="12"/>
  <c r="D196" i="12"/>
  <c r="D198" i="12"/>
  <c r="K198" i="12"/>
  <c r="H198" i="12" s="1"/>
  <c r="E199" i="12"/>
  <c r="E197" i="12" s="1"/>
  <c r="F199" i="12"/>
  <c r="F197" i="12" s="1"/>
  <c r="G199" i="12"/>
  <c r="G197" i="12" s="1"/>
  <c r="L199" i="12"/>
  <c r="L197" i="12" s="1"/>
  <c r="M199" i="12"/>
  <c r="M197" i="12" s="1"/>
  <c r="N199" i="12"/>
  <c r="N197" i="12" s="1"/>
  <c r="O199" i="12"/>
  <c r="O197" i="12" s="1"/>
  <c r="D200" i="12"/>
  <c r="I200" i="12"/>
  <c r="K200" i="12"/>
  <c r="D201" i="12"/>
  <c r="J201" i="12" s="1"/>
  <c r="K201" i="12"/>
  <c r="D202" i="12"/>
  <c r="E202" i="12"/>
  <c r="F202" i="12"/>
  <c r="G202" i="12"/>
  <c r="I202" i="12"/>
  <c r="J202" i="12"/>
  <c r="L202" i="12"/>
  <c r="M202" i="12"/>
  <c r="N202" i="12"/>
  <c r="O202" i="12"/>
  <c r="K203" i="12"/>
  <c r="H203" i="12" s="1"/>
  <c r="H202" i="12" s="1"/>
  <c r="E206" i="12"/>
  <c r="F206" i="12"/>
  <c r="G206" i="12"/>
  <c r="L206" i="12"/>
  <c r="M206" i="12"/>
  <c r="N206" i="12"/>
  <c r="O206" i="12"/>
  <c r="D207" i="12"/>
  <c r="K207" i="12"/>
  <c r="D208" i="12"/>
  <c r="J208" i="12"/>
  <c r="J206" i="12" s="1"/>
  <c r="K208" i="12"/>
  <c r="D209" i="12"/>
  <c r="J209" i="12" s="1"/>
  <c r="K209" i="12"/>
  <c r="D211" i="12"/>
  <c r="H211" i="12"/>
  <c r="D212" i="12"/>
  <c r="H212" i="12"/>
  <c r="M212" i="12"/>
  <c r="D213" i="12"/>
  <c r="K213" i="12"/>
  <c r="H213" i="12" s="1"/>
  <c r="D214" i="12"/>
  <c r="H214" i="12"/>
  <c r="M214" i="12"/>
  <c r="E215" i="12"/>
  <c r="E210" i="12" s="1"/>
  <c r="F215" i="12"/>
  <c r="F210" i="12" s="1"/>
  <c r="G215" i="12"/>
  <c r="G210" i="12" s="1"/>
  <c r="I215" i="12"/>
  <c r="I210" i="12" s="1"/>
  <c r="J215" i="12"/>
  <c r="J210" i="12" s="1"/>
  <c r="M215" i="12"/>
  <c r="N215" i="12"/>
  <c r="N210" i="12" s="1"/>
  <c r="O215" i="12"/>
  <c r="O210" i="12" s="1"/>
  <c r="D216" i="12"/>
  <c r="K216" i="12"/>
  <c r="L216" i="12" s="1"/>
  <c r="D217" i="12"/>
  <c r="K217" i="12"/>
  <c r="H217" i="12" s="1"/>
  <c r="E219" i="12"/>
  <c r="F219" i="12"/>
  <c r="G219" i="12"/>
  <c r="J219" i="12"/>
  <c r="L219" i="12"/>
  <c r="M219" i="12"/>
  <c r="N219" i="12"/>
  <c r="O219" i="12"/>
  <c r="P219" i="12"/>
  <c r="D220" i="12"/>
  <c r="I220" i="12"/>
  <c r="K220" i="12"/>
  <c r="K219" i="12" s="1"/>
  <c r="D221" i="12"/>
  <c r="I221" i="12"/>
  <c r="H221" i="12" s="1"/>
  <c r="D222" i="12"/>
  <c r="I222" i="12"/>
  <c r="D223" i="12"/>
  <c r="I223" i="12"/>
  <c r="H223" i="12" s="1"/>
  <c r="E224" i="12"/>
  <c r="F224" i="12"/>
  <c r="G224" i="12"/>
  <c r="I224" i="12"/>
  <c r="L224" i="12"/>
  <c r="M224" i="12"/>
  <c r="N224" i="12"/>
  <c r="O224" i="12"/>
  <c r="P224" i="12"/>
  <c r="D225" i="12"/>
  <c r="J225" i="12"/>
  <c r="K225" i="12"/>
  <c r="D226" i="12"/>
  <c r="J226" i="12"/>
  <c r="K226" i="12"/>
  <c r="D227" i="12"/>
  <c r="J227" i="12"/>
  <c r="K227" i="12"/>
  <c r="D228" i="12"/>
  <c r="J228" i="12"/>
  <c r="K228" i="12"/>
  <c r="D229" i="12"/>
  <c r="J229" i="12"/>
  <c r="K229" i="12"/>
  <c r="E230" i="12"/>
  <c r="F230" i="12"/>
  <c r="G230" i="12"/>
  <c r="I230" i="12"/>
  <c r="K230" i="12"/>
  <c r="L230" i="12"/>
  <c r="M230" i="12"/>
  <c r="N230" i="12"/>
  <c r="O230" i="12"/>
  <c r="P230" i="12"/>
  <c r="D231" i="12"/>
  <c r="J231" i="12"/>
  <c r="H231" i="12" s="1"/>
  <c r="D232" i="12"/>
  <c r="J232" i="12"/>
  <c r="H232" i="12" s="1"/>
  <c r="N233" i="12"/>
  <c r="O233" i="12"/>
  <c r="L234" i="12"/>
  <c r="M235" i="12"/>
  <c r="L235" i="12" s="1"/>
  <c r="E237" i="12"/>
  <c r="E236" i="12" s="1"/>
  <c r="F237" i="12"/>
  <c r="F236" i="12" s="1"/>
  <c r="G237" i="12"/>
  <c r="G236" i="12" s="1"/>
  <c r="J237" i="12"/>
  <c r="J236" i="12" s="1"/>
  <c r="M237" i="12"/>
  <c r="M236" i="12" s="1"/>
  <c r="N237" i="12"/>
  <c r="N236" i="12" s="1"/>
  <c r="O237" i="12"/>
  <c r="O236" i="12" s="1"/>
  <c r="P237" i="12"/>
  <c r="D238" i="12"/>
  <c r="H238" i="12"/>
  <c r="D239" i="12"/>
  <c r="I239" i="12"/>
  <c r="K239" i="12"/>
  <c r="L239" i="12" s="1"/>
  <c r="D240" i="12"/>
  <c r="I240" i="12"/>
  <c r="K240" i="12"/>
  <c r="D241" i="12"/>
  <c r="I241" i="12"/>
  <c r="K241" i="12"/>
  <c r="L241" i="12" s="1"/>
  <c r="G242" i="12"/>
  <c r="K242" i="12"/>
  <c r="L242" i="12"/>
  <c r="M242" i="12"/>
  <c r="N242" i="12"/>
  <c r="O242" i="12"/>
  <c r="D243" i="12"/>
  <c r="H243" i="12"/>
  <c r="D244" i="12"/>
  <c r="H244" i="12"/>
  <c r="D245" i="12"/>
  <c r="H245" i="12"/>
  <c r="C7" i="11"/>
  <c r="D7" i="11"/>
  <c r="E7" i="11"/>
  <c r="D9" i="11"/>
  <c r="E9" i="11"/>
  <c r="C10" i="11"/>
  <c r="C11" i="11"/>
  <c r="C12" i="11"/>
  <c r="D12" i="11"/>
  <c r="E12" i="11"/>
  <c r="D15" i="11"/>
  <c r="E15" i="11"/>
  <c r="E14" i="11" s="1"/>
  <c r="D16" i="11"/>
  <c r="E16" i="11"/>
  <c r="C17" i="11"/>
  <c r="C18" i="11"/>
  <c r="E19" i="11"/>
  <c r="C20" i="11"/>
  <c r="C19" i="11" s="1"/>
  <c r="C21" i="11"/>
  <c r="D22" i="11"/>
  <c r="E22" i="11"/>
  <c r="C23" i="11"/>
  <c r="C22" i="11" s="1"/>
  <c r="D24" i="11"/>
  <c r="E24" i="11"/>
  <c r="C25" i="11"/>
  <c r="C24" i="11" s="1"/>
  <c r="C11" i="10"/>
  <c r="C10" i="10" s="1"/>
  <c r="D11" i="10"/>
  <c r="D10" i="10" s="1"/>
  <c r="E11" i="10"/>
  <c r="E10" i="10" s="1"/>
  <c r="F11" i="10"/>
  <c r="F10" i="10" s="1"/>
  <c r="H11" i="10"/>
  <c r="H10" i="10" s="1"/>
  <c r="I11" i="10"/>
  <c r="I10" i="10" s="1"/>
  <c r="J11" i="10"/>
  <c r="J10" i="10" s="1"/>
  <c r="K11" i="10"/>
  <c r="K10" i="10" s="1"/>
  <c r="O12" i="10"/>
  <c r="M13" i="10"/>
  <c r="M14" i="10"/>
  <c r="M15" i="10"/>
  <c r="O18" i="10"/>
  <c r="O19" i="10"/>
  <c r="O21" i="10"/>
  <c r="O22" i="10"/>
  <c r="O23" i="10"/>
  <c r="O25" i="10"/>
  <c r="C27" i="10"/>
  <c r="D27" i="10"/>
  <c r="E27" i="10"/>
  <c r="F27" i="10"/>
  <c r="H27" i="10"/>
  <c r="I27" i="10"/>
  <c r="J27" i="10"/>
  <c r="K27" i="10"/>
  <c r="O28" i="10"/>
  <c r="M29" i="10"/>
  <c r="O29" i="10"/>
  <c r="M30" i="10"/>
  <c r="O31" i="10"/>
  <c r="O32" i="10"/>
  <c r="O33" i="10"/>
  <c r="O35" i="10"/>
  <c r="C36" i="10"/>
  <c r="D36" i="10"/>
  <c r="E36" i="10"/>
  <c r="G36" i="10"/>
  <c r="H36" i="10"/>
  <c r="I36" i="10"/>
  <c r="J36" i="10"/>
  <c r="K36" i="10"/>
  <c r="O40" i="10"/>
  <c r="O54" i="10"/>
  <c r="O55" i="10"/>
  <c r="O56" i="10"/>
  <c r="O57" i="10"/>
  <c r="O58" i="10"/>
  <c r="O63" i="10"/>
  <c r="O64" i="10"/>
  <c r="G67" i="10"/>
  <c r="O67" i="10"/>
  <c r="Q67" i="10"/>
  <c r="O70" i="10"/>
  <c r="O71" i="10"/>
  <c r="G72" i="10"/>
  <c r="O72" i="10"/>
  <c r="M73" i="10"/>
  <c r="O73" i="10"/>
  <c r="M74" i="10"/>
  <c r="M75" i="10"/>
  <c r="O78" i="10"/>
  <c r="O79" i="10"/>
  <c r="O82" i="10"/>
  <c r="O83" i="10"/>
  <c r="G84" i="10"/>
  <c r="O84" i="10"/>
  <c r="G85" i="10"/>
  <c r="O85" i="10"/>
  <c r="M86" i="10"/>
  <c r="O86" i="10"/>
  <c r="M87" i="10"/>
  <c r="O90" i="10"/>
  <c r="O91" i="10"/>
  <c r="O92" i="10"/>
  <c r="C94" i="10"/>
  <c r="C93" i="10" s="1"/>
  <c r="D94" i="10"/>
  <c r="D93" i="10" s="1"/>
  <c r="E94" i="10"/>
  <c r="E93" i="10" s="1"/>
  <c r="F94" i="10"/>
  <c r="H94" i="10"/>
  <c r="I94" i="10"/>
  <c r="J94" i="10"/>
  <c r="K94" i="10"/>
  <c r="L94" i="10"/>
  <c r="O95" i="10"/>
  <c r="G96" i="10"/>
  <c r="H96" i="10"/>
  <c r="I96" i="10"/>
  <c r="J96" i="10"/>
  <c r="K96" i="10"/>
  <c r="L96" i="10"/>
  <c r="M97" i="10"/>
  <c r="M98" i="10"/>
  <c r="M99" i="10"/>
  <c r="M100" i="10"/>
  <c r="O102" i="10"/>
  <c r="O104" i="10"/>
  <c r="O105" i="10"/>
  <c r="G107" i="10"/>
  <c r="O107" i="10"/>
  <c r="O108" i="10"/>
  <c r="M109" i="10"/>
  <c r="O110" i="10"/>
  <c r="O113" i="10"/>
  <c r="O114" i="10"/>
  <c r="O115" i="10"/>
  <c r="O117" i="10"/>
  <c r="O118" i="10"/>
  <c r="O119" i="10"/>
  <c r="O120" i="10"/>
  <c r="O121" i="10"/>
  <c r="M123" i="10"/>
  <c r="M124" i="10"/>
  <c r="M125" i="10"/>
  <c r="M126" i="10"/>
  <c r="M127" i="10"/>
  <c r="C130" i="10"/>
  <c r="D130" i="10"/>
  <c r="E130" i="10"/>
  <c r="F130" i="10"/>
  <c r="H130" i="10"/>
  <c r="I130" i="10"/>
  <c r="J130" i="10"/>
  <c r="K130" i="10"/>
  <c r="L130" i="10"/>
  <c r="O131" i="10"/>
  <c r="M134" i="10"/>
  <c r="M135" i="10"/>
  <c r="O138" i="10"/>
  <c r="O139" i="10"/>
  <c r="O140" i="10"/>
  <c r="O141" i="10"/>
  <c r="M142" i="10"/>
  <c r="O142" i="10"/>
  <c r="O143" i="10"/>
  <c r="O144" i="10"/>
  <c r="E146" i="10"/>
  <c r="O147" i="10"/>
  <c r="O148" i="10"/>
  <c r="C149" i="10"/>
  <c r="D149" i="10"/>
  <c r="E149" i="10"/>
  <c r="F149" i="10"/>
  <c r="H149" i="10"/>
  <c r="I149" i="10"/>
  <c r="J149" i="10"/>
  <c r="K149" i="10"/>
  <c r="L149" i="10"/>
  <c r="O150" i="10"/>
  <c r="C151" i="10"/>
  <c r="D151" i="10"/>
  <c r="E151" i="10"/>
  <c r="F151" i="10"/>
  <c r="H151" i="10"/>
  <c r="I151" i="10"/>
  <c r="J151" i="10"/>
  <c r="K151" i="10"/>
  <c r="G152" i="10"/>
  <c r="G151" i="10" s="1"/>
  <c r="L151" i="10"/>
  <c r="C153" i="10"/>
  <c r="D153" i="10"/>
  <c r="E153" i="10"/>
  <c r="F153" i="10"/>
  <c r="H153" i="10"/>
  <c r="I153" i="10"/>
  <c r="J153" i="10"/>
  <c r="K153" i="10"/>
  <c r="O154" i="10"/>
  <c r="G155" i="10"/>
  <c r="O155" i="10"/>
  <c r="O157" i="10"/>
  <c r="O160" i="10"/>
  <c r="O161" i="10"/>
  <c r="O162" i="10"/>
  <c r="O163" i="10"/>
  <c r="M164" i="10"/>
  <c r="O164" i="10"/>
  <c r="G165" i="10"/>
  <c r="C166" i="10"/>
  <c r="D166" i="10"/>
  <c r="E166" i="10"/>
  <c r="H166" i="10"/>
  <c r="I166" i="10"/>
  <c r="K166" i="10"/>
  <c r="O167" i="10"/>
  <c r="G168" i="10"/>
  <c r="M169" i="10"/>
  <c r="G171" i="10"/>
  <c r="O171" i="10"/>
  <c r="O172" i="10"/>
  <c r="O174" i="10"/>
  <c r="O177" i="10"/>
  <c r="C179" i="10"/>
  <c r="D179" i="10"/>
  <c r="E179" i="10"/>
  <c r="H179" i="10"/>
  <c r="I179" i="10"/>
  <c r="K179" i="10"/>
  <c r="O180" i="10"/>
  <c r="M181" i="10"/>
  <c r="O183" i="10"/>
  <c r="C184" i="10"/>
  <c r="D184" i="10"/>
  <c r="E184" i="10"/>
  <c r="F184" i="10"/>
  <c r="H184" i="10"/>
  <c r="I184" i="10"/>
  <c r="J184" i="10"/>
  <c r="K184" i="10"/>
  <c r="O185" i="10"/>
  <c r="M186" i="10"/>
  <c r="O186" i="10"/>
  <c r="O187" i="10"/>
  <c r="O190" i="10"/>
  <c r="Q190" i="10"/>
  <c r="O191" i="10"/>
  <c r="M193" i="10"/>
  <c r="C192" i="10"/>
  <c r="D192" i="10"/>
  <c r="E192" i="10"/>
  <c r="F192" i="10"/>
  <c r="H192" i="10"/>
  <c r="I192" i="10"/>
  <c r="J192" i="10"/>
  <c r="K192" i="10"/>
  <c r="O194" i="10"/>
  <c r="O195" i="10"/>
  <c r="I196" i="10"/>
  <c r="O197" i="10"/>
  <c r="G199" i="10"/>
  <c r="O202" i="10"/>
  <c r="O203" i="10"/>
  <c r="C204" i="10"/>
  <c r="D204" i="10"/>
  <c r="E204" i="10"/>
  <c r="F204" i="10"/>
  <c r="H204" i="10"/>
  <c r="J204" i="10"/>
  <c r="K204" i="10"/>
  <c r="L204" i="10"/>
  <c r="O205" i="10"/>
  <c r="M206" i="10"/>
  <c r="I207" i="10"/>
  <c r="O208" i="10"/>
  <c r="O209" i="10"/>
  <c r="I210" i="10"/>
  <c r="O211" i="10"/>
  <c r="O212" i="10"/>
  <c r="M214" i="10"/>
  <c r="O214" i="10"/>
  <c r="M215" i="10"/>
  <c r="O215" i="10"/>
  <c r="O216" i="10"/>
  <c r="O217" i="10"/>
  <c r="O218" i="10"/>
  <c r="O219" i="10"/>
  <c r="O222" i="10"/>
  <c r="O223" i="10"/>
  <c r="C225" i="10"/>
  <c r="C224" i="10" s="1"/>
  <c r="D225" i="10"/>
  <c r="D224" i="10" s="1"/>
  <c r="E225" i="10"/>
  <c r="E224" i="10" s="1"/>
  <c r="F225" i="10"/>
  <c r="F224" i="10" s="1"/>
  <c r="J225" i="10"/>
  <c r="J224" i="10" s="1"/>
  <c r="K225" i="10"/>
  <c r="K224" i="10" s="1"/>
  <c r="O226" i="10"/>
  <c r="M227" i="10"/>
  <c r="O227" i="10"/>
  <c r="M228" i="10"/>
  <c r="C230" i="10"/>
  <c r="C229" i="10" s="1"/>
  <c r="D230" i="10"/>
  <c r="D229" i="10" s="1"/>
  <c r="E230" i="10"/>
  <c r="E229" i="10" s="1"/>
  <c r="F230" i="10"/>
  <c r="G230" i="10"/>
  <c r="H230" i="10"/>
  <c r="J230" i="10"/>
  <c r="K230" i="10"/>
  <c r="M231" i="10"/>
  <c r="O231" i="10"/>
  <c r="M232" i="10"/>
  <c r="O232" i="10"/>
  <c r="G234" i="10"/>
  <c r="G233" i="10" s="1"/>
  <c r="H234" i="10"/>
  <c r="H233" i="10" s="1"/>
  <c r="J234" i="10"/>
  <c r="J233" i="10" s="1"/>
  <c r="K234" i="10"/>
  <c r="K233" i="10" s="1"/>
  <c r="M235" i="10"/>
  <c r="O235" i="10"/>
  <c r="F237" i="10"/>
  <c r="F234" i="10" s="1"/>
  <c r="F233" i="10" s="1"/>
  <c r="M238" i="10"/>
  <c r="M239" i="10"/>
  <c r="M240" i="10"/>
  <c r="L241" i="10"/>
  <c r="D243" i="10"/>
  <c r="E243" i="10"/>
  <c r="F243" i="10"/>
  <c r="G243" i="10"/>
  <c r="H243" i="10"/>
  <c r="J243" i="10"/>
  <c r="K243" i="10"/>
  <c r="C243" i="10"/>
  <c r="M244" i="10"/>
  <c r="M245" i="10"/>
  <c r="O245" i="10"/>
  <c r="O246" i="10"/>
  <c r="M247" i="10"/>
  <c r="M248" i="10"/>
  <c r="M249" i="10"/>
  <c r="M250" i="10"/>
  <c r="M251" i="10"/>
  <c r="M252" i="10"/>
  <c r="M253" i="10"/>
  <c r="O253" i="10"/>
  <c r="G254" i="10"/>
  <c r="H254" i="10"/>
  <c r="J254" i="10"/>
  <c r="K254" i="10"/>
  <c r="L254" i="10"/>
  <c r="M255" i="10"/>
  <c r="M256" i="10"/>
  <c r="D136" i="4"/>
  <c r="D135" i="4"/>
  <c r="E131" i="4"/>
  <c r="F49" i="2"/>
  <c r="D138" i="4"/>
  <c r="D132" i="4"/>
  <c r="D137" i="4"/>
  <c r="H45" i="4"/>
  <c r="F201" i="4"/>
  <c r="D201" i="4" s="1"/>
  <c r="Q199" i="4"/>
  <c r="F199" i="4" s="1"/>
  <c r="L45" i="4"/>
  <c r="A2" i="4"/>
  <c r="A2" i="10" s="1"/>
  <c r="A3" i="11" s="1"/>
  <c r="A2" i="12" s="1"/>
  <c r="I38" i="4"/>
  <c r="K45" i="4"/>
  <c r="I45" i="4"/>
  <c r="N153" i="4"/>
  <c r="L153" i="4"/>
  <c r="H153" i="4"/>
  <c r="Q45" i="4"/>
  <c r="N45" i="4"/>
  <c r="M45" i="4"/>
  <c r="J45" i="4"/>
  <c r="H63" i="4"/>
  <c r="E12" i="2"/>
  <c r="E14" i="3" s="1"/>
  <c r="E13" i="2"/>
  <c r="E15" i="3" s="1"/>
  <c r="E14" i="2"/>
  <c r="E16" i="3" s="1"/>
  <c r="E15" i="2"/>
  <c r="E17" i="3" s="1"/>
  <c r="E16" i="2"/>
  <c r="E18" i="3" s="1"/>
  <c r="E11" i="2"/>
  <c r="F50" i="4"/>
  <c r="E50" i="4" s="1"/>
  <c r="D50" i="4" s="1"/>
  <c r="N87" i="4"/>
  <c r="M87" i="4"/>
  <c r="L87" i="4"/>
  <c r="K87" i="4"/>
  <c r="D54" i="4"/>
  <c r="E54" i="4" s="1"/>
  <c r="D53" i="4"/>
  <c r="E53" i="4" s="1"/>
  <c r="C198" i="4"/>
  <c r="D198" i="4" s="1"/>
  <c r="E198" i="4" s="1"/>
  <c r="D195" i="4"/>
  <c r="E195" i="4" s="1"/>
  <c r="D158" i="4"/>
  <c r="E158" i="4" s="1"/>
  <c r="D157" i="4"/>
  <c r="E157" i="4" s="1"/>
  <c r="F62" i="2"/>
  <c r="D199" i="4"/>
  <c r="D196" i="4"/>
  <c r="E196" i="4" s="1"/>
  <c r="D151" i="4"/>
  <c r="D144" i="4"/>
  <c r="D133" i="4"/>
  <c r="D130" i="4"/>
  <c r="F128" i="4"/>
  <c r="D128" i="4" s="1"/>
  <c r="D121" i="4"/>
  <c r="D120" i="4"/>
  <c r="E119" i="4"/>
  <c r="D118" i="4"/>
  <c r="F90" i="4"/>
  <c r="D90" i="4" s="1"/>
  <c r="F88" i="4"/>
  <c r="D88" i="4" s="1"/>
  <c r="Q87" i="4"/>
  <c r="P87" i="4"/>
  <c r="O87" i="4"/>
  <c r="I87" i="4"/>
  <c r="H87" i="4"/>
  <c r="E87" i="4"/>
  <c r="F86" i="4"/>
  <c r="D86" i="4" s="1"/>
  <c r="F85" i="4"/>
  <c r="D85" i="4" s="1"/>
  <c r="F84" i="4"/>
  <c r="D84" i="4" s="1"/>
  <c r="D83" i="4"/>
  <c r="Q82" i="4"/>
  <c r="F81" i="4"/>
  <c r="D81" i="4" s="1"/>
  <c r="Q80" i="4"/>
  <c r="P80" i="4"/>
  <c r="O80" i="4"/>
  <c r="N80" i="4"/>
  <c r="M79" i="4"/>
  <c r="L80" i="4"/>
  <c r="K80" i="4"/>
  <c r="K79" i="4" s="1"/>
  <c r="J80" i="4"/>
  <c r="J79" i="4" s="1"/>
  <c r="I80" i="4"/>
  <c r="G80" i="4"/>
  <c r="E79" i="4"/>
  <c r="Q73" i="4"/>
  <c r="P73" i="4"/>
  <c r="O73" i="4"/>
  <c r="N73" i="4"/>
  <c r="M73" i="4"/>
  <c r="L73" i="4"/>
  <c r="K73" i="4"/>
  <c r="J73" i="4"/>
  <c r="I73" i="4"/>
  <c r="H73" i="4"/>
  <c r="F77" i="4"/>
  <c r="E77" i="4" s="1"/>
  <c r="D77" i="4" s="1"/>
  <c r="F75" i="4"/>
  <c r="E75" i="4" s="1"/>
  <c r="F74" i="4"/>
  <c r="D74" i="4" s="1"/>
  <c r="Q72" i="4"/>
  <c r="F72" i="4" s="1"/>
  <c r="D72" i="4" s="1"/>
  <c r="O71" i="4"/>
  <c r="N71" i="4"/>
  <c r="L71" i="4"/>
  <c r="G71" i="4"/>
  <c r="Q70" i="4"/>
  <c r="O70" i="4"/>
  <c r="N70" i="4"/>
  <c r="M70" i="4"/>
  <c r="J70" i="4"/>
  <c r="H70" i="4"/>
  <c r="F69" i="4"/>
  <c r="D69" i="4" s="1"/>
  <c r="F68" i="4"/>
  <c r="D68" i="4" s="1"/>
  <c r="D67" i="4"/>
  <c r="F62" i="4"/>
  <c r="F59" i="4"/>
  <c r="D59" i="4" s="1"/>
  <c r="D58" i="4"/>
  <c r="F51" i="4"/>
  <c r="E51" i="4" s="1"/>
  <c r="D51" i="4" s="1"/>
  <c r="F49" i="4"/>
  <c r="E49" i="4" s="1"/>
  <c r="D49" i="4" s="1"/>
  <c r="F47" i="4"/>
  <c r="D47" i="4" s="1"/>
  <c r="D46" i="4"/>
  <c r="P45" i="4"/>
  <c r="O45" i="4"/>
  <c r="D43" i="4"/>
  <c r="D41" i="4"/>
  <c r="F40" i="4"/>
  <c r="E40" i="4" s="1"/>
  <c r="F39" i="4"/>
  <c r="D39" i="4" s="1"/>
  <c r="Q38" i="4"/>
  <c r="Q31" i="4" s="1"/>
  <c r="P38" i="4"/>
  <c r="N38" i="4"/>
  <c r="L38" i="4"/>
  <c r="K38" i="4"/>
  <c r="H38" i="4"/>
  <c r="G38" i="4"/>
  <c r="G31" i="4" s="1"/>
  <c r="F37" i="4"/>
  <c r="D37" i="4" s="1"/>
  <c r="F36" i="4"/>
  <c r="D36" i="4" s="1"/>
  <c r="F34" i="4"/>
  <c r="F33" i="4"/>
  <c r="D33" i="4" s="1"/>
  <c r="F32" i="4"/>
  <c r="D32" i="4" s="1"/>
  <c r="D30" i="4"/>
  <c r="D25" i="4"/>
  <c r="E25" i="4" s="1"/>
  <c r="E23" i="4"/>
  <c r="D22" i="4"/>
  <c r="D16" i="4"/>
  <c r="E16" i="4" s="1"/>
  <c r="D15" i="4"/>
  <c r="E15" i="4" s="1"/>
  <c r="D14" i="4"/>
  <c r="E14" i="4" s="1"/>
  <c r="D13" i="4"/>
  <c r="E13" i="4" s="1"/>
  <c r="D12" i="4"/>
  <c r="E12" i="4" s="1"/>
  <c r="D11" i="4"/>
  <c r="E11" i="4" s="1"/>
  <c r="C10" i="4"/>
  <c r="G66" i="3"/>
  <c r="G65" i="3"/>
  <c r="G64" i="3"/>
  <c r="G60" i="3"/>
  <c r="I59" i="3"/>
  <c r="G52" i="3"/>
  <c r="G51" i="3"/>
  <c r="G49" i="3"/>
  <c r="G44" i="3"/>
  <c r="G34" i="3"/>
  <c r="G33" i="3"/>
  <c r="G32" i="3"/>
  <c r="G31" i="3"/>
  <c r="G30" i="3"/>
  <c r="G29" i="3"/>
  <c r="G28" i="3"/>
  <c r="G27" i="3"/>
  <c r="G26" i="3"/>
  <c r="G25" i="3"/>
  <c r="G24" i="3"/>
  <c r="G23" i="3"/>
  <c r="F58" i="2"/>
  <c r="F56" i="2"/>
  <c r="F55" i="2"/>
  <c r="F54" i="2"/>
  <c r="F53" i="2"/>
  <c r="E53" i="2" s="1"/>
  <c r="F51" i="2"/>
  <c r="Q48" i="2"/>
  <c r="AB50" i="3" s="1"/>
  <c r="P48" i="2"/>
  <c r="Z50" i="3" s="1"/>
  <c r="O48" i="2"/>
  <c r="X50" i="3" s="1"/>
  <c r="N48" i="2"/>
  <c r="V50" i="3" s="1"/>
  <c r="L48" i="2"/>
  <c r="R50" i="3" s="1"/>
  <c r="I48" i="2"/>
  <c r="L50" i="3" s="1"/>
  <c r="H48" i="2"/>
  <c r="J50" i="3" s="1"/>
  <c r="C48" i="2"/>
  <c r="C50" i="3" s="1"/>
  <c r="D50" i="3" s="1"/>
  <c r="F41" i="2"/>
  <c r="F40" i="2"/>
  <c r="E40" i="2" s="1"/>
  <c r="E42" i="3" s="1"/>
  <c r="F39" i="2"/>
  <c r="F38" i="2"/>
  <c r="F36" i="2"/>
  <c r="F35" i="2"/>
  <c r="F34" i="2"/>
  <c r="Q17" i="2"/>
  <c r="Z35" i="3"/>
  <c r="V35" i="3"/>
  <c r="T35" i="3"/>
  <c r="L17" i="2"/>
  <c r="L9" i="2" s="1"/>
  <c r="R11" i="3" s="1"/>
  <c r="N35" i="3"/>
  <c r="L35" i="3"/>
  <c r="G17" i="2"/>
  <c r="G9" i="2" s="1"/>
  <c r="H11" i="3" s="1"/>
  <c r="C29" i="2"/>
  <c r="C25" i="2"/>
  <c r="C21" i="2"/>
  <c r="C10" i="2"/>
  <c r="D10" i="2" s="1"/>
  <c r="D141" i="4"/>
  <c r="G48" i="2"/>
  <c r="H50" i="3" s="1"/>
  <c r="T46" i="13"/>
  <c r="T24" i="13"/>
  <c r="J153" i="4"/>
  <c r="I153" i="4"/>
  <c r="Q153" i="4"/>
  <c r="L8" i="13"/>
  <c r="L7" i="13" s="1"/>
  <c r="M153" i="4"/>
  <c r="P153" i="4"/>
  <c r="X65" i="13"/>
  <c r="R21" i="13"/>
  <c r="W21" i="13" s="1"/>
  <c r="M122" i="12"/>
  <c r="M106" i="12" s="1"/>
  <c r="K153" i="4"/>
  <c r="K152" i="4" s="1"/>
  <c r="O153" i="4"/>
  <c r="G61" i="3"/>
  <c r="G45" i="3"/>
  <c r="G46" i="3"/>
  <c r="G47" i="3"/>
  <c r="F59" i="2"/>
  <c r="F64" i="4"/>
  <c r="D64" i="4" s="1"/>
  <c r="F89" i="4"/>
  <c r="D89" i="4" s="1"/>
  <c r="F147" i="4"/>
  <c r="J87" i="4"/>
  <c r="R18" i="4"/>
  <c r="F78" i="4"/>
  <c r="D78" i="4" s="1"/>
  <c r="C206" i="4" l="1"/>
  <c r="T50" i="13"/>
  <c r="E51" i="2"/>
  <c r="W59" i="13"/>
  <c r="E49" i="2"/>
  <c r="E51" i="3" s="1"/>
  <c r="X35" i="13"/>
  <c r="X57" i="13"/>
  <c r="F76" i="12"/>
  <c r="W61" i="13"/>
  <c r="W63" i="13"/>
  <c r="D181" i="4"/>
  <c r="D190" i="4" s="1"/>
  <c r="X64" i="13"/>
  <c r="M8" i="12"/>
  <c r="Q7" i="13"/>
  <c r="X60" i="13"/>
  <c r="R42" i="13"/>
  <c r="X42" i="13" s="1"/>
  <c r="T25" i="13"/>
  <c r="L70" i="12"/>
  <c r="L69" i="12" s="1"/>
  <c r="X66" i="13"/>
  <c r="K72" i="12"/>
  <c r="R52" i="13"/>
  <c r="R51" i="13" s="1"/>
  <c r="W58" i="13"/>
  <c r="W32" i="13"/>
  <c r="G106" i="12"/>
  <c r="M76" i="12"/>
  <c r="D119" i="4"/>
  <c r="E93" i="4"/>
  <c r="D207" i="10"/>
  <c r="F153" i="4"/>
  <c r="K193" i="12"/>
  <c r="K192" i="12" s="1"/>
  <c r="F26" i="4"/>
  <c r="E54" i="2"/>
  <c r="X50" i="13"/>
  <c r="X54" i="13"/>
  <c r="F136" i="12"/>
  <c r="F133" i="12" s="1"/>
  <c r="O48" i="3"/>
  <c r="O50" i="3" s="1"/>
  <c r="L77" i="10"/>
  <c r="H239" i="12"/>
  <c r="I48" i="3"/>
  <c r="I50" i="3" s="1"/>
  <c r="F8" i="12"/>
  <c r="D33" i="2"/>
  <c r="K82" i="12"/>
  <c r="H60" i="12"/>
  <c r="L81" i="10"/>
  <c r="L80" i="10" s="1"/>
  <c r="J196" i="10"/>
  <c r="C9" i="11"/>
  <c r="G191" i="10"/>
  <c r="M191" i="10" s="1"/>
  <c r="J20" i="10"/>
  <c r="J17" i="10" s="1"/>
  <c r="D199" i="12"/>
  <c r="D197" i="12" s="1"/>
  <c r="W67" i="13"/>
  <c r="H20" i="10"/>
  <c r="M42" i="10"/>
  <c r="C20" i="10"/>
  <c r="C17" i="10" s="1"/>
  <c r="H242" i="12"/>
  <c r="E136" i="12"/>
  <c r="E133" i="12" s="1"/>
  <c r="F33" i="2"/>
  <c r="D34" i="4"/>
  <c r="P31" i="4"/>
  <c r="N44" i="4"/>
  <c r="N205" i="4" s="1"/>
  <c r="I31" i="4"/>
  <c r="Q152" i="4"/>
  <c r="Q192" i="4" s="1"/>
  <c r="G79" i="4"/>
  <c r="I152" i="4"/>
  <c r="I186" i="4" s="1"/>
  <c r="I179" i="4" s="1"/>
  <c r="P152" i="4"/>
  <c r="P192" i="4" s="1"/>
  <c r="N31" i="4"/>
  <c r="M152" i="4"/>
  <c r="M192" i="4" s="1"/>
  <c r="J152" i="4"/>
  <c r="J192" i="4" s="1"/>
  <c r="J44" i="4"/>
  <c r="J205" i="4" s="1"/>
  <c r="I79" i="4"/>
  <c r="L79" i="4"/>
  <c r="L152" i="4"/>
  <c r="L186" i="4" s="1"/>
  <c r="L179" i="4" s="1"/>
  <c r="E62" i="2"/>
  <c r="E64" i="3" s="1"/>
  <c r="G59" i="3"/>
  <c r="D44" i="2"/>
  <c r="E44" i="2" s="1"/>
  <c r="E46" i="3" s="1"/>
  <c r="E25" i="2"/>
  <c r="E27" i="3" s="1"/>
  <c r="E76" i="12"/>
  <c r="F55" i="3"/>
  <c r="W36" i="13"/>
  <c r="W53" i="13"/>
  <c r="G222" i="10"/>
  <c r="M222" i="10" s="1"/>
  <c r="L176" i="10"/>
  <c r="L173" i="10" s="1"/>
  <c r="I26" i="10"/>
  <c r="H176" i="10"/>
  <c r="H173" i="10" s="1"/>
  <c r="E154" i="4"/>
  <c r="X62" i="13"/>
  <c r="S8" i="13"/>
  <c r="H81" i="12"/>
  <c r="H80" i="12" s="1"/>
  <c r="M233" i="12"/>
  <c r="L193" i="12"/>
  <c r="L192" i="12" s="1"/>
  <c r="L190" i="12"/>
  <c r="K184" i="12"/>
  <c r="G63" i="10"/>
  <c r="M63" i="10" s="1"/>
  <c r="K81" i="10"/>
  <c r="K80" i="10" s="1"/>
  <c r="K93" i="10"/>
  <c r="G95" i="10"/>
  <c r="G94" i="10" s="1"/>
  <c r="G93" i="10" s="1"/>
  <c r="M84" i="10"/>
  <c r="M213" i="10"/>
  <c r="H196" i="10"/>
  <c r="K221" i="10"/>
  <c r="K220" i="10" s="1"/>
  <c r="H189" i="10"/>
  <c r="H188" i="10" s="1"/>
  <c r="F189" i="10"/>
  <c r="F188" i="10" s="1"/>
  <c r="J146" i="10"/>
  <c r="J145" i="10" s="1"/>
  <c r="E137" i="10"/>
  <c r="E136" i="10" s="1"/>
  <c r="E129" i="10" s="1"/>
  <c r="M39" i="10"/>
  <c r="G19" i="10"/>
  <c r="M19" i="10" s="1"/>
  <c r="G155" i="12"/>
  <c r="G154" i="12" s="1"/>
  <c r="G150" i="12" s="1"/>
  <c r="G69" i="12"/>
  <c r="G226" i="10"/>
  <c r="G225" i="10" s="1"/>
  <c r="G224" i="10" s="1"/>
  <c r="W49" i="13"/>
  <c r="F229" i="10"/>
  <c r="H89" i="10"/>
  <c r="F77" i="10"/>
  <c r="J69" i="10"/>
  <c r="J68" i="10" s="1"/>
  <c r="M43" i="10"/>
  <c r="O170" i="12"/>
  <c r="O155" i="12" s="1"/>
  <c r="O154" i="12" s="1"/>
  <c r="O150" i="12" s="1"/>
  <c r="I8" i="12"/>
  <c r="K69" i="10"/>
  <c r="K68" i="10" s="1"/>
  <c r="L225" i="10"/>
  <c r="L224" i="10" s="1"/>
  <c r="H225" i="10"/>
  <c r="H224" i="10" s="1"/>
  <c r="H84" i="12"/>
  <c r="H83" i="12" s="1"/>
  <c r="H82" i="12" s="1"/>
  <c r="G12" i="10"/>
  <c r="G11" i="10" s="1"/>
  <c r="G10" i="10" s="1"/>
  <c r="C207" i="10"/>
  <c r="I116" i="10"/>
  <c r="E81" i="10"/>
  <c r="E80" i="10" s="1"/>
  <c r="F69" i="10"/>
  <c r="F68" i="10" s="1"/>
  <c r="F61" i="3"/>
  <c r="U48" i="3"/>
  <c r="U50" i="3" s="1"/>
  <c r="E52" i="4"/>
  <c r="O47" i="13"/>
  <c r="O8" i="13" s="1"/>
  <c r="O7" i="13" s="1"/>
  <c r="H216" i="12"/>
  <c r="H215" i="12" s="1"/>
  <c r="H210" i="12" s="1"/>
  <c r="F52" i="3"/>
  <c r="Y48" i="3"/>
  <c r="Y50" i="3" s="1"/>
  <c r="K229" i="10"/>
  <c r="O136" i="12"/>
  <c r="O133" i="12" s="1"/>
  <c r="H210" i="10"/>
  <c r="E210" i="10"/>
  <c r="I189" i="10"/>
  <c r="I188" i="10" s="1"/>
  <c r="M170" i="10"/>
  <c r="G163" i="10"/>
  <c r="M163" i="10" s="1"/>
  <c r="G147" i="10"/>
  <c r="M147" i="10" s="1"/>
  <c r="G139" i="10"/>
  <c r="M139" i="10" s="1"/>
  <c r="L133" i="10"/>
  <c r="I81" i="10"/>
  <c r="I80" i="10" s="1"/>
  <c r="M50" i="10"/>
  <c r="M44" i="10"/>
  <c r="G21" i="10"/>
  <c r="M21" i="10" s="1"/>
  <c r="H226" i="12"/>
  <c r="K206" i="12"/>
  <c r="N155" i="12"/>
  <c r="N154" i="12" s="1"/>
  <c r="N150" i="12" s="1"/>
  <c r="J155" i="12"/>
  <c r="J154" i="12" s="1"/>
  <c r="J150" i="12" s="1"/>
  <c r="L136" i="12"/>
  <c r="L133" i="12" s="1"/>
  <c r="O105" i="12"/>
  <c r="K105" i="12" s="1"/>
  <c r="H105" i="12" s="1"/>
  <c r="D87" i="12"/>
  <c r="D86" i="12" s="1"/>
  <c r="G76" i="12"/>
  <c r="J69" i="12"/>
  <c r="X34" i="13"/>
  <c r="W34" i="13"/>
  <c r="N136" i="12"/>
  <c r="N133" i="12" s="1"/>
  <c r="L11" i="10"/>
  <c r="L10" i="10" s="1"/>
  <c r="J93" i="10"/>
  <c r="W40" i="13"/>
  <c r="D224" i="12"/>
  <c r="E218" i="12"/>
  <c r="F65" i="4"/>
  <c r="E65" i="4" s="1"/>
  <c r="E63" i="4" s="1"/>
  <c r="W65" i="13"/>
  <c r="T34" i="13"/>
  <c r="G194" i="10"/>
  <c r="G192" i="10" s="1"/>
  <c r="J201" i="10"/>
  <c r="J200" i="10" s="1"/>
  <c r="H201" i="10"/>
  <c r="H200" i="10" s="1"/>
  <c r="E196" i="10"/>
  <c r="L179" i="10"/>
  <c r="I176" i="10"/>
  <c r="I173" i="10" s="1"/>
  <c r="K137" i="10"/>
  <c r="K136" i="10" s="1"/>
  <c r="K129" i="10" s="1"/>
  <c r="H116" i="10"/>
  <c r="E112" i="10"/>
  <c r="L89" i="10"/>
  <c r="E89" i="10"/>
  <c r="E88" i="10" s="1"/>
  <c r="J89" i="10"/>
  <c r="G90" i="10"/>
  <c r="M90" i="10" s="1"/>
  <c r="F81" i="10"/>
  <c r="F80" i="10" s="1"/>
  <c r="K77" i="10"/>
  <c r="I77" i="10"/>
  <c r="G71" i="10"/>
  <c r="M71" i="10" s="1"/>
  <c r="G65" i="10"/>
  <c r="M65" i="10" s="1"/>
  <c r="L62" i="10"/>
  <c r="L61" i="10" s="1"/>
  <c r="E62" i="10"/>
  <c r="E61" i="10" s="1"/>
  <c r="G58" i="10"/>
  <c r="M58" i="10" s="1"/>
  <c r="L53" i="10"/>
  <c r="J53" i="10"/>
  <c r="G54" i="10"/>
  <c r="M54" i="10" s="1"/>
  <c r="G33" i="10"/>
  <c r="M33" i="10" s="1"/>
  <c r="F51" i="3"/>
  <c r="C153" i="4"/>
  <c r="C152" i="4" s="1"/>
  <c r="C186" i="4" s="1"/>
  <c r="C179" i="4" s="1"/>
  <c r="G154" i="10"/>
  <c r="G153" i="10" s="1"/>
  <c r="H93" i="10"/>
  <c r="R45" i="13"/>
  <c r="W45" i="13" s="1"/>
  <c r="K39" i="12"/>
  <c r="T52" i="13"/>
  <c r="T51" i="13" s="1"/>
  <c r="E34" i="2"/>
  <c r="H182" i="10"/>
  <c r="H229" i="12"/>
  <c r="H227" i="12"/>
  <c r="D219" i="12"/>
  <c r="L230" i="10"/>
  <c r="I7" i="13"/>
  <c r="J230" i="12"/>
  <c r="S51" i="13"/>
  <c r="L237" i="10"/>
  <c r="L234" i="10" s="1"/>
  <c r="L233" i="10" s="1"/>
  <c r="C221" i="10"/>
  <c r="C220" i="10" s="1"/>
  <c r="F89" i="10"/>
  <c r="E77" i="10"/>
  <c r="M48" i="10"/>
  <c r="G35" i="10"/>
  <c r="M35" i="10" s="1"/>
  <c r="L20" i="10"/>
  <c r="L17" i="10" s="1"/>
  <c r="L76" i="12"/>
  <c r="C31" i="3"/>
  <c r="D31" i="3" s="1"/>
  <c r="E52" i="2"/>
  <c r="T47" i="13"/>
  <c r="R47" i="13"/>
  <c r="X47" i="13" s="1"/>
  <c r="D25" i="2"/>
  <c r="C12" i="3"/>
  <c r="D12" i="3" s="1"/>
  <c r="X49" i="13"/>
  <c r="F46" i="2"/>
  <c r="X41" i="13"/>
  <c r="E38" i="2"/>
  <c r="E40" i="3" s="1"/>
  <c r="P44" i="4"/>
  <c r="P205" i="4" s="1"/>
  <c r="H152" i="4"/>
  <c r="H186" i="4" s="1"/>
  <c r="H179" i="4" s="1"/>
  <c r="H221" i="10"/>
  <c r="G209" i="10"/>
  <c r="M209" i="10" s="1"/>
  <c r="E207" i="10"/>
  <c r="L196" i="10"/>
  <c r="C146" i="10"/>
  <c r="C145" i="10" s="1"/>
  <c r="G104" i="10"/>
  <c r="M104" i="10" s="1"/>
  <c r="H241" i="12"/>
  <c r="G136" i="12"/>
  <c r="G133" i="12" s="1"/>
  <c r="J122" i="12"/>
  <c r="J106" i="12" s="1"/>
  <c r="M95" i="10"/>
  <c r="M94" i="10" s="1"/>
  <c r="G185" i="10"/>
  <c r="M185" i="10" s="1"/>
  <c r="M184" i="10" s="1"/>
  <c r="J48" i="2"/>
  <c r="N50" i="3" s="1"/>
  <c r="F50" i="3" s="1"/>
  <c r="Q44" i="4"/>
  <c r="Q205" i="4" s="1"/>
  <c r="L69" i="10"/>
  <c r="L68" i="10" s="1"/>
  <c r="I20" i="10"/>
  <c r="I17" i="10" s="1"/>
  <c r="D230" i="12"/>
  <c r="R26" i="13"/>
  <c r="X26" i="13" s="1"/>
  <c r="N152" i="4"/>
  <c r="N192" i="4" s="1"/>
  <c r="G70" i="10"/>
  <c r="M70" i="10" s="1"/>
  <c r="J62" i="10"/>
  <c r="J61" i="10" s="1"/>
  <c r="C62" i="10"/>
  <c r="C61" i="10" s="1"/>
  <c r="E53" i="10"/>
  <c r="G59" i="10"/>
  <c r="M59" i="10" s="1"/>
  <c r="D53" i="10"/>
  <c r="L36" i="10"/>
  <c r="M40" i="10"/>
  <c r="F36" i="10"/>
  <c r="G32" i="10"/>
  <c r="M32" i="10" s="1"/>
  <c r="H26" i="10"/>
  <c r="C27" i="3"/>
  <c r="D27" i="3" s="1"/>
  <c r="M8" i="13"/>
  <c r="M7" i="13" s="1"/>
  <c r="P79" i="4"/>
  <c r="I63" i="4"/>
  <c r="F63" i="4" s="1"/>
  <c r="G141" i="10"/>
  <c r="M141" i="10" s="1"/>
  <c r="E116" i="10"/>
  <c r="J116" i="10"/>
  <c r="G115" i="10"/>
  <c r="M115" i="10" s="1"/>
  <c r="G110" i="10"/>
  <c r="M110" i="10" s="1"/>
  <c r="J103" i="10"/>
  <c r="J101" i="10" s="1"/>
  <c r="C103" i="10"/>
  <c r="C101" i="10" s="1"/>
  <c r="E103" i="10"/>
  <c r="E101" i="10" s="1"/>
  <c r="I93" i="10"/>
  <c r="W19" i="13"/>
  <c r="I17" i="2"/>
  <c r="I17" i="4" s="1"/>
  <c r="I9" i="4" s="1"/>
  <c r="N17" i="2"/>
  <c r="N17" i="4" s="1"/>
  <c r="N9" i="4" s="1"/>
  <c r="D48" i="2"/>
  <c r="E55" i="2"/>
  <c r="E57" i="3" s="1"/>
  <c r="K201" i="10"/>
  <c r="K200" i="10" s="1"/>
  <c r="D201" i="10"/>
  <c r="D200" i="10" s="1"/>
  <c r="K196" i="10"/>
  <c r="G172" i="10"/>
  <c r="M172" i="10" s="1"/>
  <c r="M165" i="10"/>
  <c r="M155" i="10"/>
  <c r="G148" i="10"/>
  <c r="M148" i="10" s="1"/>
  <c r="K112" i="10"/>
  <c r="K103" i="10"/>
  <c r="K101" i="10" s="1"/>
  <c r="D103" i="10"/>
  <c r="D101" i="10" s="1"/>
  <c r="M72" i="10"/>
  <c r="M67" i="10"/>
  <c r="G60" i="10"/>
  <c r="M60" i="10" s="1"/>
  <c r="J76" i="12"/>
  <c r="L213" i="10"/>
  <c r="L210" i="10" s="1"/>
  <c r="H191" i="12"/>
  <c r="H190" i="12" s="1"/>
  <c r="M37" i="10"/>
  <c r="M199" i="10"/>
  <c r="L189" i="10"/>
  <c r="K159" i="10"/>
  <c r="K158" i="10" s="1"/>
  <c r="K156" i="10" s="1"/>
  <c r="K116" i="10"/>
  <c r="D116" i="10"/>
  <c r="G187" i="10"/>
  <c r="M187" i="10" s="1"/>
  <c r="G102" i="10"/>
  <c r="M102" i="10" s="1"/>
  <c r="G178" i="10"/>
  <c r="M178" i="10" s="1"/>
  <c r="M242" i="10"/>
  <c r="M241" i="10" s="1"/>
  <c r="K89" i="10"/>
  <c r="G28" i="10"/>
  <c r="G27" i="10" s="1"/>
  <c r="C17" i="2"/>
  <c r="C9" i="2" s="1"/>
  <c r="F45" i="4"/>
  <c r="D45" i="4" s="1"/>
  <c r="G217" i="10"/>
  <c r="M217" i="10" s="1"/>
  <c r="C137" i="10"/>
  <c r="C136" i="10" s="1"/>
  <c r="C129" i="10" s="1"/>
  <c r="F137" i="10"/>
  <c r="F136" i="10" s="1"/>
  <c r="F129" i="10" s="1"/>
  <c r="H54" i="12"/>
  <c r="L217" i="12"/>
  <c r="L215" i="12" s="1"/>
  <c r="L210" i="12" s="1"/>
  <c r="H220" i="12"/>
  <c r="L27" i="10"/>
  <c r="L26" i="10" s="1"/>
  <c r="L186" i="12"/>
  <c r="I146" i="10"/>
  <c r="I145" i="10" s="1"/>
  <c r="H208" i="12"/>
  <c r="K202" i="12"/>
  <c r="F196" i="10"/>
  <c r="G190" i="10"/>
  <c r="L184" i="10"/>
  <c r="L182" i="10" s="1"/>
  <c r="E182" i="10"/>
  <c r="G177" i="10"/>
  <c r="M177" i="10" s="1"/>
  <c r="H155" i="12"/>
  <c r="H154" i="12" s="1"/>
  <c r="H150" i="12" s="1"/>
  <c r="K215" i="12"/>
  <c r="K210" i="12" s="1"/>
  <c r="E22" i="4"/>
  <c r="G218" i="10"/>
  <c r="M218" i="10" s="1"/>
  <c r="K207" i="10"/>
  <c r="E201" i="10"/>
  <c r="E200" i="10" s="1"/>
  <c r="O44" i="4"/>
  <c r="O205" i="4" s="1"/>
  <c r="X24" i="13"/>
  <c r="W24" i="13"/>
  <c r="D69" i="10"/>
  <c r="D68" i="10" s="1"/>
  <c r="G34" i="10"/>
  <c r="M34" i="10" s="1"/>
  <c r="G25" i="10"/>
  <c r="M25" i="10" s="1"/>
  <c r="J176" i="10"/>
  <c r="J173" i="10" s="1"/>
  <c r="G44" i="4"/>
  <c r="G205" i="4" s="1"/>
  <c r="L122" i="10"/>
  <c r="G117" i="10"/>
  <c r="M117" i="10" s="1"/>
  <c r="H229" i="10"/>
  <c r="J189" i="10"/>
  <c r="J188" i="10" s="1"/>
  <c r="F159" i="10"/>
  <c r="F158" i="10" s="1"/>
  <c r="G205" i="10"/>
  <c r="M205" i="10" s="1"/>
  <c r="M204" i="10" s="1"/>
  <c r="F96" i="10"/>
  <c r="J207" i="10"/>
  <c r="G54" i="3"/>
  <c r="F35" i="4"/>
  <c r="D35" i="4" s="1"/>
  <c r="H201" i="12"/>
  <c r="D155" i="12"/>
  <c r="D154" i="12" s="1"/>
  <c r="D150" i="12" s="1"/>
  <c r="X67" i="13"/>
  <c r="J210" i="10"/>
  <c r="G202" i="10"/>
  <c r="M202" i="10" s="1"/>
  <c r="C196" i="10"/>
  <c r="D182" i="10"/>
  <c r="F26" i="10"/>
  <c r="K199" i="12"/>
  <c r="K197" i="12" s="1"/>
  <c r="D117" i="12"/>
  <c r="D62" i="10"/>
  <c r="D61" i="10" s="1"/>
  <c r="C53" i="10"/>
  <c r="E26" i="10"/>
  <c r="K8" i="13"/>
  <c r="K7" i="13" s="1"/>
  <c r="F254" i="10"/>
  <c r="G223" i="10"/>
  <c r="M223" i="10" s="1"/>
  <c r="I201" i="10"/>
  <c r="I200" i="10" s="1"/>
  <c r="J182" i="10"/>
  <c r="C176" i="10"/>
  <c r="C173" i="10" s="1"/>
  <c r="L18" i="2"/>
  <c r="R20" i="3" s="1"/>
  <c r="F166" i="10"/>
  <c r="L201" i="10"/>
  <c r="L200" i="10" s="1"/>
  <c r="E189" i="10"/>
  <c r="E188" i="10" s="1"/>
  <c r="G118" i="10"/>
  <c r="M118" i="10" s="1"/>
  <c r="C112" i="10"/>
  <c r="H230" i="12"/>
  <c r="E127" i="4"/>
  <c r="D127" i="4" s="1"/>
  <c r="X25" i="13"/>
  <c r="W25" i="13"/>
  <c r="J17" i="2"/>
  <c r="M17" i="2"/>
  <c r="M18" i="2" s="1"/>
  <c r="T20" i="3" s="1"/>
  <c r="D131" i="4"/>
  <c r="J229" i="10"/>
  <c r="G219" i="10"/>
  <c r="M219" i="10" s="1"/>
  <c r="L207" i="10"/>
  <c r="H207" i="10"/>
  <c r="G203" i="10"/>
  <c r="K182" i="10"/>
  <c r="F182" i="10"/>
  <c r="G157" i="10"/>
  <c r="M157" i="10" s="1"/>
  <c r="G128" i="10"/>
  <c r="M128" i="10" s="1"/>
  <c r="G106" i="10"/>
  <c r="M106" i="10" s="1"/>
  <c r="H81" i="10"/>
  <c r="H80" i="10" s="1"/>
  <c r="C81" i="10"/>
  <c r="C80" i="10" s="1"/>
  <c r="K62" i="10"/>
  <c r="K61" i="10" s="1"/>
  <c r="I62" i="10"/>
  <c r="I61" i="10" s="1"/>
  <c r="M46" i="10"/>
  <c r="J26" i="10"/>
  <c r="C26" i="10"/>
  <c r="D20" i="10"/>
  <c r="D17" i="10" s="1"/>
  <c r="P218" i="12"/>
  <c r="N183" i="12"/>
  <c r="O129" i="12"/>
  <c r="K129" i="12" s="1"/>
  <c r="H129" i="12" s="1"/>
  <c r="P7" i="13"/>
  <c r="S48" i="3"/>
  <c r="S50" i="3" s="1"/>
  <c r="F91" i="4"/>
  <c r="D91" i="4" s="1"/>
  <c r="X52" i="13"/>
  <c r="C210" i="10"/>
  <c r="K176" i="10"/>
  <c r="K173" i="10" s="1"/>
  <c r="L166" i="10"/>
  <c r="G131" i="10"/>
  <c r="M131" i="10" s="1"/>
  <c r="M130" i="10" s="1"/>
  <c r="C116" i="10"/>
  <c r="H112" i="10"/>
  <c r="L93" i="10"/>
  <c r="G92" i="10"/>
  <c r="M92" i="10" s="1"/>
  <c r="E8" i="12"/>
  <c r="AC48" i="3"/>
  <c r="AC50" i="3" s="1"/>
  <c r="Q79" i="4"/>
  <c r="J221" i="10"/>
  <c r="J220" i="10" s="1"/>
  <c r="D221" i="10"/>
  <c r="D220" i="10" s="1"/>
  <c r="F210" i="10"/>
  <c r="D189" i="10"/>
  <c r="D188" i="10" s="1"/>
  <c r="C159" i="10"/>
  <c r="C158" i="10" s="1"/>
  <c r="C156" i="10" s="1"/>
  <c r="M152" i="10"/>
  <c r="M151" i="10" s="1"/>
  <c r="J137" i="10"/>
  <c r="J136" i="10" s="1"/>
  <c r="J129" i="10" s="1"/>
  <c r="M133" i="10"/>
  <c r="F112" i="10"/>
  <c r="L103" i="10"/>
  <c r="L101" i="10" s="1"/>
  <c r="D89" i="10"/>
  <c r="D88" i="10" s="1"/>
  <c r="H209" i="12"/>
  <c r="M183" i="12"/>
  <c r="N69" i="12"/>
  <c r="F7" i="13"/>
  <c r="J7" i="13"/>
  <c r="E73" i="4"/>
  <c r="L192" i="10"/>
  <c r="L112" i="10"/>
  <c r="I103" i="10"/>
  <c r="I101" i="10" s="1"/>
  <c r="C89" i="10"/>
  <c r="C88" i="10" s="1"/>
  <c r="D81" i="10"/>
  <c r="D80" i="10" s="1"/>
  <c r="D77" i="10"/>
  <c r="E20" i="10"/>
  <c r="E17" i="10" s="1"/>
  <c r="D242" i="12"/>
  <c r="M218" i="12"/>
  <c r="F218" i="12"/>
  <c r="D77" i="12"/>
  <c r="D76" i="12" s="1"/>
  <c r="I76" i="12"/>
  <c r="E155" i="4"/>
  <c r="F38" i="4"/>
  <c r="D38" i="4" s="1"/>
  <c r="O152" i="4"/>
  <c r="O186" i="4" s="1"/>
  <c r="O179" i="4" s="1"/>
  <c r="K31" i="4"/>
  <c r="M44" i="4"/>
  <c r="M205" i="4" s="1"/>
  <c r="N79" i="4"/>
  <c r="E10" i="4"/>
  <c r="F70" i="4"/>
  <c r="D70" i="4" s="1"/>
  <c r="D10" i="4"/>
  <c r="H44" i="4"/>
  <c r="H205" i="4" s="1"/>
  <c r="O79" i="4"/>
  <c r="F82" i="4"/>
  <c r="D82" i="4" s="1"/>
  <c r="L44" i="4"/>
  <c r="L205" i="4" s="1"/>
  <c r="M254" i="10"/>
  <c r="G212" i="10"/>
  <c r="M212" i="10" s="1"/>
  <c r="K44" i="4"/>
  <c r="K205" i="4" s="1"/>
  <c r="E199" i="4"/>
  <c r="F207" i="10"/>
  <c r="C182" i="10"/>
  <c r="D156" i="10"/>
  <c r="H146" i="10"/>
  <c r="H145" i="10" s="1"/>
  <c r="D130" i="12"/>
  <c r="O130" i="12" s="1"/>
  <c r="K130" i="12" s="1"/>
  <c r="H130" i="12" s="1"/>
  <c r="F56" i="4"/>
  <c r="P35" i="3"/>
  <c r="K17" i="2"/>
  <c r="P19" i="3" s="1"/>
  <c r="K210" i="10"/>
  <c r="D210" i="10"/>
  <c r="L153" i="10"/>
  <c r="K146" i="10"/>
  <c r="K145" i="10" s="1"/>
  <c r="G105" i="10"/>
  <c r="M105" i="10" s="1"/>
  <c r="F103" i="10"/>
  <c r="F101" i="10" s="1"/>
  <c r="G208" i="10"/>
  <c r="J35" i="3"/>
  <c r="H17" i="2"/>
  <c r="H9" i="2" s="1"/>
  <c r="J11" i="3" s="1"/>
  <c r="F71" i="4"/>
  <c r="D71" i="4" s="1"/>
  <c r="G229" i="10"/>
  <c r="G198" i="10"/>
  <c r="M198" i="10" s="1"/>
  <c r="M171" i="10"/>
  <c r="L159" i="10"/>
  <c r="L158" i="10" s="1"/>
  <c r="E159" i="10"/>
  <c r="E158" i="10" s="1"/>
  <c r="E156" i="10" s="1"/>
  <c r="J159" i="10"/>
  <c r="J158" i="10" s="1"/>
  <c r="G114" i="10"/>
  <c r="M114" i="10" s="1"/>
  <c r="C77" i="10"/>
  <c r="M210" i="12"/>
  <c r="K53" i="10"/>
  <c r="D123" i="12"/>
  <c r="D122" i="12" s="1"/>
  <c r="I107" i="12"/>
  <c r="M237" i="10"/>
  <c r="G195" i="10"/>
  <c r="M195" i="10" s="1"/>
  <c r="E176" i="10"/>
  <c r="E173" i="10" s="1"/>
  <c r="Q118" i="10"/>
  <c r="M107" i="10"/>
  <c r="H145" i="12"/>
  <c r="H143" i="12" s="1"/>
  <c r="H136" i="12" s="1"/>
  <c r="H133" i="12" s="1"/>
  <c r="K143" i="12"/>
  <c r="K136" i="12" s="1"/>
  <c r="K133" i="12" s="1"/>
  <c r="D196" i="10"/>
  <c r="C189" i="10"/>
  <c r="C188" i="10" s="1"/>
  <c r="D176" i="10"/>
  <c r="D173" i="10" s="1"/>
  <c r="J112" i="10"/>
  <c r="N218" i="12"/>
  <c r="J183" i="12"/>
  <c r="G83" i="10"/>
  <c r="M83" i="10" s="1"/>
  <c r="E69" i="10"/>
  <c r="E68" i="10" s="1"/>
  <c r="M47" i="10"/>
  <c r="M41" i="10"/>
  <c r="M38" i="10"/>
  <c r="K26" i="10"/>
  <c r="C16" i="11"/>
  <c r="I237" i="12"/>
  <c r="I236" i="12" s="1"/>
  <c r="O218" i="12"/>
  <c r="D193" i="12"/>
  <c r="D192" i="12" s="1"/>
  <c r="E155" i="12"/>
  <c r="E154" i="12" s="1"/>
  <c r="E150" i="12" s="1"/>
  <c r="K155" i="12"/>
  <c r="K154" i="12" s="1"/>
  <c r="K150" i="12" s="1"/>
  <c r="M136" i="12"/>
  <c r="M133" i="12" s="1"/>
  <c r="I117" i="12"/>
  <c r="E106" i="12"/>
  <c r="J100" i="12"/>
  <c r="G8" i="12"/>
  <c r="W64" i="13"/>
  <c r="E39" i="2"/>
  <c r="E41" i="3" s="1"/>
  <c r="E56" i="2"/>
  <c r="E58" i="3" s="1"/>
  <c r="D29" i="2"/>
  <c r="F53" i="3"/>
  <c r="G7" i="13"/>
  <c r="U7" i="13"/>
  <c r="H8" i="13"/>
  <c r="H7" i="13" s="1"/>
  <c r="V7" i="13"/>
  <c r="E58" i="2"/>
  <c r="E60" i="3" s="1"/>
  <c r="F54" i="3"/>
  <c r="M31" i="4"/>
  <c r="F126" i="4"/>
  <c r="D126" i="4" s="1"/>
  <c r="G91" i="10"/>
  <c r="M91" i="10" s="1"/>
  <c r="I89" i="10"/>
  <c r="M85" i="10"/>
  <c r="J81" i="10"/>
  <c r="J80" i="10" s="1"/>
  <c r="H69" i="10"/>
  <c r="H68" i="10" s="1"/>
  <c r="M49" i="10"/>
  <c r="G31" i="10"/>
  <c r="M31" i="10" s="1"/>
  <c r="G22" i="10"/>
  <c r="H228" i="12"/>
  <c r="D186" i="12"/>
  <c r="D183" i="12" s="1"/>
  <c r="O183" i="12"/>
  <c r="F183" i="12"/>
  <c r="I155" i="12"/>
  <c r="I154" i="12" s="1"/>
  <c r="I150" i="12" s="1"/>
  <c r="L8" i="12"/>
  <c r="D21" i="2"/>
  <c r="E41" i="2"/>
  <c r="E43" i="3" s="1"/>
  <c r="E156" i="4"/>
  <c r="E24" i="2"/>
  <c r="C62" i="3"/>
  <c r="E61" i="2"/>
  <c r="E63" i="3" s="1"/>
  <c r="I53" i="10"/>
  <c r="D26" i="10"/>
  <c r="D237" i="12"/>
  <c r="D236" i="12" s="1"/>
  <c r="E183" i="12"/>
  <c r="J136" i="12"/>
  <c r="J133" i="12" s="1"/>
  <c r="F106" i="12"/>
  <c r="N7" i="13"/>
  <c r="Q48" i="3"/>
  <c r="Q50" i="3" s="1"/>
  <c r="H17" i="10"/>
  <c r="I44" i="4"/>
  <c r="I205" i="4" s="1"/>
  <c r="F73" i="4"/>
  <c r="F80" i="4"/>
  <c r="D80" i="4" s="1"/>
  <c r="E221" i="10"/>
  <c r="E220" i="10" s="1"/>
  <c r="C201" i="10"/>
  <c r="C200" i="10" s="1"/>
  <c r="M168" i="10"/>
  <c r="G162" i="10"/>
  <c r="M162" i="10" s="1"/>
  <c r="L146" i="10"/>
  <c r="L145" i="10" s="1"/>
  <c r="D146" i="10"/>
  <c r="D145" i="10" s="1"/>
  <c r="G57" i="10"/>
  <c r="M57" i="10" s="1"/>
  <c r="G56" i="10"/>
  <c r="M56" i="10" s="1"/>
  <c r="M45" i="10"/>
  <c r="G23" i="10"/>
  <c r="M23" i="10" s="1"/>
  <c r="L233" i="12"/>
  <c r="L218" i="12"/>
  <c r="D215" i="12"/>
  <c r="D210" i="12" s="1"/>
  <c r="F155" i="12"/>
  <c r="F154" i="12" s="1"/>
  <c r="F150" i="12" s="1"/>
  <c r="M155" i="12"/>
  <c r="M154" i="12" s="1"/>
  <c r="M150" i="12" s="1"/>
  <c r="O103" i="12"/>
  <c r="K103" i="12" s="1"/>
  <c r="H103" i="12" s="1"/>
  <c r="D72" i="12"/>
  <c r="D69" i="12" s="1"/>
  <c r="I69" i="12"/>
  <c r="E36" i="2"/>
  <c r="E38" i="3" s="1"/>
  <c r="G152" i="4"/>
  <c r="H72" i="12"/>
  <c r="K186" i="4"/>
  <c r="K192" i="4"/>
  <c r="H159" i="10"/>
  <c r="H158" i="10" s="1"/>
  <c r="H156" i="10" s="1"/>
  <c r="G160" i="10"/>
  <c r="F146" i="10"/>
  <c r="F145" i="10" s="1"/>
  <c r="H62" i="10"/>
  <c r="H61" i="10" s="1"/>
  <c r="G66" i="10"/>
  <c r="M66" i="10" s="1"/>
  <c r="H240" i="12"/>
  <c r="L240" i="12"/>
  <c r="L237" i="12" s="1"/>
  <c r="L236" i="12" s="1"/>
  <c r="K237" i="12"/>
  <c r="K236" i="12" s="1"/>
  <c r="W46" i="13"/>
  <c r="X46" i="13"/>
  <c r="X21" i="13"/>
  <c r="G18" i="2"/>
  <c r="G17" i="4"/>
  <c r="G9" i="4" s="1"/>
  <c r="H19" i="3"/>
  <c r="F179" i="10"/>
  <c r="G174" i="10"/>
  <c r="G140" i="10"/>
  <c r="M140" i="10" s="1"/>
  <c r="H137" i="10"/>
  <c r="H136" i="10" s="1"/>
  <c r="H129" i="10" s="1"/>
  <c r="L137" i="10"/>
  <c r="L136" i="10" s="1"/>
  <c r="I137" i="10"/>
  <c r="I136" i="10" s="1"/>
  <c r="I129" i="10" s="1"/>
  <c r="G138" i="10"/>
  <c r="G18" i="10"/>
  <c r="J224" i="12"/>
  <c r="H225" i="12"/>
  <c r="D206" i="12"/>
  <c r="I207" i="12"/>
  <c r="M94" i="12"/>
  <c r="N94" i="12" s="1"/>
  <c r="K224" i="12"/>
  <c r="K218" i="12" s="1"/>
  <c r="I183" i="12"/>
  <c r="D107" i="12"/>
  <c r="E59" i="2"/>
  <c r="E61" i="3" s="1"/>
  <c r="D191" i="4"/>
  <c r="E28" i="3"/>
  <c r="O102" i="12"/>
  <c r="G211" i="10"/>
  <c r="H103" i="10"/>
  <c r="H101" i="10" s="1"/>
  <c r="G150" i="10"/>
  <c r="F87" i="4"/>
  <c r="D87" i="4" s="1"/>
  <c r="D137" i="10"/>
  <c r="D136" i="10" s="1"/>
  <c r="D129" i="10" s="1"/>
  <c r="G218" i="12"/>
  <c r="L155" i="12"/>
  <c r="L154" i="12" s="1"/>
  <c r="L150" i="12" s="1"/>
  <c r="L31" i="4"/>
  <c r="F62" i="10"/>
  <c r="F61" i="10" s="1"/>
  <c r="F53" i="10"/>
  <c r="F221" i="10"/>
  <c r="F220" i="10" s="1"/>
  <c r="K189" i="10"/>
  <c r="K188" i="10" s="1"/>
  <c r="H9" i="12"/>
  <c r="G64" i="10"/>
  <c r="G82" i="10"/>
  <c r="G113" i="10"/>
  <c r="F201" i="10"/>
  <c r="F200" i="10" s="1"/>
  <c r="D112" i="10"/>
  <c r="E6" i="11"/>
  <c r="I136" i="12"/>
  <c r="I133" i="12" s="1"/>
  <c r="I123" i="12"/>
  <c r="D39" i="12"/>
  <c r="N8" i="12"/>
  <c r="Q18" i="2"/>
  <c r="Q17" i="4"/>
  <c r="Q9" i="4" s="1"/>
  <c r="AB19" i="3"/>
  <c r="M236" i="10"/>
  <c r="L221" i="10"/>
  <c r="I182" i="10"/>
  <c r="G183" i="10"/>
  <c r="F116" i="10"/>
  <c r="M121" i="10"/>
  <c r="H53" i="10"/>
  <c r="G55" i="10"/>
  <c r="M55" i="10" s="1"/>
  <c r="N128" i="12"/>
  <c r="O128" i="12" s="1"/>
  <c r="E32" i="3"/>
  <c r="E29" i="2"/>
  <c r="E31" i="3" s="1"/>
  <c r="M122" i="10"/>
  <c r="C69" i="10"/>
  <c r="C68" i="10" s="1"/>
  <c r="D136" i="12"/>
  <c r="D133" i="12" s="1"/>
  <c r="D9" i="12"/>
  <c r="R19" i="3"/>
  <c r="L17" i="4"/>
  <c r="L9" i="4" s="1"/>
  <c r="M246" i="10"/>
  <c r="M243" i="10" s="1"/>
  <c r="L243" i="10"/>
  <c r="J179" i="10"/>
  <c r="G180" i="10"/>
  <c r="G179" i="10" s="1"/>
  <c r="J77" i="10"/>
  <c r="G79" i="10"/>
  <c r="M79" i="10" s="1"/>
  <c r="G78" i="10"/>
  <c r="H77" i="10"/>
  <c r="C15" i="11"/>
  <c r="C14" i="11" s="1"/>
  <c r="D14" i="11"/>
  <c r="D6" i="11" s="1"/>
  <c r="H222" i="12"/>
  <c r="I219" i="12"/>
  <c r="I218" i="12" s="1"/>
  <c r="I199" i="12"/>
  <c r="I197" i="12" s="1"/>
  <c r="H200" i="12"/>
  <c r="K77" i="12"/>
  <c r="K76" i="12" s="1"/>
  <c r="H78" i="12"/>
  <c r="H77" i="12" s="1"/>
  <c r="H55" i="12"/>
  <c r="J39" i="12"/>
  <c r="J8" i="12" s="1"/>
  <c r="M226" i="10"/>
  <c r="M225" i="10" s="1"/>
  <c r="M224" i="10" s="1"/>
  <c r="O17" i="2"/>
  <c r="X35" i="3"/>
  <c r="E13" i="3"/>
  <c r="E10" i="2"/>
  <c r="G167" i="10"/>
  <c r="J166" i="10"/>
  <c r="I159" i="10"/>
  <c r="I158" i="10" s="1"/>
  <c r="I156" i="10" s="1"/>
  <c r="G161" i="10"/>
  <c r="M161" i="10" s="1"/>
  <c r="F20" i="10"/>
  <c r="F17" i="10" s="1"/>
  <c r="H189" i="12"/>
  <c r="H186" i="12" s="1"/>
  <c r="K186" i="12"/>
  <c r="H90" i="12"/>
  <c r="H87" i="12" s="1"/>
  <c r="H86" i="12" s="1"/>
  <c r="K87" i="12"/>
  <c r="K86" i="12" s="1"/>
  <c r="K70" i="12"/>
  <c r="H71" i="12"/>
  <c r="H70" i="12" s="1"/>
  <c r="I112" i="10"/>
  <c r="Q9" i="2"/>
  <c r="AB11" i="3" s="1"/>
  <c r="K9" i="12"/>
  <c r="F176" i="10"/>
  <c r="F173" i="10" s="1"/>
  <c r="M230" i="10"/>
  <c r="G197" i="10"/>
  <c r="E145" i="10"/>
  <c r="L116" i="10"/>
  <c r="K20" i="10"/>
  <c r="K17" i="10" s="1"/>
  <c r="G183" i="12"/>
  <c r="D100" i="12"/>
  <c r="D94" i="12"/>
  <c r="O9" i="12"/>
  <c r="O8" i="12" s="1"/>
  <c r="T70" i="13"/>
  <c r="E35" i="2"/>
  <c r="G42" i="3"/>
  <c r="R35" i="3"/>
  <c r="A2" i="9"/>
  <c r="A5" i="16" s="1"/>
  <c r="P17" i="2"/>
  <c r="J199" i="12"/>
  <c r="J197" i="12" s="1"/>
  <c r="F41" i="3"/>
  <c r="F46" i="3"/>
  <c r="F48" i="3"/>
  <c r="H35" i="3"/>
  <c r="F45" i="3"/>
  <c r="F47" i="3"/>
  <c r="Q181" i="4"/>
  <c r="F44" i="3"/>
  <c r="F66" i="3"/>
  <c r="F60" i="3"/>
  <c r="AA48" i="3"/>
  <c r="AA50" i="3" s="1"/>
  <c r="D26" i="4"/>
  <c r="D21" i="4" s="1"/>
  <c r="D20" i="4" s="1"/>
  <c r="D206" i="4" s="1"/>
  <c r="F43" i="3"/>
  <c r="F49" i="3"/>
  <c r="F36" i="3"/>
  <c r="F65" i="3"/>
  <c r="M48" i="3"/>
  <c r="M50" i="3" s="1"/>
  <c r="AB35" i="3"/>
  <c r="F63" i="3"/>
  <c r="K181" i="4"/>
  <c r="C35" i="3"/>
  <c r="D35" i="3" s="1"/>
  <c r="F40" i="3"/>
  <c r="M35" i="3"/>
  <c r="F38" i="3"/>
  <c r="W35" i="3"/>
  <c r="W48" i="3"/>
  <c r="W50" i="3" s="1"/>
  <c r="Y35" i="3"/>
  <c r="A2" i="15"/>
  <c r="A2" i="8" s="1"/>
  <c r="Q35" i="3"/>
  <c r="G56" i="3"/>
  <c r="G57" i="3"/>
  <c r="U35" i="3"/>
  <c r="AC35" i="3"/>
  <c r="F21" i="4"/>
  <c r="G55" i="3"/>
  <c r="AA35" i="3"/>
  <c r="I35" i="3"/>
  <c r="G37" i="3"/>
  <c r="S35" i="3"/>
  <c r="F57" i="3"/>
  <c r="D59" i="3"/>
  <c r="D62" i="3" s="1"/>
  <c r="I41" i="3"/>
  <c r="G41" i="3" s="1"/>
  <c r="D32" i="3"/>
  <c r="F58" i="3"/>
  <c r="F42" i="3"/>
  <c r="F56" i="3"/>
  <c r="C23" i="3"/>
  <c r="I43" i="3"/>
  <c r="G43" i="3" s="1"/>
  <c r="I53" i="3"/>
  <c r="G53" i="3" s="1"/>
  <c r="K36" i="3"/>
  <c r="G36" i="3" s="1"/>
  <c r="K40" i="3"/>
  <c r="G40" i="3" s="1"/>
  <c r="K48" i="3"/>
  <c r="K50" i="3" s="1"/>
  <c r="F37" i="3"/>
  <c r="D40" i="3"/>
  <c r="F64" i="3"/>
  <c r="O38" i="3"/>
  <c r="O35" i="3" s="1"/>
  <c r="F142" i="4"/>
  <c r="F42" i="4"/>
  <c r="E42" i="4" s="1"/>
  <c r="E31" i="4" s="1"/>
  <c r="H31" i="4"/>
  <c r="C19" i="4" l="1"/>
  <c r="C188" i="4" s="1"/>
  <c r="A2" i="13"/>
  <c r="W42" i="13"/>
  <c r="L229" i="10"/>
  <c r="J29" i="4"/>
  <c r="R20" i="4"/>
  <c r="K69" i="12"/>
  <c r="W52" i="13"/>
  <c r="I76" i="10"/>
  <c r="K88" i="10"/>
  <c r="L76" i="10"/>
  <c r="I192" i="4"/>
  <c r="P186" i="4"/>
  <c r="P179" i="4" s="1"/>
  <c r="K183" i="12"/>
  <c r="M194" i="10"/>
  <c r="M192" i="10" s="1"/>
  <c r="J111" i="10"/>
  <c r="D218" i="12"/>
  <c r="H183" i="12"/>
  <c r="H219" i="12"/>
  <c r="J186" i="4"/>
  <c r="J179" i="4" s="1"/>
  <c r="L129" i="10"/>
  <c r="G20" i="10"/>
  <c r="G17" i="10" s="1"/>
  <c r="G189" i="10"/>
  <c r="G188" i="10" s="1"/>
  <c r="J16" i="10"/>
  <c r="I111" i="10"/>
  <c r="F76" i="10"/>
  <c r="E52" i="10"/>
  <c r="K76" i="10"/>
  <c r="I16" i="10"/>
  <c r="H111" i="10"/>
  <c r="E36" i="3"/>
  <c r="E33" i="2"/>
  <c r="N29" i="4"/>
  <c r="N150" i="4" s="1"/>
  <c r="L192" i="4"/>
  <c r="M186" i="4"/>
  <c r="M179" i="4" s="1"/>
  <c r="Q186" i="4"/>
  <c r="Q179" i="4" s="1"/>
  <c r="X45" i="13"/>
  <c r="S7" i="13"/>
  <c r="K8" i="12"/>
  <c r="M22" i="10"/>
  <c r="M20" i="10" s="1"/>
  <c r="C18" i="2"/>
  <c r="C19" i="2" s="1"/>
  <c r="C20" i="2" s="1"/>
  <c r="C111" i="10"/>
  <c r="L183" i="12"/>
  <c r="L7" i="12" s="1"/>
  <c r="L220" i="10"/>
  <c r="W51" i="13"/>
  <c r="J218" i="12"/>
  <c r="J7" i="12" s="1"/>
  <c r="C192" i="4"/>
  <c r="D192" i="4" s="1"/>
  <c r="V19" i="3"/>
  <c r="H76" i="12"/>
  <c r="I88" i="10"/>
  <c r="M154" i="10"/>
  <c r="M153" i="10" s="1"/>
  <c r="O153" i="10" s="1"/>
  <c r="H220" i="10"/>
  <c r="E111" i="10"/>
  <c r="H88" i="10"/>
  <c r="G176" i="10"/>
  <c r="G173" i="10" s="1"/>
  <c r="D111" i="10"/>
  <c r="O11" i="10"/>
  <c r="E76" i="10"/>
  <c r="M69" i="10"/>
  <c r="M68" i="10" s="1"/>
  <c r="M12" i="10"/>
  <c r="M11" i="10" s="1"/>
  <c r="M10" i="10" s="1"/>
  <c r="G146" i="10"/>
  <c r="H18" i="2"/>
  <c r="J20" i="3" s="1"/>
  <c r="L88" i="10"/>
  <c r="K111" i="10"/>
  <c r="P29" i="4"/>
  <c r="D63" i="4"/>
  <c r="D153" i="4"/>
  <c r="D152" i="4" s="1"/>
  <c r="W26" i="13"/>
  <c r="M190" i="10"/>
  <c r="M189" i="10" s="1"/>
  <c r="I29" i="4"/>
  <c r="I150" i="4" s="1"/>
  <c r="G184" i="10"/>
  <c r="G182" i="10" s="1"/>
  <c r="G221" i="10"/>
  <c r="G220" i="10" s="1"/>
  <c r="H16" i="10"/>
  <c r="H192" i="4"/>
  <c r="M29" i="4"/>
  <c r="Q29" i="4"/>
  <c r="N186" i="4"/>
  <c r="N179" i="4" s="1"/>
  <c r="L156" i="10"/>
  <c r="G201" i="10"/>
  <c r="G200" i="10" s="1"/>
  <c r="G69" i="10"/>
  <c r="G68" i="10" s="1"/>
  <c r="L16" i="10"/>
  <c r="J52" i="10"/>
  <c r="N9" i="2"/>
  <c r="V11" i="3" s="1"/>
  <c r="H17" i="4"/>
  <c r="H9" i="4" s="1"/>
  <c r="N18" i="2"/>
  <c r="V20" i="3" s="1"/>
  <c r="W47" i="13"/>
  <c r="I52" i="10"/>
  <c r="M89" i="10"/>
  <c r="O117" i="12"/>
  <c r="K117" i="12" s="1"/>
  <c r="H117" i="12" s="1"/>
  <c r="M203" i="10"/>
  <c r="M201" i="10" s="1"/>
  <c r="M200" i="10" s="1"/>
  <c r="T8" i="13"/>
  <c r="T7" i="13" s="1"/>
  <c r="J88" i="10"/>
  <c r="L19" i="3"/>
  <c r="I18" i="2"/>
  <c r="L20" i="3" s="1"/>
  <c r="L52" i="10"/>
  <c r="F111" i="10"/>
  <c r="G89" i="10"/>
  <c r="G88" i="10" s="1"/>
  <c r="I9" i="2"/>
  <c r="L11" i="3" s="1"/>
  <c r="C16" i="10"/>
  <c r="F156" i="10"/>
  <c r="D52" i="10"/>
  <c r="H237" i="12"/>
  <c r="H236" i="12" s="1"/>
  <c r="M103" i="10"/>
  <c r="M101" i="10" s="1"/>
  <c r="R8" i="13"/>
  <c r="R7" i="13" s="1"/>
  <c r="L188" i="10"/>
  <c r="F17" i="2"/>
  <c r="H69" i="12"/>
  <c r="E46" i="2"/>
  <c r="E48" i="3" s="1"/>
  <c r="F48" i="2"/>
  <c r="E48" i="2" s="1"/>
  <c r="E50" i="3" s="1"/>
  <c r="L19" i="2"/>
  <c r="R21" i="3" s="1"/>
  <c r="D16" i="10"/>
  <c r="E16" i="10"/>
  <c r="E153" i="4"/>
  <c r="E152" i="4" s="1"/>
  <c r="E186" i="4" s="1"/>
  <c r="K52" i="10"/>
  <c r="C17" i="4"/>
  <c r="C9" i="4" s="1"/>
  <c r="M28" i="10"/>
  <c r="M27" i="10" s="1"/>
  <c r="M26" i="10" s="1"/>
  <c r="H39" i="12"/>
  <c r="H8" i="12" s="1"/>
  <c r="G26" i="10"/>
  <c r="L111" i="10"/>
  <c r="G103" i="10"/>
  <c r="G101" i="10" s="1"/>
  <c r="C6" i="11"/>
  <c r="D17" i="2"/>
  <c r="H29" i="4"/>
  <c r="H150" i="4" s="1"/>
  <c r="O29" i="4"/>
  <c r="H199" i="12"/>
  <c r="H197" i="12" s="1"/>
  <c r="C52" i="10"/>
  <c r="L29" i="4"/>
  <c r="O192" i="4"/>
  <c r="C76" i="10"/>
  <c r="G204" i="10"/>
  <c r="F79" i="4"/>
  <c r="D79" i="4" s="1"/>
  <c r="G116" i="10"/>
  <c r="M7" i="12"/>
  <c r="K16" i="10"/>
  <c r="J19" i="3"/>
  <c r="F152" i="4"/>
  <c r="D76" i="10"/>
  <c r="D73" i="4"/>
  <c r="F93" i="10"/>
  <c r="F88" i="10" s="1"/>
  <c r="M96" i="10"/>
  <c r="M93" i="10" s="1"/>
  <c r="H76" i="10"/>
  <c r="M53" i="10"/>
  <c r="M19" i="2"/>
  <c r="M20" i="2" s="1"/>
  <c r="T22" i="3" s="1"/>
  <c r="E7" i="12"/>
  <c r="G130" i="10"/>
  <c r="J17" i="4"/>
  <c r="J9" i="4" s="1"/>
  <c r="J9" i="2"/>
  <c r="N11" i="3" s="1"/>
  <c r="J18" i="2"/>
  <c r="N19" i="3"/>
  <c r="F35" i="3"/>
  <c r="F19" i="3" s="1"/>
  <c r="T19" i="3"/>
  <c r="H224" i="12"/>
  <c r="M176" i="10"/>
  <c r="M116" i="10"/>
  <c r="J156" i="10"/>
  <c r="M17" i="4"/>
  <c r="M9" i="4" s="1"/>
  <c r="M9" i="2"/>
  <c r="T11" i="3" s="1"/>
  <c r="M36" i="10"/>
  <c r="M234" i="10"/>
  <c r="M233" i="10" s="1"/>
  <c r="M229" i="10" s="1"/>
  <c r="K179" i="4"/>
  <c r="K29" i="4"/>
  <c r="F44" i="4"/>
  <c r="H52" i="10"/>
  <c r="F7" i="12"/>
  <c r="E26" i="3"/>
  <c r="E21" i="2"/>
  <c r="E23" i="3" s="1"/>
  <c r="J76" i="10"/>
  <c r="G192" i="4"/>
  <c r="G186" i="4"/>
  <c r="K17" i="4"/>
  <c r="K9" i="4" s="1"/>
  <c r="K18" i="2"/>
  <c r="K9" i="2"/>
  <c r="P11" i="3" s="1"/>
  <c r="G207" i="10"/>
  <c r="M208" i="10"/>
  <c r="M207" i="10" s="1"/>
  <c r="G7" i="12"/>
  <c r="F52" i="10"/>
  <c r="E37" i="3"/>
  <c r="N122" i="12"/>
  <c r="N106" i="12" s="1"/>
  <c r="N7" i="12" s="1"/>
  <c r="K128" i="12"/>
  <c r="H128" i="12" s="1"/>
  <c r="M183" i="10"/>
  <c r="M182" i="10" s="1"/>
  <c r="M64" i="10"/>
  <c r="M62" i="10" s="1"/>
  <c r="M61" i="10" s="1"/>
  <c r="G62" i="10"/>
  <c r="G61" i="10" s="1"/>
  <c r="G149" i="10"/>
  <c r="M150" i="10"/>
  <c r="M149" i="10" s="1"/>
  <c r="M82" i="10"/>
  <c r="M81" i="10" s="1"/>
  <c r="M80" i="10" s="1"/>
  <c r="G81" i="10"/>
  <c r="G80" i="10" s="1"/>
  <c r="O10" i="10"/>
  <c r="Z19" i="3"/>
  <c r="P17" i="4"/>
  <c r="P9" i="4" s="1"/>
  <c r="P18" i="2"/>
  <c r="P9" i="2"/>
  <c r="Z11" i="3" s="1"/>
  <c r="O107" i="12"/>
  <c r="D106" i="12"/>
  <c r="I206" i="12"/>
  <c r="H207" i="12"/>
  <c r="H206" i="12" s="1"/>
  <c r="M138" i="10"/>
  <c r="M137" i="10" s="1"/>
  <c r="M136" i="10" s="1"/>
  <c r="M129" i="10" s="1"/>
  <c r="G137" i="10"/>
  <c r="G136" i="10" s="1"/>
  <c r="M174" i="10"/>
  <c r="D8" i="12"/>
  <c r="G53" i="10"/>
  <c r="M146" i="10"/>
  <c r="E26" i="4"/>
  <c r="E21" i="4" s="1"/>
  <c r="E56" i="3"/>
  <c r="X19" i="3"/>
  <c r="O9" i="2"/>
  <c r="X11" i="3" s="1"/>
  <c r="O17" i="4"/>
  <c r="O9" i="4" s="1"/>
  <c r="O18" i="2"/>
  <c r="F16" i="10"/>
  <c r="M78" i="10"/>
  <c r="M77" i="10" s="1"/>
  <c r="G77" i="10"/>
  <c r="M113" i="10"/>
  <c r="M112" i="10" s="1"/>
  <c r="G112" i="10"/>
  <c r="M18" i="10"/>
  <c r="G48" i="3"/>
  <c r="M221" i="10"/>
  <c r="M220" i="10" s="1"/>
  <c r="M180" i="10"/>
  <c r="M179" i="10" s="1"/>
  <c r="O179" i="10" s="1"/>
  <c r="G196" i="10"/>
  <c r="M197" i="10"/>
  <c r="M196" i="10" s="1"/>
  <c r="E12" i="3"/>
  <c r="AB20" i="3"/>
  <c r="Q19" i="2"/>
  <c r="I122" i="12"/>
  <c r="I106" i="12" s="1"/>
  <c r="O100" i="12"/>
  <c r="K102" i="12"/>
  <c r="O123" i="12"/>
  <c r="G166" i="10"/>
  <c r="M167" i="10"/>
  <c r="M166" i="10" s="1"/>
  <c r="G210" i="10"/>
  <c r="M211" i="10"/>
  <c r="M210" i="10" s="1"/>
  <c r="H20" i="3"/>
  <c r="G19" i="2"/>
  <c r="M160" i="10"/>
  <c r="M159" i="10" s="1"/>
  <c r="M158" i="10" s="1"/>
  <c r="G159" i="10"/>
  <c r="G158" i="10" s="1"/>
  <c r="K35" i="3"/>
  <c r="D23" i="3"/>
  <c r="D19" i="3" s="1"/>
  <c r="C19" i="3"/>
  <c r="G38" i="3"/>
  <c r="G50" i="3"/>
  <c r="F31" i="4"/>
  <c r="D11" i="3" l="1"/>
  <c r="D69" i="3"/>
  <c r="J150" i="4"/>
  <c r="J20" i="4" s="1"/>
  <c r="J19" i="4" s="1"/>
  <c r="J188" i="4" s="1"/>
  <c r="J189" i="4" s="1"/>
  <c r="C189" i="4"/>
  <c r="M188" i="10"/>
  <c r="H218" i="12"/>
  <c r="O20" i="10"/>
  <c r="D17" i="4"/>
  <c r="D9" i="4" s="1"/>
  <c r="D9" i="2"/>
  <c r="D18" i="2"/>
  <c r="D19" i="2" s="1"/>
  <c r="D20" i="2" s="1"/>
  <c r="E51" i="10"/>
  <c r="E9" i="10" s="1"/>
  <c r="E8" i="10" s="1"/>
  <c r="D186" i="4"/>
  <c r="D179" i="4" s="1"/>
  <c r="D19" i="4"/>
  <c r="D188" i="4" s="1"/>
  <c r="D189" i="4" s="1"/>
  <c r="H19" i="2"/>
  <c r="J21" i="3" s="1"/>
  <c r="G145" i="10"/>
  <c r="T21" i="3"/>
  <c r="D51" i="10"/>
  <c r="D9" i="10" s="1"/>
  <c r="D8" i="10" s="1"/>
  <c r="I51" i="10"/>
  <c r="I9" i="10" s="1"/>
  <c r="I8" i="10" s="1"/>
  <c r="K51" i="10"/>
  <c r="K9" i="10" s="1"/>
  <c r="K8" i="10" s="1"/>
  <c r="W8" i="13"/>
  <c r="W7" i="13" s="1"/>
  <c r="G111" i="10"/>
  <c r="N19" i="2"/>
  <c r="V21" i="3" s="1"/>
  <c r="R17" i="2"/>
  <c r="G16" i="10"/>
  <c r="O16" i="10" s="1"/>
  <c r="P150" i="4"/>
  <c r="P20" i="4" s="1"/>
  <c r="P19" i="4" s="1"/>
  <c r="P188" i="4" s="1"/>
  <c r="P189" i="4" s="1"/>
  <c r="M17" i="10"/>
  <c r="M16" i="10" s="1"/>
  <c r="Q150" i="4"/>
  <c r="Q20" i="4" s="1"/>
  <c r="Q19" i="4" s="1"/>
  <c r="Q188" i="4" s="1"/>
  <c r="Q189" i="4" s="1"/>
  <c r="M150" i="4"/>
  <c r="M20" i="4" s="1"/>
  <c r="M19" i="4" s="1"/>
  <c r="M188" i="4" s="1"/>
  <c r="M189" i="4" s="1"/>
  <c r="E192" i="4"/>
  <c r="L51" i="10"/>
  <c r="L9" i="10" s="1"/>
  <c r="L8" i="10" s="1"/>
  <c r="M88" i="10"/>
  <c r="O88" i="10" s="1"/>
  <c r="G52" i="10"/>
  <c r="I19" i="2"/>
  <c r="L21" i="3" s="1"/>
  <c r="F192" i="4"/>
  <c r="O101" i="10"/>
  <c r="G129" i="10"/>
  <c r="O129" i="10" s="1"/>
  <c r="F186" i="4"/>
  <c r="M52" i="10"/>
  <c r="F51" i="10"/>
  <c r="F9" i="10" s="1"/>
  <c r="F8" i="10" s="1"/>
  <c r="F9" i="2"/>
  <c r="F18" i="2"/>
  <c r="F19" i="2" s="1"/>
  <c r="F20" i="2" s="1"/>
  <c r="F17" i="4"/>
  <c r="F9" i="4" s="1"/>
  <c r="D42" i="4"/>
  <c r="H51" i="10"/>
  <c r="H9" i="10" s="1"/>
  <c r="H8" i="10" s="1"/>
  <c r="L20" i="2"/>
  <c r="R22" i="3" s="1"/>
  <c r="M173" i="10"/>
  <c r="O173" i="10" s="1"/>
  <c r="L150" i="4"/>
  <c r="L20" i="4" s="1"/>
  <c r="L19" i="4" s="1"/>
  <c r="L188" i="4" s="1"/>
  <c r="L189" i="4" s="1"/>
  <c r="O150" i="4"/>
  <c r="D31" i="4"/>
  <c r="J51" i="10"/>
  <c r="J9" i="10" s="1"/>
  <c r="J8" i="10" s="1"/>
  <c r="C51" i="10"/>
  <c r="C9" i="10" s="1"/>
  <c r="C8" i="10" s="1"/>
  <c r="M76" i="10"/>
  <c r="N20" i="3"/>
  <c r="J19" i="2"/>
  <c r="M111" i="10"/>
  <c r="K150" i="4"/>
  <c r="D7" i="12"/>
  <c r="P20" i="3"/>
  <c r="K19" i="2"/>
  <c r="M156" i="10"/>
  <c r="M145" i="10"/>
  <c r="H21" i="3"/>
  <c r="G20" i="2"/>
  <c r="H22" i="3" s="1"/>
  <c r="H102" i="12"/>
  <c r="H100" i="12" s="1"/>
  <c r="K100" i="12"/>
  <c r="AB21" i="3"/>
  <c r="Q20" i="2"/>
  <c r="AB22" i="3" s="1"/>
  <c r="Z20" i="3"/>
  <c r="P19" i="2"/>
  <c r="O182" i="10"/>
  <c r="G76" i="10"/>
  <c r="E35" i="3"/>
  <c r="E17" i="2"/>
  <c r="X20" i="3"/>
  <c r="O19" i="2"/>
  <c r="K107" i="12"/>
  <c r="K123" i="12"/>
  <c r="O122" i="12"/>
  <c r="O106" i="12" s="1"/>
  <c r="O7" i="12" s="1"/>
  <c r="I7" i="12"/>
  <c r="G156" i="10"/>
  <c r="F20" i="3"/>
  <c r="F21" i="3" s="1"/>
  <c r="F22" i="3" s="1"/>
  <c r="F11" i="3"/>
  <c r="C69" i="3"/>
  <c r="C70" i="3" s="1"/>
  <c r="C20" i="3"/>
  <c r="C11" i="3"/>
  <c r="G35" i="3"/>
  <c r="N20" i="4"/>
  <c r="N19" i="4" s="1"/>
  <c r="N188" i="4" s="1"/>
  <c r="N189" i="4" s="1"/>
  <c r="I20" i="4"/>
  <c r="I19" i="4" s="1"/>
  <c r="I188" i="4" s="1"/>
  <c r="I189" i="4" s="1"/>
  <c r="H20" i="4"/>
  <c r="H19" i="4" s="1"/>
  <c r="H188" i="4" s="1"/>
  <c r="H189" i="4" s="1"/>
  <c r="O145" i="10" l="1"/>
  <c r="O52" i="10"/>
  <c r="O17" i="10"/>
  <c r="N20" i="2"/>
  <c r="V22" i="3" s="1"/>
  <c r="H20" i="2"/>
  <c r="J22" i="3" s="1"/>
  <c r="O111" i="10"/>
  <c r="O156" i="10"/>
  <c r="I20" i="2"/>
  <c r="L22" i="3" s="1"/>
  <c r="O76" i="10"/>
  <c r="M51" i="10"/>
  <c r="M9" i="10" s="1"/>
  <c r="M8" i="10" s="1"/>
  <c r="O20" i="4"/>
  <c r="O19" i="4" s="1"/>
  <c r="O188" i="4" s="1"/>
  <c r="O189" i="4" s="1"/>
  <c r="N21" i="3"/>
  <c r="J20" i="2"/>
  <c r="N22" i="3" s="1"/>
  <c r="K20" i="4"/>
  <c r="K19" i="4" s="1"/>
  <c r="K188" i="4" s="1"/>
  <c r="K189" i="4" s="1"/>
  <c r="P21" i="3"/>
  <c r="K20" i="2"/>
  <c r="P22" i="3" s="1"/>
  <c r="E18" i="2"/>
  <c r="E19" i="3"/>
  <c r="E11" i="3" s="1"/>
  <c r="E17" i="4"/>
  <c r="E9" i="4" s="1"/>
  <c r="E9" i="2"/>
  <c r="K122" i="12"/>
  <c r="K106" i="12" s="1"/>
  <c r="K7" i="12" s="1"/>
  <c r="H123" i="12"/>
  <c r="H122" i="12" s="1"/>
  <c r="G51" i="10"/>
  <c r="X21" i="3"/>
  <c r="O20" i="2"/>
  <c r="X22" i="3" s="1"/>
  <c r="H107" i="12"/>
  <c r="P20" i="2"/>
  <c r="Z22" i="3" s="1"/>
  <c r="Z21" i="3"/>
  <c r="D20" i="3"/>
  <c r="C21" i="3"/>
  <c r="G9" i="10" l="1"/>
  <c r="O51" i="10"/>
  <c r="E19" i="2"/>
  <c r="E20" i="3"/>
  <c r="H106" i="12"/>
  <c r="H7" i="12" s="1"/>
  <c r="D21" i="3"/>
  <c r="C22" i="3"/>
  <c r="D22" i="3" s="1"/>
  <c r="E20" i="2" l="1"/>
  <c r="E22" i="3" s="1"/>
  <c r="E21" i="3"/>
  <c r="G8" i="10"/>
  <c r="O9" i="10"/>
  <c r="Q8" i="10" l="1"/>
  <c r="O8" i="10"/>
  <c r="J59" i="3"/>
  <c r="J73" i="3" s="1"/>
  <c r="F57" i="2"/>
  <c r="E57" i="2" s="1"/>
  <c r="X59" i="3"/>
  <c r="X62" i="3" s="1"/>
  <c r="K60" i="2"/>
  <c r="P59" i="3"/>
  <c r="P73" i="3" s="1"/>
  <c r="H60" i="2"/>
  <c r="N60" i="2"/>
  <c r="V59" i="3"/>
  <c r="V62" i="3" s="1"/>
  <c r="L60" i="2"/>
  <c r="R59" i="3"/>
  <c r="R62" i="3" s="1"/>
  <c r="L59" i="3"/>
  <c r="L73" i="3" s="1"/>
  <c r="AB59" i="3"/>
  <c r="AB62" i="3" s="1"/>
  <c r="Q60" i="2"/>
  <c r="J60" i="2"/>
  <c r="N59" i="3"/>
  <c r="N62" i="3" s="1"/>
  <c r="P60" i="2"/>
  <c r="Z59" i="3"/>
  <c r="Z62" i="3" s="1"/>
  <c r="I60" i="2"/>
  <c r="O60" i="2"/>
  <c r="M60" i="2"/>
  <c r="T59" i="3"/>
  <c r="T62" i="3" s="1"/>
  <c r="G60" i="2"/>
  <c r="H59" i="3"/>
  <c r="M58" i="3" l="1"/>
  <c r="M62" i="3" s="1"/>
  <c r="H73" i="3"/>
  <c r="I58" i="3"/>
  <c r="I62" i="3" s="1"/>
  <c r="S58" i="3"/>
  <c r="AC58" i="3"/>
  <c r="W58" i="3"/>
  <c r="Y58" i="3"/>
  <c r="Y62" i="3" s="1"/>
  <c r="E59" i="3"/>
  <c r="E62" i="3" s="1"/>
  <c r="E60" i="2"/>
  <c r="F60" i="2"/>
  <c r="AB73" i="3"/>
  <c r="J62" i="3"/>
  <c r="P62" i="3"/>
  <c r="N73" i="3"/>
  <c r="O58" i="3"/>
  <c r="K58" i="3"/>
  <c r="Q58" i="3"/>
  <c r="F59" i="3"/>
  <c r="L62" i="3"/>
  <c r="V73" i="3"/>
  <c r="T73" i="3"/>
  <c r="H62" i="3"/>
  <c r="U58" i="3"/>
  <c r="AA58" i="3"/>
  <c r="Z73" i="3"/>
  <c r="X73" i="3"/>
  <c r="R73" i="3"/>
  <c r="Y19" i="3" l="1"/>
  <c r="M19" i="3"/>
  <c r="M11" i="3" s="1"/>
  <c r="I18" i="4" s="1"/>
  <c r="I191" i="4" s="1"/>
  <c r="I190" i="4" s="1"/>
  <c r="I19" i="3"/>
  <c r="S62" i="3"/>
  <c r="S19" i="3"/>
  <c r="AC62" i="3"/>
  <c r="AC19" i="3"/>
  <c r="W62" i="3"/>
  <c r="W19" i="3"/>
  <c r="AA19" i="3"/>
  <c r="AA62" i="3"/>
  <c r="Y20" i="3"/>
  <c r="Y21" i="3" s="1"/>
  <c r="Y22" i="3" s="1"/>
  <c r="Y11" i="3"/>
  <c r="K62" i="3"/>
  <c r="K19" i="3"/>
  <c r="U19" i="3"/>
  <c r="U62" i="3"/>
  <c r="Q19" i="3"/>
  <c r="Q62" i="3"/>
  <c r="F62" i="3"/>
  <c r="G73" i="3"/>
  <c r="O19" i="3"/>
  <c r="O62" i="3"/>
  <c r="G58" i="3"/>
  <c r="G62" i="3" s="1"/>
  <c r="I202" i="4" l="1"/>
  <c r="I180" i="4"/>
  <c r="M67" i="3"/>
  <c r="M20" i="3"/>
  <c r="M21" i="3" s="1"/>
  <c r="M22" i="3" s="1"/>
  <c r="I20" i="3"/>
  <c r="I21" i="3" s="1"/>
  <c r="I22" i="3" s="1"/>
  <c r="I11" i="3"/>
  <c r="S20" i="3"/>
  <c r="S21" i="3" s="1"/>
  <c r="S22" i="3" s="1"/>
  <c r="S11" i="3"/>
  <c r="W20" i="3"/>
  <c r="W21" i="3" s="1"/>
  <c r="W22" i="3" s="1"/>
  <c r="W11" i="3"/>
  <c r="AC20" i="3"/>
  <c r="AC21" i="3" s="1"/>
  <c r="AC22" i="3" s="1"/>
  <c r="AC11" i="3"/>
  <c r="K20" i="3"/>
  <c r="K11" i="3"/>
  <c r="G19" i="3"/>
  <c r="U20" i="3"/>
  <c r="U21" i="3" s="1"/>
  <c r="U22" i="3" s="1"/>
  <c r="U11" i="3"/>
  <c r="Q20" i="3"/>
  <c r="Q21" i="3" s="1"/>
  <c r="Q22" i="3" s="1"/>
  <c r="Q11" i="3"/>
  <c r="AA20" i="3"/>
  <c r="AA21" i="3" s="1"/>
  <c r="AA22" i="3" s="1"/>
  <c r="AA11" i="3"/>
  <c r="O20" i="3"/>
  <c r="O21" i="3" s="1"/>
  <c r="O22" i="3" s="1"/>
  <c r="O11" i="3"/>
  <c r="O18" i="4"/>
  <c r="O191" i="4" s="1"/>
  <c r="O190" i="4" s="1"/>
  <c r="Y67" i="3"/>
  <c r="O202" i="4" l="1"/>
  <c r="O180" i="4"/>
  <c r="I67" i="3"/>
  <c r="G18" i="4"/>
  <c r="G191" i="4" s="1"/>
  <c r="S67" i="3"/>
  <c r="L18" i="4"/>
  <c r="L191" i="4" s="1"/>
  <c r="L190" i="4" s="1"/>
  <c r="W67" i="3"/>
  <c r="N18" i="4"/>
  <c r="N191" i="4" s="1"/>
  <c r="N190" i="4" s="1"/>
  <c r="Q18" i="4"/>
  <c r="Q191" i="4" s="1"/>
  <c r="Q190" i="4" s="1"/>
  <c r="AC67" i="3"/>
  <c r="AA67" i="3"/>
  <c r="P18" i="4"/>
  <c r="P191" i="4" s="1"/>
  <c r="P190" i="4" s="1"/>
  <c r="O67" i="3"/>
  <c r="J18" i="4"/>
  <c r="J191" i="4" s="1"/>
  <c r="J190" i="4" s="1"/>
  <c r="K18" i="4"/>
  <c r="K191" i="4" s="1"/>
  <c r="K190" i="4" s="1"/>
  <c r="Q67" i="3"/>
  <c r="K21" i="3"/>
  <c r="G20" i="3"/>
  <c r="M18" i="4"/>
  <c r="M191" i="4" s="1"/>
  <c r="M190" i="4" s="1"/>
  <c r="U67" i="3"/>
  <c r="H18" i="4"/>
  <c r="K67" i="3"/>
  <c r="G11" i="3"/>
  <c r="G67" i="3" s="1"/>
  <c r="E67" i="3" s="1"/>
  <c r="K202" i="4" l="1"/>
  <c r="K180" i="4"/>
  <c r="Q202" i="4"/>
  <c r="Q180" i="4"/>
  <c r="P202" i="4"/>
  <c r="P180" i="4"/>
  <c r="L202" i="4"/>
  <c r="L180" i="4"/>
  <c r="M202" i="4"/>
  <c r="M180" i="4"/>
  <c r="J202" i="4"/>
  <c r="J180" i="4"/>
  <c r="N202" i="4"/>
  <c r="N180" i="4"/>
  <c r="H191" i="4"/>
  <c r="F18" i="4"/>
  <c r="E18" i="4" s="1"/>
  <c r="E191" i="4" s="1"/>
  <c r="K22" i="3"/>
  <c r="G22" i="3" s="1"/>
  <c r="G21" i="3"/>
  <c r="H190" i="4" l="1"/>
  <c r="H180" i="4" s="1"/>
  <c r="F191" i="4"/>
  <c r="H202" i="4" l="1"/>
  <c r="F100" i="4"/>
  <c r="D100" i="4" s="1"/>
  <c r="F114" i="4"/>
  <c r="D114" i="4" s="1"/>
  <c r="F103" i="4"/>
  <c r="D103" i="4" s="1"/>
  <c r="F99" i="4"/>
  <c r="D99" i="4" s="1"/>
  <c r="F107" i="4"/>
  <c r="D107" i="4" s="1"/>
  <c r="F106" i="4"/>
  <c r="D106" i="4" s="1"/>
  <c r="F123" i="4"/>
  <c r="D123" i="4" s="1"/>
  <c r="F102" i="4"/>
  <c r="D102" i="4" s="1"/>
  <c r="F109" i="4"/>
  <c r="D109" i="4" s="1"/>
  <c r="F110" i="4"/>
  <c r="D110" i="4" s="1"/>
  <c r="G184" i="4"/>
  <c r="G181" i="4" s="1"/>
  <c r="F124" i="4"/>
  <c r="D124" i="4" s="1"/>
  <c r="F105" i="4"/>
  <c r="D105" i="4" s="1"/>
  <c r="F113" i="4"/>
  <c r="D113" i="4" s="1"/>
  <c r="F97" i="4"/>
  <c r="D97" i="4" s="1"/>
  <c r="F112" i="4"/>
  <c r="D112" i="4" s="1"/>
  <c r="F104" i="4"/>
  <c r="D104" i="4" s="1"/>
  <c r="F108" i="4"/>
  <c r="D108" i="4" s="1"/>
  <c r="F115" i="4"/>
  <c r="D115" i="4" s="1"/>
  <c r="F116" i="4"/>
  <c r="D116" i="4" s="1"/>
  <c r="F96" i="4"/>
  <c r="D96" i="4" s="1"/>
  <c r="F111" i="4"/>
  <c r="D111" i="4" s="1"/>
  <c r="F94" i="4"/>
  <c r="D94" i="4" s="1"/>
  <c r="F101" i="4"/>
  <c r="D101" i="4" s="1"/>
  <c r="G93" i="4"/>
  <c r="F93" i="4" s="1"/>
  <c r="D93" i="4" s="1"/>
  <c r="G179" i="4" l="1"/>
  <c r="F179" i="4" s="1"/>
  <c r="F184" i="4"/>
  <c r="D44" i="4"/>
  <c r="D142" i="4" s="1"/>
  <c r="F181" i="4"/>
  <c r="E181" i="4" s="1"/>
  <c r="E179" i="4" s="1"/>
  <c r="G29" i="4"/>
  <c r="E142" i="4" l="1"/>
  <c r="E44" i="4"/>
  <c r="E56" i="4" s="1"/>
  <c r="E62" i="4" s="1"/>
  <c r="G150" i="4"/>
  <c r="F150" i="4" s="1"/>
  <c r="F29" i="4"/>
  <c r="E29" i="4" s="1"/>
  <c r="E150" i="4" l="1"/>
  <c r="D56" i="4"/>
  <c r="D62" i="4"/>
  <c r="G20" i="4"/>
  <c r="E20" i="4" l="1"/>
  <c r="G19" i="4"/>
  <c r="F20" i="4"/>
  <c r="E19" i="4" l="1"/>
  <c r="E188" i="4" s="1"/>
  <c r="E189" i="4" s="1"/>
  <c r="E206" i="4"/>
  <c r="F19" i="4"/>
  <c r="G188" i="4"/>
  <c r="G189" i="4" l="1"/>
  <c r="F188" i="4"/>
  <c r="F189" i="4" l="1"/>
  <c r="G190" i="4"/>
  <c r="G180" i="4" l="1"/>
  <c r="F190" i="4"/>
  <c r="G202" i="4"/>
  <c r="F202" i="4" l="1"/>
  <c r="E190" i="4"/>
  <c r="E146" i="4"/>
  <c r="E147" i="4" l="1"/>
  <c r="D147" i="4" s="1"/>
</calcChain>
</file>

<file path=xl/sharedStrings.xml><?xml version="1.0" encoding="utf-8"?>
<sst xmlns="http://schemas.openxmlformats.org/spreadsheetml/2006/main" count="3387" uniqueCount="1808">
  <si>
    <t>STT</t>
  </si>
  <si>
    <t>I</t>
  </si>
  <si>
    <t>II</t>
  </si>
  <si>
    <t>-</t>
  </si>
  <si>
    <t>III</t>
  </si>
  <si>
    <t>Chi đầu tư phát triển</t>
  </si>
  <si>
    <t>Chi thường xuyên</t>
  </si>
  <si>
    <t>Chi bổ sung Quỹ Dự trữ tài chính</t>
  </si>
  <si>
    <t>IV</t>
  </si>
  <si>
    <t>Đơn vị tính: triệu đồng</t>
  </si>
  <si>
    <t>SỐ TT</t>
  </si>
  <si>
    <t>Chỉ tiêu</t>
  </si>
  <si>
    <t>Dự toán Bộ Tài chính giao</t>
  </si>
  <si>
    <t>Dự toán HĐND tỉnh giao</t>
  </si>
  <si>
    <t>Tỉnh
 thu</t>
  </si>
  <si>
    <t>Huyện, Thành phố</t>
  </si>
  <si>
    <t>Hữu 
Lũng</t>
  </si>
  <si>
    <t>Chi 
Lăng</t>
  </si>
  <si>
    <t>Thành 
phố</t>
  </si>
  <si>
    <t>Cao 
Lộc</t>
  </si>
  <si>
    <t>Lộc 
Bình</t>
  </si>
  <si>
    <t>Đình 
Lập</t>
  </si>
  <si>
    <t>Văn 
Lãng</t>
  </si>
  <si>
    <t>Tràng 
Định</t>
  </si>
  <si>
    <t>Văn
 Quan</t>
  </si>
  <si>
    <t>Bình
 Gia</t>
  </si>
  <si>
    <t>Bắc
 Sơn</t>
  </si>
  <si>
    <t>A</t>
  </si>
  <si>
    <t>B</t>
  </si>
  <si>
    <t>2=3+4</t>
  </si>
  <si>
    <t>4=5+…+15</t>
  </si>
  <si>
    <t>THU NGÂN SÁCH NHÀ NƯỚC TRÊN ĐỊA BÀN (I+II)</t>
  </si>
  <si>
    <t>THU TỪ HOẠT ĐỘNG XUẤT NHẬP KHẨU</t>
  </si>
  <si>
    <t xml:space="preserve">Thuế giá trị gia tăng </t>
  </si>
  <si>
    <t>Thuế xuất khẩu</t>
  </si>
  <si>
    <t>Thuế nhập khẩu</t>
  </si>
  <si>
    <t xml:space="preserve">Thuế tiêu thụ đặc biệt </t>
  </si>
  <si>
    <t xml:space="preserve">Thuế bảo vệ môi trường </t>
  </si>
  <si>
    <t>Thu khác</t>
  </si>
  <si>
    <t>THU NỘI ĐỊA</t>
  </si>
  <si>
    <t>Thu nội địa không bao gồm thu tiền sử dụng đất</t>
  </si>
  <si>
    <t>Thu nội địa không bao gồm thu tiền sử dụng đất, thu xổ số kiến thiết</t>
  </si>
  <si>
    <t>Thu nội địa không bao gồm thu tiền sử dụng đất, thu xổ số kiến thiết, thu phí theo Nghị quyết số 01/2019/NQ-HĐND</t>
  </si>
  <si>
    <t xml:space="preserve">Thu từ khu vực doanh nghiệp nhà nước do trung ương quản lý </t>
  </si>
  <si>
    <t>Thuế giá trị gia tăng</t>
  </si>
  <si>
    <t>Thuế thu nhập doanh nghiệp</t>
  </si>
  <si>
    <t>Thuế tài nguyên</t>
  </si>
  <si>
    <t xml:space="preserve">Thu từ khu vực doanh nghiệp nhà nước do địa phương quản lý </t>
  </si>
  <si>
    <t>Thu từ khu vực doanh nghiệp có vốn đầu tư nước ngoài</t>
  </si>
  <si>
    <t>Thuế tiêu thụ đặc biệt</t>
  </si>
  <si>
    <t>Thu từ khu vực kinh tế ngoài quốc doanh</t>
  </si>
  <si>
    <t>Lệ phí trước bạ</t>
  </si>
  <si>
    <t>Thuế sử dụng đất phi nông nghiệp</t>
  </si>
  <si>
    <t>Thuế thu nhập cá nhân</t>
  </si>
  <si>
    <t>Thuế bảo vệ môi trường</t>
  </si>
  <si>
    <t>Trong đó: - Thu từ hàng hóa nhập khẩu</t>
  </si>
  <si>
    <t xml:space="preserve">                  - Thu từ hàng hóa sản xuất trong nước</t>
  </si>
  <si>
    <t>Phí, lệ phí</t>
  </si>
  <si>
    <t>Trong đó: - Trung ương</t>
  </si>
  <si>
    <t xml:space="preserve">                   - Địa phương</t>
  </si>
  <si>
    <t>+</t>
  </si>
  <si>
    <t>Phí sử dụng công trình kết cấu hạ tầng, công trình dịch vụ, tiện ích công cộng trong khu vực cửa khẩu</t>
  </si>
  <si>
    <t>Phí bảo vệ môi trường đối với nước thải</t>
  </si>
  <si>
    <t>Phí bảo vệ môi trường đối với khai thác khoáng sản</t>
  </si>
  <si>
    <t>Lệ phí môn bài</t>
  </si>
  <si>
    <t>Thu tiền sử dụng đất</t>
  </si>
  <si>
    <t>Thu tiền cho thuê đất, thuê mặt nước</t>
  </si>
  <si>
    <t>Thu khác ngân sách</t>
  </si>
  <si>
    <t>Thu khác ngân sách trung ương, trong đó:</t>
  </si>
  <si>
    <t>Thu phạt an toàn giao thông</t>
  </si>
  <si>
    <t>Xử phạt vi phạm hành chính</t>
  </si>
  <si>
    <t>Thu tiền cấp quyền khai thác khoáng sản, tài nguyên nước</t>
  </si>
  <si>
    <t>Thu cổ tức và lợi nhuận sau thuế</t>
  </si>
  <si>
    <t>Thu từ hoạt động xổ số kiến thiết</t>
  </si>
  <si>
    <t>Tổng điều tiết cấp huyện</t>
  </si>
  <si>
    <t>Chi Lăng</t>
  </si>
  <si>
    <t>Thành phố</t>
  </si>
  <si>
    <t>Cao Lộc</t>
  </si>
  <si>
    <t>Lộc Bình</t>
  </si>
  <si>
    <t>Đình Lập</t>
  </si>
  <si>
    <t>Văn Lãng</t>
  </si>
  <si>
    <t>Tràng Định</t>
  </si>
  <si>
    <t>Văn Quan</t>
  </si>
  <si>
    <t>Bình Gia</t>
  </si>
  <si>
    <t>Bắc Sơn</t>
  </si>
  <si>
    <t>Tổng thu</t>
  </si>
  <si>
    <t>Điều tiết</t>
  </si>
  <si>
    <t>THU ĐIỀU TIẾT</t>
  </si>
  <si>
    <t>Số TT</t>
  </si>
  <si>
    <t>CHỈ TIÊU</t>
  </si>
  <si>
    <t>Trong đó</t>
  </si>
  <si>
    <t xml:space="preserve">Tỉnh </t>
  </si>
  <si>
    <t>Huyện</t>
  </si>
  <si>
    <t>Hữu</t>
  </si>
  <si>
    <t>Chi</t>
  </si>
  <si>
    <t>Thành</t>
  </si>
  <si>
    <t xml:space="preserve">Cao </t>
  </si>
  <si>
    <t>Lộc</t>
  </si>
  <si>
    <t>Đình</t>
  </si>
  <si>
    <t>Văn</t>
  </si>
  <si>
    <t>Tràng</t>
  </si>
  <si>
    <t>Bình</t>
  </si>
  <si>
    <t>Bắc</t>
  </si>
  <si>
    <t>Lũng</t>
  </si>
  <si>
    <t>Lăng</t>
  </si>
  <si>
    <t>phố</t>
  </si>
  <si>
    <t>Lập</t>
  </si>
  <si>
    <t>Lãng</t>
  </si>
  <si>
    <t>Định</t>
  </si>
  <si>
    <t>Quan</t>
  </si>
  <si>
    <t>Gia</t>
  </si>
  <si>
    <t>Sơn</t>
  </si>
  <si>
    <t>4=5+…15</t>
  </si>
  <si>
    <t>Thu từ hoạt động xuất, nhập khẩu</t>
  </si>
  <si>
    <t xml:space="preserve">Thu nội địa </t>
  </si>
  <si>
    <t xml:space="preserve"> - </t>
  </si>
  <si>
    <t>Trong đó: thu điều tiết được hưởng theo phân cấp</t>
  </si>
  <si>
    <t>TỔNG CHI NGÂN SÁCH ĐỊA PHƯƠNG (I+II)</t>
  </si>
  <si>
    <t>Tổng chi cân đối ngân sách (1+2+3+4+5)</t>
  </si>
  <si>
    <t>1.1</t>
  </si>
  <si>
    <t>Chi đầu tư xây dựng cơ bản vốn trong nước</t>
  </si>
  <si>
    <t xml:space="preserve">               Chi trả lãi vay</t>
  </si>
  <si>
    <t>1.2</t>
  </si>
  <si>
    <t>Chi đầu tư từ nguồn thu xổ số kiến thiết</t>
  </si>
  <si>
    <t>1.3</t>
  </si>
  <si>
    <t>Chi đầu tư từ nguồn thu tiền sử dụng đất</t>
  </si>
  <si>
    <t>1.4</t>
  </si>
  <si>
    <t>Chi đầu tư từ nguồn bội chi</t>
  </si>
  <si>
    <t>2.1</t>
  </si>
  <si>
    <t>Chi trợ giá các mặt hàng chính sách (Sở Giao thông vận tải - Kinh phí trợ giá xe buýt)</t>
  </si>
  <si>
    <t>2.2</t>
  </si>
  <si>
    <t>Chi sự nghiệp kinh tế và sự nghiệp khác</t>
  </si>
  <si>
    <t>- Sự nghiệp Nông nghiệp</t>
  </si>
  <si>
    <t>- Sự nghiệp Lâm nghiệp</t>
  </si>
  <si>
    <t>- Sự nghiệp Thủy lợi, Thủy sản</t>
  </si>
  <si>
    <t>- Sự nghiệp Giao thông</t>
  </si>
  <si>
    <t>- Sự nghiệp Kiến thiết thị chính</t>
  </si>
  <si>
    <t>- Sự nghiệp Tài nguyên</t>
  </si>
  <si>
    <t>- Sự nghiệp khác</t>
  </si>
  <si>
    <t>- Sự nghiệp Kinh tế khác</t>
  </si>
  <si>
    <t>- Kinh phí hỗ trợ sử dụng sản phẩm, dịch vụ công ích thủy lợi theo Nghị định số 62/2018/NĐ-CP ngày 02/5/2018 của Chính phủ</t>
  </si>
  <si>
    <t xml:space="preserve"> Trong đó: Công ty TNHH MTV Khai thác công trình thủy lợi</t>
  </si>
  <si>
    <t>2.3</t>
  </si>
  <si>
    <t xml:space="preserve">Chi sự nghiệp Giáo dục, Đào tạo và Dạy nghề </t>
  </si>
  <si>
    <t>- Sự nghiệp Đào tạo</t>
  </si>
  <si>
    <t>- Trung tâm Học tập cộng đồng</t>
  </si>
  <si>
    <t xml:space="preserve">- Hỗ trợ học bổng học sinh nội trú theo Nghị định số 84/2020/NĐ-CP ngày 17/7/2020 của Chính phủ </t>
  </si>
  <si>
    <t>- Chính sách phát triển giáo dục mầm non theo Nghị định số 105/2020/NĐ-CP ngày 8/9/2020 của Chính phủ</t>
  </si>
  <si>
    <t>- Chính sách về giáo dục đối với người khuyết tật theo Thông tư liên tịch số 42/2013/TTLT-BGDĐT- BLĐTBXH - BTC ngày 31/12/2013 của Bộ Giáo dục và Đào tạo, Bộ Lao động - Thương binh và Xã hội, Bộ Tài chính</t>
  </si>
  <si>
    <t>- Chính sách hỗ trợ học sinh và Trường phổ thông ở xã, thôn đặc biệt khó khăn theo Nghị định số 116/2016/NĐ-CP ngày 18/7/2016 của Chính phủ</t>
  </si>
  <si>
    <t>- Sự nghiệp giáo dục, đào tạo khác</t>
  </si>
  <si>
    <t>+ Trang bị trang thiết bị dạy học tối thiểu lớp 3, lớp 7, lớp 10 (Sở Giáo dục và Đào tạo)</t>
  </si>
  <si>
    <t>2.4</t>
  </si>
  <si>
    <t>Chi sự nghiệp Y tế</t>
  </si>
  <si>
    <t>- Chi sự nghiệp y tế</t>
  </si>
  <si>
    <t>- Kinh phí mua thẻ bảo hiểm y tế cho các đối tượng</t>
  </si>
  <si>
    <t xml:space="preserve">- Sự nghiệp y tế khác </t>
  </si>
  <si>
    <t>2.5</t>
  </si>
  <si>
    <t>Chi sự nghiệp Khoa học và Công nghệ</t>
  </si>
  <si>
    <t>- Trong đó: chi ứng dụng, chuyển giao công nghệ</t>
  </si>
  <si>
    <t>2.6</t>
  </si>
  <si>
    <t>Chi sự nghiệp Văn hóa thông tin</t>
  </si>
  <si>
    <t>2.7</t>
  </si>
  <si>
    <t>Chi sự nghiệp Phát thanh - Truyền hình</t>
  </si>
  <si>
    <t>2.8</t>
  </si>
  <si>
    <t>2.9</t>
  </si>
  <si>
    <t>Chi đảm bảo xã hội</t>
  </si>
  <si>
    <t>- Kinh phí thăm hỏi, động viên đối tượng chính sách</t>
  </si>
  <si>
    <t>- Kinh phí hỗ trợ tiền điện hộ nghèo, hộ chính sách theo Quyết định số 28/2014/QĐ-TTg ngày 07/4/2014 của Thủ tướng Chính phủ</t>
  </si>
  <si>
    <t>- Đảm bảo xã hội còn lại</t>
  </si>
  <si>
    <t>2.10</t>
  </si>
  <si>
    <t>Chi quản lý hành chính</t>
  </si>
  <si>
    <t>- Chi cho Đảng cộng sản Việt Nam</t>
  </si>
  <si>
    <t>- Chi cho đoàn thể</t>
  </si>
  <si>
    <t>- Kinh phí Huy hiệu Đảng theo Hướng dẫn số 56-HD/VPTW ngày 27/10/2015 của Văn phòng Trung ương Đảng</t>
  </si>
  <si>
    <t>- Kinh phí báo chí thôn bản</t>
  </si>
  <si>
    <t>- Trợ cấp hàng tháng đối với cán bộ xã đã nghỉ việc</t>
  </si>
  <si>
    <t>- Chi quản lý hành chính khác</t>
  </si>
  <si>
    <t>2.11</t>
  </si>
  <si>
    <t>Chi An ninh, Quốc phòng</t>
  </si>
  <si>
    <t>- Chi An ninh, trật tự, an toàn xã hội</t>
  </si>
  <si>
    <t>- Chi Quốc phòng</t>
  </si>
  <si>
    <t>- Hỗ trợ an ninh, quốc phòng các huyện Biên giới</t>
  </si>
  <si>
    <t>2.12</t>
  </si>
  <si>
    <t>Chi sự nghiệp môi trường</t>
  </si>
  <si>
    <t>2.13</t>
  </si>
  <si>
    <t>- Hỗ trợ giáo viên mầm non ngoài công lập theo Nghị quyết số 64/2017/NQ-HĐND ngày 11/12/2017 của HĐND tỉnh</t>
  </si>
  <si>
    <t>- Kính phí trợ cấp mai táng phí cho các đối tượng hưởng tham gia kháng chiến</t>
  </si>
  <si>
    <t xml:space="preserve"> - Kinh phí quà tặng chúc thọ, mừng thọ người cao tuổi theo Nghị quyết số 11/2019/NQ-HĐND ngày 10/12/2019 của HĐND tỉnh</t>
  </si>
  <si>
    <t>- Kinh phí đảm bảo tài chính cho các hoạt động phòng chống HIV/AIDS</t>
  </si>
  <si>
    <t>- Kinh phí thanh toán cho đơn vị cung cấp dịch vụ chi trả trợ cấp xã hội hàng tháng theo Đề án tại Quyết định số 852/QĐ-UBND ngày 27/5/2016 của UBND tỉnh</t>
  </si>
  <si>
    <t>- Kinh phí hỗ trợ xây dựng nhà văn hóa thôn đạt chuẩn, sân tập thể dục thể thao xã theo Nghị quyết số 18/2020/NQ-HĐND ngày 14/12/2020 của HĐND tỉnh</t>
  </si>
  <si>
    <t>- Kinh phí thực hiện Nghị quyết số 08/2019/NQ-HĐND ngày 10/12/2019 và Nghị quyết số 15/2021/NQ-HĐND ngày 17/7/2021 của HĐND tỉnh</t>
  </si>
  <si>
    <t>- Kinh phí xây dựng, huy động dự bị động viên theo Nghị định số 79/2020/NĐ-CP ngày 08/7/2020 của Chính phủ</t>
  </si>
  <si>
    <t xml:space="preserve">- Hỗ trợ kinh phí thực hiện công tác quy hoạch </t>
  </si>
  <si>
    <t>- Kinh phí vốn ủy thác cho vay hộ nghèo và các đối tượng chính sách khác</t>
  </si>
  <si>
    <t>- Kinh phí trang bị xe ô tô phục vụ công tác</t>
  </si>
  <si>
    <t>- Hỗ trợ thực hiện các nhiệm vụ khác</t>
  </si>
  <si>
    <t>2.14</t>
  </si>
  <si>
    <t>Mục tiêu, nhiệm vụ khác</t>
  </si>
  <si>
    <t>2.15</t>
  </si>
  <si>
    <t>2.16</t>
  </si>
  <si>
    <t>Chi khác ngân sách</t>
  </si>
  <si>
    <t>Trong đó:</t>
  </si>
  <si>
    <t xml:space="preserve">- Các chế độ, chính sách, Đề án, Chương trình, Kế hoạch của tỉnh </t>
  </si>
  <si>
    <t xml:space="preserve">- Chi khác </t>
  </si>
  <si>
    <t>Chi dự phòng ngân sách</t>
  </si>
  <si>
    <t xml:space="preserve">CHI CÁC CHƯƠNG TRÌNH MTQG VÀ MỘT SỐ CHƯƠNG TRÌNH, DỰ ÁN, NHIỆM VỤ KHÁC </t>
  </si>
  <si>
    <t>Chi thực hiện các Chương trình Mục tiêu quốc gia</t>
  </si>
  <si>
    <t>Chi đầu tư thực hiện các Chương trình mục tiêu từ nguồn vốn ngoài nước</t>
  </si>
  <si>
    <t>Chi đầu tư thực hiện các Chương trình mục tiêu, nhiệm vụ khác từ nguồn vốn trong nước</t>
  </si>
  <si>
    <t>Chi từ nguồn hỗ trợ thực hiện các chế độ chính sách theo quy định</t>
  </si>
  <si>
    <t>C</t>
  </si>
  <si>
    <t>SỐ THU BỔ SUNG TỪ NGÂN SÁCH CẤP TRÊN</t>
  </si>
  <si>
    <t>Thu bổ sung cân đối từ ngân sách cấp trên</t>
  </si>
  <si>
    <t>Thu bổ sung có mục tiêu và các nhiệm vụ khác</t>
  </si>
  <si>
    <t>D</t>
  </si>
  <si>
    <t>TỔNG THU NGÂN SÁCH ĐỊA PHƯƠNG</t>
  </si>
  <si>
    <t>Tổng thu cân đối Ngân sách địa phương</t>
  </si>
  <si>
    <t>- Thu bổ sung cân đối từ ngân sách cấp trên</t>
  </si>
  <si>
    <t>- Thu điều tiết được hưởng theo phân cấp</t>
  </si>
  <si>
    <t>E</t>
  </si>
  <si>
    <t>BỘI CHI NGÂN SÁCH ĐỊA PHƯƠNG</t>
  </si>
  <si>
    <t>H</t>
  </si>
  <si>
    <t>CHI TRẢ NỢ GỐC</t>
  </si>
  <si>
    <t>TỔNG SỐ VAY TRONG NĂM</t>
  </si>
  <si>
    <t>K</t>
  </si>
  <si>
    <t>NGUỒN CẢI CÁCH TIỀN LƯƠNG THEO QUY ĐỊNH</t>
  </si>
  <si>
    <t>L</t>
  </si>
  <si>
    <t>M</t>
  </si>
  <si>
    <t>GHI THU - GHI CHI TỪ NGUỒN VỐN VIỆN TRỢ</t>
  </si>
  <si>
    <t>- Kinh phí thực hiện ứng dụng công nghệ thông tin, chuyển đổi số và thực hiện Đề án nâng cao hiệu quả hoạt động thông tin cơ sở trên địa bàn tỉnh Lạng Sơn giai đoạn 2021-2025</t>
  </si>
  <si>
    <t>Vốn dự bị động viên</t>
  </si>
  <si>
    <t>Hỗ trợ doanh nghiệp vừa và nhỏ</t>
  </si>
  <si>
    <t>Chương trình phát triển lâm nghiệp bền vững</t>
  </si>
  <si>
    <t>Kinh phí thực hiện nhiệm vụ đảm bảo trật tự an toàn giao thông</t>
  </si>
  <si>
    <t xml:space="preserve"> - Kinh phí hỗ trợ chi phí học tập đối với sinh viên là người DTTS thuộc hộ nghèo, cận nghèo theo Quyết định số 66/2013/QĐ-TTg ngày 11/11/2013 của Thủ tướng Chính phủ</t>
  </si>
  <si>
    <t xml:space="preserve"> - Kinh phí hỗ trợ chính sách nội trú đối với học sinh, sinh viên học cao đẳng, trung cấp theo Quyết định số 53/2015/QĐ-TTg ngày 20/10/2015 của Thủ tướng Chính phủ</t>
  </si>
  <si>
    <t>Trong đó: Sở Nông nghiệp và Phát triển nông thôn</t>
  </si>
  <si>
    <t xml:space="preserve"> - Kinh phí hỗ trợ cộng tác viên dân số theo Nghị quyết số 25/2021/NQ-HĐND ngày 09/12/2021 của HĐND tỉnh</t>
  </si>
  <si>
    <t>Trong đó: chi trả nợ gốc, lãi vay</t>
  </si>
  <si>
    <t>DỰ TOÁN NĂM 2023</t>
  </si>
  <si>
    <t>Địa chỉ khu đất</t>
  </si>
  <si>
    <t>Tổng số tiền doanh nghiệp đã ứng trước được xác nhận đối trừ vào tiền thuê đất</t>
  </si>
  <si>
    <t>Tiền thuê đất phải nộp</t>
  </si>
  <si>
    <t>Ghi chú</t>
  </si>
  <si>
    <t>Tổng</t>
  </si>
  <si>
    <t>Hàng năm</t>
  </si>
  <si>
    <t>Một lần</t>
  </si>
  <si>
    <t>TỔNG CỘNG</t>
  </si>
  <si>
    <t>Huyện Hữu Lũng</t>
  </si>
  <si>
    <t>Huyện Chi Lăng</t>
  </si>
  <si>
    <t>Huyện Văn Lãng</t>
  </si>
  <si>
    <t>Huyện Tràng Định</t>
  </si>
  <si>
    <t>Tên đơn vị</t>
  </si>
  <si>
    <t>Mã số thuế</t>
  </si>
  <si>
    <t>KHU VỰC KINH TẾ NGOÀI QUỐC DOANH</t>
  </si>
  <si>
    <t>TÊN CHƯƠNG TRÌNH, DỰ ÁN</t>
  </si>
  <si>
    <t>Nhà tài trợ (WB, ADB…)</t>
  </si>
  <si>
    <t>Thời gian thực hiện Dự án</t>
  </si>
  <si>
    <t>Tổng số vốn viện trợ ký kết hoặc cam kết và vốn đối ứng cam kết</t>
  </si>
  <si>
    <t>Quản lý theo dự án (Hạch toán ghi thu, ghi chi NSNN)</t>
  </si>
  <si>
    <t>Vốn viện trợ</t>
  </si>
  <si>
    <t>Vốn đối ứng</t>
  </si>
  <si>
    <t>Bằng hiện vật, cơ sở vật chất</t>
  </si>
  <si>
    <t>Bằng tiền</t>
  </si>
  <si>
    <t>TỔNG SỐ</t>
  </si>
  <si>
    <t>2022-2024</t>
  </si>
  <si>
    <t>Lĩnh vực chi y tế, dân số và gia đình</t>
  </si>
  <si>
    <t>Đơn vị: Triệu đồng</t>
  </si>
  <si>
    <t>Đơn vị nhận viện trợ</t>
  </si>
  <si>
    <t>Hội Liên hiệp Phụ nữ tỉnh</t>
  </si>
  <si>
    <t>Huyện Bắc Sơn</t>
  </si>
  <si>
    <t>Sở Y tế</t>
  </si>
  <si>
    <t>GHI THU - GHI CHI TIỀN BỒI THƯỜNG, GIẢI PHÓNG MẶT BẰNG ĐỐI VỚI SỐ TIỀN NHÀ ĐẦU TƯ ĐÃ ỨNG TRƯỚC ĐƯỢC ĐỐI TRỪ TIỀN THUÊ ĐẤT</t>
  </si>
  <si>
    <t>Kinh phí hỗ trợ các Hội chưa phân bổ</t>
  </si>
  <si>
    <t xml:space="preserve"> -</t>
  </si>
  <si>
    <t>Đào tạo, Bồi dưỡng khối Đảng, Đoàn thể, Quản lý nhà nước</t>
  </si>
  <si>
    <t>CÁC NỘI DUNG CHI CÒN LẠI</t>
  </si>
  <si>
    <t>Hỗ trợ kinh phí thực hiện triển khai công tác thu Ngân sách nhà nước.</t>
  </si>
  <si>
    <t>Kinh phí hỗ trợ tổ chức Đại hội công đoàn viên chức tỉnh Khóa IV nhiệm kỳ 2023-2028.</t>
  </si>
  <si>
    <t>Hỗ trợ triển khai công tác thu thuế, hỗ trợ các đoàn kiểm tra Liên ngành.</t>
  </si>
  <si>
    <t>Hỗ trợ chuyên môn nghiệp vụ (Xác minh giải quyết án; Chi tiêu hủy tang vật, vật chứng; Hoạt động Ban chỉ đạo thi hành án tỉnh).</t>
  </si>
  <si>
    <t>Cục Thi hành án Dân sự tỉnh</t>
  </si>
  <si>
    <t>Hỗ trợ hoạt động chuyên môn, nghiệp vụ, phối hợp.</t>
  </si>
  <si>
    <t>Viện Kiểm sát nhân dân tỉnh</t>
  </si>
  <si>
    <t>Hỗ trợ Phát hành các ấn phẩm thống kê.</t>
  </si>
  <si>
    <t>Liên đoàn Lao động tỉnh</t>
  </si>
  <si>
    <t xml:space="preserve"> Hỗ Trợ công tác khóa sổ, quyết toán cuối năm</t>
  </si>
  <si>
    <t>CHI HỖ TRỢ CÁC CƠ QUAN TRUNG ƯƠNG TRÊN ĐỊA BÀN</t>
  </si>
  <si>
    <t>Các nhiệm vụ khác</t>
  </si>
  <si>
    <t>d</t>
  </si>
  <si>
    <t>Quản lý chăm sóc tư vấn điều trị và phòng cho người nhiễm HIV tại Trại tạm giam</t>
  </si>
  <si>
    <t>Chương trình bảo vệ và chăm sóc Trẻ em</t>
  </si>
  <si>
    <t>Đảm bảo xã hội</t>
  </si>
  <si>
    <t>c</t>
  </si>
  <si>
    <t>Sự nghiệp môi trường</t>
  </si>
  <si>
    <t>b</t>
  </si>
  <si>
    <t>Kinh phí An ninh</t>
  </si>
  <si>
    <t>a</t>
  </si>
  <si>
    <t>Công an tỉnh</t>
  </si>
  <si>
    <t>Chi An ninh</t>
  </si>
  <si>
    <t>Bộ chỉ huy Bộ đội Biên phòng</t>
  </si>
  <si>
    <t>Kinh phí huấn luyện Dân quân tự vệ, giáo dục quốc phòng: 2.000 triệu đồng; Huấn luyện quân nhân dự bị (sỹ quan dự bị và dự bị động viên): 5.061 triệu đồng; Đảm bảo hoạt động công tác quốc phòng quân sự địa phương: 9.300 triệu đồng; Trang phục Dân quân tự vệ theo Luật Dân quân tự vệ: 8.000 triệu đồng; Diễn tập phòng thủ tỉnh Lạng Sơn: 20.000 triệu đồng.</t>
  </si>
  <si>
    <t>Chi quốc phòng</t>
  </si>
  <si>
    <t>CHI QUỐC PHÒNG, AN NINH</t>
  </si>
  <si>
    <t>Kinh phí nhuận bút</t>
  </si>
  <si>
    <t>Sự nghiệp văn hóa khác</t>
  </si>
  <si>
    <t>Sự nghiệp Phát thanh truyền hình</t>
  </si>
  <si>
    <t>Chi cho bộ máy</t>
  </si>
  <si>
    <t>Đài Phát thanh và Truyền hình</t>
  </si>
  <si>
    <t>Trường Chính trị Hoàng Văn Thụ</t>
  </si>
  <si>
    <t>SỰ NGHIỆP ĐÀO TẠO</t>
  </si>
  <si>
    <t>CÁC ĐƠN VỊ SỰ NGHIỆP</t>
  </si>
  <si>
    <t>Văn phòng Điều phối xây dựng nông thôn mới</t>
  </si>
  <si>
    <t>Thanh tra tỉnh</t>
  </si>
  <si>
    <t>Lĩnh vực kinh tế khác</t>
  </si>
  <si>
    <t>Lĩnh vực ứng dụng công nghệ thông tin theo Kế hoạch 195/KH-UBND và Kế hoạch 53-KH/TU</t>
  </si>
  <si>
    <t>Sự nghiệp kinh tế khác</t>
  </si>
  <si>
    <t>Sự nghiệp khác (Trung tâm Công nghệ Số)</t>
  </si>
  <si>
    <t>Quản lý Nhà nước</t>
  </si>
  <si>
    <t>Sở Thông tin và Truyền thông</t>
  </si>
  <si>
    <t>Sở Ngoại vụ</t>
  </si>
  <si>
    <t>Chi lễ tang, lễ viếng theo Nghị quyết số 14/2022/NQ-HĐND ngày 07/7/2022 và Quyết định số 44/2016/QĐ-UBND ngày 19/9/2016 của UBND tỉnh.</t>
  </si>
  <si>
    <t xml:space="preserve"> Sự nghiệp khác</t>
  </si>
  <si>
    <t>Ban Thi đua khen thưởng</t>
  </si>
  <si>
    <t>Văn phòng Sở Nội vụ</t>
  </si>
  <si>
    <t xml:space="preserve"> Chi quản lý Nhà nước</t>
  </si>
  <si>
    <t>Sở Nội vụ</t>
  </si>
  <si>
    <t xml:space="preserve">Kinh phí xúc tiến đầu tư </t>
  </si>
  <si>
    <t>Quỹ thi đua khen thưởng.</t>
  </si>
  <si>
    <t>Sở Kế hoạch và Đầu tư</t>
  </si>
  <si>
    <t xml:space="preserve">Văn phòng Đoàn ĐBQH và Hội đồng nhân dân tỉnh </t>
  </si>
  <si>
    <t>Trung tâm Thông tin (Văn phòng UBND tỉnh)</t>
  </si>
  <si>
    <t xml:space="preserve">Kinh phí thực hiện Kế hoạch ứng dụng công nghệ thông tin trong hoạt động của cơ quan Nhà nước </t>
  </si>
  <si>
    <t>Sự nghiệp kinh tế khác (lĩnh vực ứng dụng công nghệ thông tin theo Kế hoạch 195/KH-UBND và Kế hoạch 53-KH/TU)</t>
  </si>
  <si>
    <t>Sự nghiệp khác</t>
  </si>
  <si>
    <t>Văn phòng Uỷ ban nhân dân tỉnh</t>
  </si>
  <si>
    <t>Quản lý nhà nước</t>
  </si>
  <si>
    <t>Sở Tài chính</t>
  </si>
  <si>
    <t xml:space="preserve"> +</t>
  </si>
  <si>
    <t>Trung tâm Khuyến công và Xúc tiến thương mại (Sở Công Thương)</t>
  </si>
  <si>
    <t>Đề án “Tăng cường ứng dụng công nghệ thông tin hỗ trợ đồng bào dân tộc thiểu số phát triển kinh tế xã hội và đảm bảo an ninh trật tự vùng đồng bào dân tộc thiểu số trên địa bàn tỉnh Lạng Sơn giai đoạn 2019 - 2025”</t>
  </si>
  <si>
    <t>Quỹ Thi đua khen thưởng.</t>
  </si>
  <si>
    <t xml:space="preserve">Trung tâm trợ giúp pháp lý nhà nước </t>
  </si>
  <si>
    <t xml:space="preserve">Sự nghiệp khác </t>
  </si>
  <si>
    <t>Sở Tư pháp</t>
  </si>
  <si>
    <t>Ban Quản lý công viên địa chất</t>
  </si>
  <si>
    <t>h</t>
  </si>
  <si>
    <t>g</t>
  </si>
  <si>
    <t>Sự nghiệp gia đình</t>
  </si>
  <si>
    <t>đ</t>
  </si>
  <si>
    <t>Đào tạo Vận động viên</t>
  </si>
  <si>
    <t>Kinh phí các giải thi đấu và các hoạt động thể dục thể thao tỉnh.</t>
  </si>
  <si>
    <t>Sự nghiệp thể dục thể thao khác</t>
  </si>
  <si>
    <t>Trung tâm Huấn luyện và Thi đấu thể dục thể thao</t>
  </si>
  <si>
    <t>Sự nghiệp thể dục, thể thao</t>
  </si>
  <si>
    <t>Chương trình xúc tiến du lịch năm 2023</t>
  </si>
  <si>
    <t>Sự nghiệp văn hoá khác</t>
  </si>
  <si>
    <t>b2</t>
  </si>
  <si>
    <t>Bảo tàng tỉnh</t>
  </si>
  <si>
    <t>Thư viện tỉnh</t>
  </si>
  <si>
    <t>b1</t>
  </si>
  <si>
    <t xml:space="preserve">Sự nghiệp Văn hoá </t>
  </si>
  <si>
    <t>Sở Văn hoá, Thể thao và Du lịch</t>
  </si>
  <si>
    <t>Sự nghiệp kiến thiết thị chính</t>
  </si>
  <si>
    <t>Sở Xây dựng</t>
  </si>
  <si>
    <t>Chi sự nghiệp Khoa học công nghệ</t>
  </si>
  <si>
    <t>*</t>
  </si>
  <si>
    <t>Sự nghiệp khoa học công nghệ</t>
  </si>
  <si>
    <t xml:space="preserve">Trung tâm ứng dụng, phát triển khoa học công nghệ và đo lường, chất lượng sản phẩm </t>
  </si>
  <si>
    <t>Chi cục Tiêu chuẩn Đo lường chất lượng</t>
  </si>
  <si>
    <t>Văn phòng Sở Khoa học và Công nghệ</t>
  </si>
  <si>
    <t>Chi Quản lý Nhà nước</t>
  </si>
  <si>
    <t>Sở Khoa học và Công nghệ</t>
  </si>
  <si>
    <t xml:space="preserve"> Đảm bảo xã hội khác</t>
  </si>
  <si>
    <t>c2</t>
  </si>
  <si>
    <t>Cơ sở Bảo trợ xã hội tổng hợp</t>
  </si>
  <si>
    <t>Cơ sở Cai nghiện ma túy</t>
  </si>
  <si>
    <t>c1</t>
  </si>
  <si>
    <t>Cơ sở Bảo trợ xã hội tổng hợp (Sở Lao động - Thương binh và Xã hội)</t>
  </si>
  <si>
    <t>Quan trắc môi trường theo Quyết định số 2057/QĐ-UBND ngày 21/12/2010 của UBND tỉnh về việc phê duyệt báo cáo đánh giá tác động môi trường của Dự án Mở rộng, nâng cấp Trung tâm Chữa bệnh Giáo dục - Lao động xã hội tỉnh Lạng Sơn; Quyết định số 927/QĐ-UBND ngày 07/05/2021 của UBND tỉnh Lạng Sơn Ban hành Bộ đơn giá sản phẩm quan trắc và phân tích môi trường trên địa bàn tỉnh Lạng Sơn.</t>
  </si>
  <si>
    <t>Sự nghiệp Môi trường</t>
  </si>
  <si>
    <t xml:space="preserve">Trường Cao đẳng Y tế </t>
  </si>
  <si>
    <t>Kinh phí quan trắc môi trường nước thải, khí thải, điều tra đánh giá ban đầu về tác động môi trường theo Nghị định số 18/2015/NĐ-CP ngày 14/02/2015 của Chính phủ .</t>
  </si>
  <si>
    <t>Kinh phí quan trắc môi trường nước thải, khí thải, điều tra đánh giá ban đầu về tác động môi trường theo Nghị định số 18/2015/NĐ-CP ngày 14/02/2015 của Chính phủ.</t>
  </si>
  <si>
    <t xml:space="preserve">Kinh phí quan trắc môi trường nước thải, khí thải, điều tra đánh giá ban đầu về tác động môi trường theo Nghị định số 18/2015/NĐ-CP ngày 14/02/2015 của Chính phủ. </t>
  </si>
  <si>
    <t>Bệnh viện Phục hồi chức năng</t>
  </si>
  <si>
    <t>Xử lý chất thải phòng thí nghiệm.</t>
  </si>
  <si>
    <t>Trung tâm Kiểm nghiệm Thuốc, Mỹ phẩm, Thực phẩm.</t>
  </si>
  <si>
    <t>Xử lý chất thải rắn.</t>
  </si>
  <si>
    <t xml:space="preserve">Trung tâm Kiểm soát bệnh tật tỉnh </t>
  </si>
  <si>
    <t>Sự nghiệp bảo vệ môi trường</t>
  </si>
  <si>
    <t xml:space="preserve"> Sự nghiệp y tế khác </t>
  </si>
  <si>
    <t>b.3</t>
  </si>
  <si>
    <t>Sự nghiệp phòng bệnh</t>
  </si>
  <si>
    <t>b.2</t>
  </si>
  <si>
    <t>Sự nghiệp chữa bệnh</t>
  </si>
  <si>
    <t>b.1</t>
  </si>
  <si>
    <t>Sự nghiệp Y tế</t>
  </si>
  <si>
    <t>Chi cục An toàn vệ sinh thực phẩm</t>
  </si>
  <si>
    <t>Văn phòng Sở Y tế</t>
  </si>
  <si>
    <t>Trường Cao đẳng Sư phạm</t>
  </si>
  <si>
    <t>Sự nghiệp đào tạo</t>
  </si>
  <si>
    <t>Sự nghiệp giáo dục khác</t>
  </si>
  <si>
    <t>b.4</t>
  </si>
  <si>
    <t>Khối Giáo dục thường xuyên</t>
  </si>
  <si>
    <t>Khối THCS &amp;THPT Dân tộc nội trú</t>
  </si>
  <si>
    <t>Khối Trung học cơ sở và Trung học phổ thông</t>
  </si>
  <si>
    <t>Sự nghiệp Giáo dục</t>
  </si>
  <si>
    <t>Sở Giáo dục và Đào tạo</t>
  </si>
  <si>
    <t>Gồm 54 điểm đỗ dừng; sơn kẻ vạch vị trí đỗ dừng 2 lần/năm.</t>
  </si>
  <si>
    <t>Quản lý, bảo dưỡng thường xuyên điểm dừng đỗ xe buýt</t>
  </si>
  <si>
    <t>Theo Quyết định số 2161/QĐ-UBND ngày 03/11/2021 của UBND phê duyệt điều chỉnh hệ thống đường tỉnh trên địa bàn tỉnh Lạng Sơn.</t>
  </si>
  <si>
    <t>Bảo dưỡng thường xuyên trên tuyến đường tránh QL.4A</t>
  </si>
  <si>
    <t>Duy tu, sửa chữa thường xuyên đường tuần tra biên giới</t>
  </si>
  <si>
    <t>Duy tu, sửa chữa thường xuyên cầu đường bộ</t>
  </si>
  <si>
    <t>Sự nghiệp giao thông</t>
  </si>
  <si>
    <t>Thanh tra Giao thông vận tải</t>
  </si>
  <si>
    <t>Chi bộ máy</t>
  </si>
  <si>
    <t>Ban An toàn giao thông</t>
  </si>
  <si>
    <t>Văn phòng Sở Giao thông vận tải</t>
  </si>
  <si>
    <t>Trong đó lĩnh vực ứng dụng công nghệ thông tin theo Kế hoạch 195/KH-UBND và Kế hoạch 53-KH/TU</t>
  </si>
  <si>
    <t xml:space="preserve"> Sự nghiệp tài nguyên khác</t>
  </si>
  <si>
    <t>Trung tâm Tài nguyên và Môi trường</t>
  </si>
  <si>
    <t>Sự nghiệp tài nguyên</t>
  </si>
  <si>
    <t>Văn phòng Sở Tài nguyên và môi trường</t>
  </si>
  <si>
    <t>Sở Tài nguyên và Môi trường</t>
  </si>
  <si>
    <t>Kinh phí quan trắc, phân tích môi trường không khí khu tiêu hủy gia súc, gia cầm và sản phẩm gia súc, gia cầm.</t>
  </si>
  <si>
    <t>e</t>
  </si>
  <si>
    <t>Xây dựng mô hình thủy sản - mô hình nuôi cá lồng theo Quyết định số 2119/QĐ-UBND ngày 20/10/2020 của UBND tỉnh.</t>
  </si>
  <si>
    <t>Sự nghiệp thuỷ sản</t>
  </si>
  <si>
    <t>Sự nghiệp thuỷ lợi</t>
  </si>
  <si>
    <t>Sự nghiệp Lâm nghiệp khác</t>
  </si>
  <si>
    <t>Ban Quản lý rừng đặc dụng Mẫu Sơn</t>
  </si>
  <si>
    <t>Ban Quản lý rừng đặc dụng Hữu Liên</t>
  </si>
  <si>
    <t>Sự nghiệp Lâm nghiệp</t>
  </si>
  <si>
    <t>Sự nghiệp nông nghiệp khác</t>
  </si>
  <si>
    <t>Trung tâm Nước sạch và VSMTNT</t>
  </si>
  <si>
    <t>Trung tâm Khuyến nông</t>
  </si>
  <si>
    <t>Chi cục Trồng trọt và Bảo vệ thực vật</t>
  </si>
  <si>
    <t>Chi cục Chăn nuôi và Thú y</t>
  </si>
  <si>
    <t>Chi cho bộ máy:</t>
  </si>
  <si>
    <t>Hỗ trợ tiền công, chi khác LĐHĐ theo Nghị định số 68/2000/NĐ-CP, Nghị định số 161/2018/NĐ-CP.</t>
  </si>
  <si>
    <t>Chi cục Thuỷ lợi</t>
  </si>
  <si>
    <t xml:space="preserve"> Chi cục Kiểm lâm</t>
  </si>
  <si>
    <t>Văn phòng Sở Nông nghiệp và Phát triển nông thôn</t>
  </si>
  <si>
    <t xml:space="preserve">  -</t>
  </si>
  <si>
    <t>Sở Nông nghiệp và Phát triển nông thôn</t>
  </si>
  <si>
    <t>CÁC ĐƠN VỊ QUẢN LÝ NHÀ NƯỚC VÀ CÁC ĐƠN VỊ SỰ NGHIỆP TRỰC THUỘC</t>
  </si>
  <si>
    <t>Hội Doanh nghiệp nhỏ và vừa</t>
  </si>
  <si>
    <t>3.14</t>
  </si>
  <si>
    <t>Hội Kiến trúc sư</t>
  </si>
  <si>
    <t>3.13</t>
  </si>
  <si>
    <t>3.12</t>
  </si>
  <si>
    <t>Hội Bảo vệ người khuyết tật và bảo vệ quyền trẻ em</t>
  </si>
  <si>
    <t>3.11</t>
  </si>
  <si>
    <t>Hội Cựu giáo chức</t>
  </si>
  <si>
    <t>3.10</t>
  </si>
  <si>
    <t>Hội Hữu nghị Việt Nam - Trung Quốc</t>
  </si>
  <si>
    <t>3.9</t>
  </si>
  <si>
    <t>Hiệp Hội doanh nghiệp tỉnh</t>
  </si>
  <si>
    <t>3.8</t>
  </si>
  <si>
    <t>Hội Khuyến học</t>
  </si>
  <si>
    <t>3.7</t>
  </si>
  <si>
    <t>Hội Cựu Thanh niên xung phong</t>
  </si>
  <si>
    <t>3.6</t>
  </si>
  <si>
    <t>Liên hiệp các hội Khoa học và Kỹ thuật</t>
  </si>
  <si>
    <t>3.5</t>
  </si>
  <si>
    <t>3.4</t>
  </si>
  <si>
    <t>Ban Đại diện hội người cao tuổi</t>
  </si>
  <si>
    <t>3.3</t>
  </si>
  <si>
    <t>Hội Luật gia</t>
  </si>
  <si>
    <t>3.2</t>
  </si>
  <si>
    <t>Hội Liên hiệp Thanh niên</t>
  </si>
  <si>
    <t>3.1</t>
  </si>
  <si>
    <t>Các Hội khác</t>
  </si>
  <si>
    <t>Hội Nhà báo</t>
  </si>
  <si>
    <t>Hội Đông y</t>
  </si>
  <si>
    <t>Hội Chữ thập đỏ</t>
  </si>
  <si>
    <t>Liên minh các Hợp tác xã</t>
  </si>
  <si>
    <t>Nhuận bút tạp chí Xứ Lạng.</t>
  </si>
  <si>
    <t>Sự nghiệp Văn hóa khác</t>
  </si>
  <si>
    <t>Sự nghiệp Văn hóa</t>
  </si>
  <si>
    <t>Hội Văn học nghệ thuật</t>
  </si>
  <si>
    <t>Các Hội đặc thù được giao biên chế</t>
  </si>
  <si>
    <t>1.5</t>
  </si>
  <si>
    <t>Cung Thanh Thiếu nhi Lạng Sơn</t>
  </si>
  <si>
    <t>Tỉnh Đoàn Lạng Sơn</t>
  </si>
  <si>
    <t>KHỐI ĐOÀN THỂ</t>
  </si>
  <si>
    <t>Kinh phí thăm hỏi, phúng viếng</t>
  </si>
  <si>
    <t>Đảm bảo xã hội khác</t>
  </si>
  <si>
    <t>Nhuận bút báo Lạng Sơn</t>
  </si>
  <si>
    <t>Ứng dụng công nghệ thông tin và chuyển đổi số trong các cơ quan Đảng giai đoạn 2022-2025 theo Kế hoạch số 53-KH/TU, ngày 12/3/2022 của Tỉnh uỷ.</t>
  </si>
  <si>
    <t>Quản lý hành chính (Hoạt động của Đảng Cộng sản Việt Nam)</t>
  </si>
  <si>
    <t>Văn phòng Tỉnh ủy</t>
  </si>
  <si>
    <t>KHỐI ĐẢNG TỈNH</t>
  </si>
  <si>
    <t>CÁC ĐƠN VỊ QUẢN LÝ HÀNH CHÍNH</t>
  </si>
  <si>
    <t>TỔNG CỘNG:</t>
  </si>
  <si>
    <t>10=4+9-5-8</t>
  </si>
  <si>
    <t>9</t>
  </si>
  <si>
    <t>8</t>
  </si>
  <si>
    <t>7</t>
  </si>
  <si>
    <t>6a</t>
  </si>
  <si>
    <t>6</t>
  </si>
  <si>
    <t>5=6+6a+7</t>
  </si>
  <si>
    <t>4</t>
  </si>
  <si>
    <t>3</t>
  </si>
  <si>
    <t xml:space="preserve">Tiết kiệm 35%, 40% từ số thu được để lại </t>
  </si>
  <si>
    <t>Tiết kiệm thêm 10% đối với đơn vị Quản lý hành chính nhà nước</t>
  </si>
  <si>
    <t>Cộng</t>
  </si>
  <si>
    <t xml:space="preserve">Dự toán chi năm 2023 giao đơn vị </t>
  </si>
  <si>
    <r>
      <t xml:space="preserve">Số thu sự nghiệp để lại đơn vị bổ sung nguồn kinh phí hoạt động TX </t>
    </r>
    <r>
      <rPr>
        <sz val="13"/>
        <rFont val="Times New Roman"/>
        <family val="1"/>
      </rPr>
      <t>(tính giảm trừ vào định mức)</t>
    </r>
  </si>
  <si>
    <t>Nguồn tiết kiệm để thực hiện cải cách tiền lương và tăng chi ĐTPT, các nhiệm vụ cấp bách khác</t>
  </si>
  <si>
    <t xml:space="preserve">Dự toán chi
theo định mức
</t>
  </si>
  <si>
    <t>Dự toán thu</t>
  </si>
  <si>
    <t>Hợp đồng theo Nghị định 68, Nghị định số 161</t>
  </si>
  <si>
    <t>Biên
 chế
giao</t>
  </si>
  <si>
    <t>Ngành - Đơn vị</t>
  </si>
  <si>
    <t>Số
TT</t>
  </si>
  <si>
    <t>BIỂU 3: DỰ TOÁN THU - CHI NGÂN SÁCH NHÀ NƯỚC NĂM 2023 CÁC ĐƠN VỊ DỰ TOÁN - NGÂN SÁCH CẤP TỈNH</t>
  </si>
  <si>
    <t>Ban Quản lý dự án đầu tư xây dựng các công trình nông nghiệp và phát triển nông thôn</t>
  </si>
  <si>
    <t>Nhà khách Tỉnh ủy</t>
  </si>
  <si>
    <t>Ban Quản lý xây dựng và bảo trì hạ tầng giao thông</t>
  </si>
  <si>
    <t>Sở Giao thông vận tải</t>
  </si>
  <si>
    <t>Trung tâm Quy hoạch xây dựng</t>
  </si>
  <si>
    <t xml:space="preserve">Trung tâm Quản lý cửa khẩu </t>
  </si>
  <si>
    <t>Phòng công chứng số 1</t>
  </si>
  <si>
    <t>Bệnh viện Đa khoa tỉnh</t>
  </si>
  <si>
    <t>Nhà khách Văn phòng Uỷ ban nhân dân tỉnh</t>
  </si>
  <si>
    <t>Văn phòng Ủy ban nhân dân tỉnh</t>
  </si>
  <si>
    <t>Số để lại chi tại đơn vị</t>
  </si>
  <si>
    <t>Số nộp NSNN</t>
  </si>
  <si>
    <t>Tổng số</t>
  </si>
  <si>
    <t>Đơn vị Sự nghiệp công lập tự đảm bảo chi thường xuyên và chi đầu tư  và đơn vị sự nghiệp công lập tự đảm bảo chi thường xuyên</t>
  </si>
  <si>
    <t>BIỂU 4: DỰ TOÁN THU, CHI NĂM 2023</t>
  </si>
  <si>
    <t>1. Sở Y tế (Sự nghiệp chữa bệnh)</t>
  </si>
  <si>
    <t>Ghi chú:</t>
  </si>
  <si>
    <t>Thu hợp pháp khác</t>
  </si>
  <si>
    <t>Thu từ hoạt động dịch vụ tư vấn cho chủ đầu tư, BQLDA khác (nếu có) bao gồm các khoản thuế phải nộp</t>
  </si>
  <si>
    <t xml:space="preserve"> Thu  trích từ các dự án được giao quản lý</t>
  </si>
  <si>
    <t>Thu từ cho thuê dịch vụ cho thuê chỗ ngồi tại tầng 3 tòa nhà cửa khẩu Hữu Nghị</t>
  </si>
  <si>
    <t>Thu giá thuê phòng làm việc tại CK Hữu Nghị, CK Chi Ma</t>
  </si>
  <si>
    <t>Thu giá cho thuê ô chợ Tân Thanh</t>
  </si>
  <si>
    <t>Thu sang tải theo Nghị quyết số 01/2019/NQ-HĐND ngày 12/9/2019</t>
  </si>
  <si>
    <t>Ban Quản lý Khu kinh tế cửa khẩu Đồng Đăng - Lạng Sơn</t>
  </si>
  <si>
    <t>Thu cho thuê địa điểm</t>
  </si>
  <si>
    <t>Thu kinh phí đào tạo, bồi dưỡng</t>
  </si>
  <si>
    <t>Thu chi phí tư vấn lập BCKTKT, TKTC tổng DT</t>
  </si>
  <si>
    <t>Thu chi phí tư vấn lập quy hoạch xây dựng, điều chỉnh cục bộ quy hoạch</t>
  </si>
  <si>
    <t>Thu giám sát thi công</t>
  </si>
  <si>
    <t>Thí nghiệm vật liệu và cấu kiện xây dựng</t>
  </si>
  <si>
    <t>Thu Kiểm định chất lượng công trình</t>
  </si>
  <si>
    <t>Thu thẩm tra TKKTTC&amp;DT, kiểm tra công tác nghiệm thu</t>
  </si>
  <si>
    <t>Trung tâm Kiểm định chất lượng công trình xây dựng</t>
  </si>
  <si>
    <t>Lệ phí ĐKCB hợp chuẩn, hợp qui</t>
  </si>
  <si>
    <t>Lệ phí cấp chứng chỉ hoạt động xây dựng</t>
  </si>
  <si>
    <t>Lệ phí cấp giấy phép xây dựng</t>
  </si>
  <si>
    <r>
      <t>Phí thẩm định dự án đầu tư xây dựng</t>
    </r>
    <r>
      <rPr>
        <i/>
        <sz val="12"/>
        <rFont val="Times New Roman"/>
        <family val="1"/>
      </rPr>
      <t xml:space="preserve"> (thiết kế kỹ thuật &amp; dự toán xây dựng, thiết kế cơ sở, đồ án quy hoạch)</t>
    </r>
  </si>
  <si>
    <t>Văn phòng Sở Xây dựng</t>
  </si>
  <si>
    <t>Phí thẩm định đủ điều kiện kinh doanh thuốc BVTV</t>
  </si>
  <si>
    <t>Chi cục Trồng trọt và BVTV</t>
  </si>
  <si>
    <t>Chi cục QLCL nông lâm sản và thủy sản</t>
  </si>
  <si>
    <t>Phí kiểm dịch (kiểm dịch động vật, thực vật, sản phẩm động vật)</t>
  </si>
  <si>
    <t>Phí thẩm định các công trình xây dựng</t>
  </si>
  <si>
    <t>Văn phòng Sở Nông nghiệp và PTNT</t>
  </si>
  <si>
    <t>Thu phí thẩm định nội dung tài kiệu không kinh doanh để cấp giấy phép xuất bản</t>
  </si>
  <si>
    <t>Thu dich vụ lập hồ sơ dự án</t>
  </si>
  <si>
    <t>Trung tâm Xúc tiến đầu tư</t>
  </si>
  <si>
    <t>Thu Phí thẩm định dự
 án đầu tư xây dựng</t>
  </si>
  <si>
    <t>Văn phòng Sở</t>
  </si>
  <si>
    <t>Thu vệ sinh, bảo vệ, điện, nước</t>
  </si>
  <si>
    <t>Thu tiền học mầm non, năng khiếu hè</t>
  </si>
  <si>
    <t>Thu địa điểm</t>
  </si>
  <si>
    <t>Cung Thanh thiếu nhi Lạng Sơn</t>
  </si>
  <si>
    <t>Thu phí sử dụng tài liệu lưu trữ</t>
  </si>
  <si>
    <t>Trung tâm Lưu trữ lịch sử</t>
  </si>
  <si>
    <t>Lệ phí dự thi, dự tuyển</t>
  </si>
  <si>
    <t>Thu dịch vụ thuê hội trường</t>
  </si>
  <si>
    <t>Thu dịch vụ phòng nghỉ</t>
  </si>
  <si>
    <t>Thu dịch vụ ăn uống</t>
  </si>
  <si>
    <r>
      <t>Nhà khách Văn phòng UBND tỉnh</t>
    </r>
    <r>
      <rPr>
        <i/>
        <sz val="10"/>
        <rFont val="Times New Roman"/>
        <family val="1"/>
        <charset val="163"/>
      </rPr>
      <t xml:space="preserve"> (Đơn vị SNCL tự đảm bảo chi thường xuyên)</t>
    </r>
  </si>
  <si>
    <t>Văn phòng UBND tỉnh</t>
  </si>
  <si>
    <t>Thu thù lao đấu giá</t>
  </si>
  <si>
    <t>Trung tâm Dịch vụ đấu giá tài sản</t>
  </si>
  <si>
    <t>Thu thù lao công chứng</t>
  </si>
  <si>
    <t>Thu phí chứng thực</t>
  </si>
  <si>
    <t>Thu phí công chứng</t>
  </si>
  <si>
    <t>Thu phí cung cấp thông tin lý lịch tư pháp</t>
  </si>
  <si>
    <t>Thu học phí</t>
  </si>
  <si>
    <t>Thu KP đào tạo liên tục; Thu ký túc xá; thu cho thuê đặt trạm VTS</t>
  </si>
  <si>
    <t xml:space="preserve"> Giáo dục - Đào tạo và dạy nghề</t>
  </si>
  <si>
    <t>Thu dịch vụ KDYT</t>
  </si>
  <si>
    <t>Thu dịch vụ khám giám định pháp y</t>
  </si>
  <si>
    <t>Thu khám sức khỏe giám định y khoa</t>
  </si>
  <si>
    <t>Thu dịch vụ y tế dự phòng</t>
  </si>
  <si>
    <t>Trung tâm Kiểm soát bệnh tật</t>
  </si>
  <si>
    <t>KCB BHYT</t>
  </si>
  <si>
    <t>KCB viện phí ( Đối tượng không phải BHYT thanh toán)</t>
  </si>
  <si>
    <t>Thực hiện giảm trừ 60% nguồn tính CCTL</t>
  </si>
  <si>
    <t>Thu từ khám chữa bệnh BHYT</t>
  </si>
  <si>
    <t>Thu đối tượng viện phí</t>
  </si>
  <si>
    <t>Thu dịch vụ căng tin, trông xe</t>
  </si>
  <si>
    <t>Thực hiện giảm trừ 60% nguồn chi để lại để CCTL</t>
  </si>
  <si>
    <t>Thu nhập khác</t>
  </si>
  <si>
    <t>Thu các dịch vụ khác (thuê xe, phô tô, đào tạo…)</t>
  </si>
  <si>
    <t>Thu từ đề án PT, TT theo yêu cầu</t>
  </si>
  <si>
    <t>Cho thuê căng tin</t>
  </si>
  <si>
    <t>Cho thuê khu vực trông giữ xe</t>
  </si>
  <si>
    <t>Thu quầy thuốc</t>
  </si>
  <si>
    <t>KCB viện phí (Đối tượng không phải BHYT thanh toán)</t>
  </si>
  <si>
    <t>Bệnh viện Đa khoa tỉnh (Đơn vị SNCL tự đảm bảo chi thường xuyên)</t>
  </si>
  <si>
    <t>Các đơn vị sự nghiệp</t>
  </si>
  <si>
    <t>10.2</t>
  </si>
  <si>
    <t>Phí An toàn vệ sinh thực phẩm</t>
  </si>
  <si>
    <t>Phí trong lĩnh vực y tế, Dược, mỹ phẩm</t>
  </si>
  <si>
    <t xml:space="preserve"> Quản lý nhà nước</t>
  </si>
  <si>
    <t xml:space="preserve"> 10.1</t>
  </si>
  <si>
    <t>Trung Tâm Văn hóa Nghệ thuật</t>
  </si>
  <si>
    <t>Thu phí  cấp thẻ bạn đọc</t>
  </si>
  <si>
    <t>Thu dịch vụ bán vé</t>
  </si>
  <si>
    <t>Trung Tâm phát hành Phim và Chiếu bóng</t>
  </si>
  <si>
    <t>Thu dịch vụ cho thuê sân bãi</t>
  </si>
  <si>
    <t>Thu cho thuê ki ốt</t>
  </si>
  <si>
    <t>Trung tâm Huấn luyện thi đấu TDTT</t>
  </si>
  <si>
    <t>9.2</t>
  </si>
  <si>
    <t>9.1</t>
  </si>
  <si>
    <t>Sở Văn hóa Thể thao và du lịch</t>
  </si>
  <si>
    <t>Nộp thuế 10%</t>
  </si>
  <si>
    <t>Thu sự nghiệp và dịch vụ địa chính (đo đạc lập bản dồ địa chính, lập hồ sơ địa chính, cấp giấy chứng nhận quyền sử dụng đất, quyền sở hữu nhà ở và tài sản khác gắn liền với đất, xây dựng cơ sở dữ liệu đất đai)</t>
  </si>
  <si>
    <t>Thu dịch vụ quan trắc môi trường</t>
  </si>
  <si>
    <t>*Thu dịch vụ đo đạc lập bản đồ địa chính (trích đo địa chính thửa đất)</t>
  </si>
  <si>
    <t>Nộp ngân sách nhà nước: 100%</t>
  </si>
  <si>
    <t>*Thu lệ phí cấp giấy chứng nhận quyền sử dụng đất</t>
  </si>
  <si>
    <t>Nộp ngân sách nhà nước: 40%</t>
  </si>
  <si>
    <t>Phí khai thác sử dụng thông tin dữ liệu đo đạc bản đồ</t>
  </si>
  <si>
    <t>Nộp ngân sách nhà nước: 10%</t>
  </si>
  <si>
    <t>Phí đăng ký giao dịch bảo đảm</t>
  </si>
  <si>
    <t>Nộp ngân sách nhà nước: 90%</t>
  </si>
  <si>
    <t>Phí khai thác sử dụng tài liệu đất đai</t>
  </si>
  <si>
    <t>Nộp ngân sách nhà nước: 50%</t>
  </si>
  <si>
    <t>Phí thẩm định hồ sơ cấp Giấy chứng nhận quyền sử dụng đất</t>
  </si>
  <si>
    <t>*Thu phí</t>
  </si>
  <si>
    <t>Nộp ngân sách nhà nước: 35%</t>
  </si>
  <si>
    <t>Phí thẩm định cấp, cấp lại, điều chỉnh giấy phép môi trường</t>
  </si>
  <si>
    <t>Phí thẩm định báo cáo, đánh giá tác động môi trường (ĐTM)</t>
  </si>
  <si>
    <t>Nộp ngân sách nhà nước: 75%</t>
  </si>
  <si>
    <t>Phí bảo vệ môi trường đối với nước thải công nghiệp</t>
  </si>
  <si>
    <t>Chi cục Bảo vệ môi trường</t>
  </si>
  <si>
    <t>Phí thẩm định hồ sơ, điều kiện hành nghề khoan nước dưới đất</t>
  </si>
  <si>
    <t>Phí tuyển dụng viên chức</t>
  </si>
  <si>
    <t>Nộp ngân sách nhà nước: 30%</t>
  </si>
  <si>
    <t xml:space="preserve">  Phí thẩm định đề án, báo cáo thăm dò đánh giá trữ lượng, khai thác, sử dụng nước dưới đất</t>
  </si>
  <si>
    <t xml:space="preserve">  Phí thẩm định đề án khai thác, sử dụng nước mặt</t>
  </si>
  <si>
    <t xml:space="preserve">  Phí thẩm định đánh giá trữ lượng khoáng sản</t>
  </si>
  <si>
    <t xml:space="preserve">  Phí thẩm định cấp hồ sơ giấy chứng nhận quyền sử dụng đất.</t>
  </si>
  <si>
    <t xml:space="preserve">  Phí thẩm định cấp giấy phép hoạt động đo đạc bản đồ</t>
  </si>
  <si>
    <t>Văn phòng Sở Tài nguyên và Môi trường</t>
  </si>
  <si>
    <t>Nộp thuế 7%: 5% thuế hoá đơn GTGT, 2% thuế thu nhập doanh nghiệp</t>
  </si>
  <si>
    <t xml:space="preserve">Cho thuê sân bãi </t>
  </si>
  <si>
    <t>Chi trực tiếp phục vụ công tác thu</t>
  </si>
  <si>
    <t>Thu học phí văn hoá</t>
  </si>
  <si>
    <t>Nộp 2% thuế thu nhập doanh nghiệp</t>
  </si>
  <si>
    <t>Thu bán thành phẩm sau thực hành</t>
  </si>
  <si>
    <t>Cho thuê trạm Viettel</t>
  </si>
  <si>
    <t>Giao thu học phí học sinh sinh viên</t>
  </si>
  <si>
    <t>Thu từ dịch vụ cho các đơn vị thuê cột Anten</t>
  </si>
  <si>
    <t>Thu từ dịch vụ Tuyên truyền</t>
  </si>
  <si>
    <t>Thu từ dịch vụ Tiếp phát sóng số</t>
  </si>
  <si>
    <t>Thu từ dịch vụ Tiếp sóng VOV</t>
  </si>
  <si>
    <t>Thu dịch vụ quảng cáo</t>
  </si>
  <si>
    <t>Đài Phát thanh và Truyền hình tỉnh</t>
  </si>
  <si>
    <t>Thu sự nghiệp kinh tế (Nguồn trích từ các dự án được giao quản lý)</t>
  </si>
  <si>
    <r>
      <t xml:space="preserve">Ban Quản lý xây dựng và bảo trì hạ tầng giao thông </t>
    </r>
    <r>
      <rPr>
        <i/>
        <sz val="12"/>
        <rFont val="Times New Roman"/>
        <family val="1"/>
      </rPr>
      <t>(đơn vị tự bảo đảm chi đầu tư và chi thường xuyên)</t>
    </r>
  </si>
  <si>
    <t>Lệ phí cấp và đăng ký biển số xe, máy chuyên dùng</t>
  </si>
  <si>
    <t>Lệ phí cấp, đổi giấy phép lái xe</t>
  </si>
  <si>
    <t>Phí thẩm định báo cáo kinh tế kỹ thuật, thẩm định dự toán công trình giao thông.</t>
  </si>
  <si>
    <t>Phí sát hạch cấp giấy phép lái xe ô tô</t>
  </si>
  <si>
    <t>Phí sát hạch cấp giấy phép lái xe mô tô</t>
  </si>
  <si>
    <t>Thu dịch vụ Tư vấn thẩm tra, giám sát, khảo sát thiết kế xây dựng công trình bao gồm cả thuế VAT</t>
  </si>
  <si>
    <t>Thu phí thẩm định</t>
  </si>
  <si>
    <t>Văn phòng Sở Công Thương</t>
  </si>
  <si>
    <t>Sở Công Thương</t>
  </si>
  <si>
    <t>Thu sự nghiệp</t>
  </si>
  <si>
    <t>Trung tâm Ứng dụng, phát triển KH-CN và đo lường chất lượng sản phẩm</t>
  </si>
  <si>
    <t>Lệ phí cấp giấy phép tiến hành công việc bức xạ</t>
  </si>
  <si>
    <t>Phí thẩm định để cấp phép sử dụng thiết bị phóng xạ</t>
  </si>
  <si>
    <t xml:space="preserve">Sở Khoa học và Công nghệ </t>
  </si>
  <si>
    <t>Thu phối hợp tuyên truyền</t>
  </si>
  <si>
    <t>Thu bán báo</t>
  </si>
  <si>
    <t>Báo Lạng Sơn</t>
  </si>
  <si>
    <t>Thu kinh doanh dịch vụ</t>
  </si>
  <si>
    <t>Trường CĐSP Lạng Sơn</t>
  </si>
  <si>
    <t>Trung tâm GDTX 2 tỉnh</t>
  </si>
  <si>
    <t>Trung tâm GDTX,TH&amp;NN</t>
  </si>
  <si>
    <t>Trường THPT Chuyên Chu Văn An</t>
  </si>
  <si>
    <t>Trường THPT Hoàng Văn Thụ</t>
  </si>
  <si>
    <t>Trường THPT Việt Bắc</t>
  </si>
  <si>
    <t>Trường THPT Ba Sơn</t>
  </si>
  <si>
    <t>Trường THPT Cao Lộc</t>
  </si>
  <si>
    <t>Trường THPT Đồng Đăng</t>
  </si>
  <si>
    <t>Trường THPT Lương Văn Tri</t>
  </si>
  <si>
    <t>Trường THPT Văn Quan</t>
  </si>
  <si>
    <t>Trường THPT Pác Khuông</t>
  </si>
  <si>
    <t>Trường Trường THPT Bình Gia</t>
  </si>
  <si>
    <t>Trường THPT Vũ Lễ</t>
  </si>
  <si>
    <t>Trường Trường THPT Bắc Sơn</t>
  </si>
  <si>
    <t>Trường THPT Tú Đoạn</t>
  </si>
  <si>
    <t>Trường THPT Lộc Bình</t>
  </si>
  <si>
    <t>Trường THPT Na Dương</t>
  </si>
  <si>
    <t>Trường THPT Đình Lập</t>
  </si>
  <si>
    <t>Trường THPT Hội Hoan</t>
  </si>
  <si>
    <t>Trường THPT Văn Lãng</t>
  </si>
  <si>
    <t>Trường THCS&amp;THPT Bình Độ</t>
  </si>
  <si>
    <t>Trường THPT Tràng Định</t>
  </si>
  <si>
    <t>Trường THPT Hòa Bình</t>
  </si>
  <si>
    <t>Trường THPT Đồng Bành</t>
  </si>
  <si>
    <t>Trường THPT Tân Thành</t>
  </si>
  <si>
    <t>Trường THPT Vân Nham</t>
  </si>
  <si>
    <t>Trường THPT Hữu Lũng</t>
  </si>
  <si>
    <t>Thu khác (xe đạp, thu khác, liên kết đào tạo)</t>
  </si>
  <si>
    <t>Trường THPT Bình Gia</t>
  </si>
  <si>
    <t>Trường THPT Bắc Sơn</t>
  </si>
  <si>
    <t>10=(8-9)*35%, 40%</t>
  </si>
  <si>
    <t>8=9+10+11+12</t>
  </si>
  <si>
    <t>5=6+7+8</t>
  </si>
  <si>
    <t>1=2+3+4</t>
  </si>
  <si>
    <t>Số trích các quỹ và số thu còn lại để sử dụng</t>
  </si>
  <si>
    <t>Số chi từ nguồn thu để giảm trừ vào định mức</t>
  </si>
  <si>
    <t>Số chi từ nguồn thu để lại thực hiện cải cách tiền lương</t>
  </si>
  <si>
    <t>Chi phí hợp lý phục vụ công tác thu</t>
  </si>
  <si>
    <t>Thu từ dịch vụ và thu khác</t>
  </si>
  <si>
    <t>Thu phí</t>
  </si>
  <si>
    <t>Thu lệ phí</t>
  </si>
  <si>
    <t>Số thu được để lại đơn vị chi theo quy định</t>
  </si>
  <si>
    <t>Nộp thuế</t>
  </si>
  <si>
    <t>Số thu nộp ngân sách</t>
  </si>
  <si>
    <t>Tổng chi</t>
  </si>
  <si>
    <t>Nội dung thu</t>
  </si>
  <si>
    <t>Đơn vị</t>
  </si>
  <si>
    <t>Hỗ trợ tiền công, chi khác LĐHĐ theo Nghị định số 68/2000/NĐ-CP, Nghị định số 161/2018/NĐ-CP: 295 triệu đồng; Quỹ thi đua khen thưởng: 23 triệu đồng; Kế hoạch số 42/KH-BCĐ ngày 14/3/2016 của Ban chỉ đạo 81 UBND tỉnh Triển khai thực hiện Quyết định số 81/2014/QĐ-TTg trong việc tiếp công dân, giải quyết khiếu nại tố cáo: 180 triệu đồng; Chương trình phối hợp giám sát phản biện xã hội theo Hướng dẫn số 637-HD/HNDTW thực hiện quy chế giám sát và phản biện xã hội: 28 triệu đồng; Kinh phí thực hiện Đề án nâng cao vai trò trách nhiệm của Hội Nông dân Việt Nam trong phát triển nông nghiệp, xây dựng nông thôn mới và xây dựng giai cấp nông dân Việt Nam giai đoạn 2010-2020 theo kết luận 61-KL/TW và Quyết định số 673/QĐ-TTg ngày 10/5/2011 của Thủ tướng Chính phủ: 223 triệu đồng; Đại hội đại biểu Hội Nông dân tỉnh Lạng Sơn lần thứ X nhiệm kỳ 2023-2028: 400 triệu đồng; Tham gia triển lãm Nông nghiệp-Thương mại tại các khu vực và các tỉnh  biên giới Việt Nam theo Thông báo số 193-TB/HNDTW ngày 28/7/2020: 80 triệu đồng; Sửa chữa xe ô tô: 100 triệu đồng.</t>
  </si>
  <si>
    <t>Hỗ trợ tiền công LĐHĐ theo Nghị định số 68/2000/NĐ-CP, Nghị định số 161/2018/NĐ-CP: 165,5 triệu đồng; Quỹ thi đua khen thưởng: 18 triệu đồng; Sửa chữa xe ô tô: 30 triệu đồng; Tổ chức Ngày thơ Việt Nam lần thứ XX năm 2023: 100 triệu đồng; Tổ chức Đại hội Hội Văn học nghệ thuật nhiệm kỳ 2023 - 2028: 200 triệu đồng</t>
  </si>
  <si>
    <t>Hỗ trợ tiền công LĐHĐ theo Nghị định số 68/2000/NĐ-CP, Nghị định số 161/2018/NĐ-CP: 88 triệu đồng; Quỹ thi đua khen thưởng: 12 triệu đồng; Chương trình hỗ trợ phát triển kinh tế tập thể Hợp tác xã giai đoạn 2021-2025 theo Chương trình 19/CTr-UBND ngày 23/5/2021: 530 triệu đồng; Tổ chức hội nghị sơ kết, tổng kết BCH Liên minh Hợp tác xã tỉnh: 65 triệu đồng; Xuất bản tài liệu: Bản tin kinh tế tập thể theo Luật Hợp tác xã năm 2012 (tuyên truyền phổ biến quy định của pháp luật Hợp tác xã (2 kỳ/1 năm, 400 quyển in màu): 72 triệu đồng; Xây dựng phóng sự về mô hình Hợp tác xã: 50 triệu đồng; Xây dụng 02 chuyên san, 04 chuyên mục theo Kế hoạch số 430/LMHTX-KHHT ngày 24/6/2022 của Liên minh Hợp tác xã Việt Nam: 20 triệu đồng; Tổ chức 02 hội nghị đối thoại theo Kế hoạch số 430/LMHTX-KHHT ngày 24/6/2022 của Liên minh Hợp tác xã Việt Nam: 100 triệu đồng.</t>
  </si>
  <si>
    <t>Hỗ trợ tiền công LĐHĐ theo Nghị định số 68/2000/NĐ-CP, Nghị định số 161/2018/NĐ-CP: 166 triệu đồng; Quỹ thi đua khen thưởng: 12 triệu đồng; Tuyên truyền trên đài truyền hình chuyên mục "Truyền hình nhân đạo Xứ Lạng": 20 triệu đồng; Tổ chức các cuộc vận động hiến máu: 200 triệu đồng; Vận chuyển hàng cứu trợ: 100 triệu đồng; Tổ chức vận động xây dựng các quỹ: 50 triệu đồng; Hỗ trợ tiếp các đoàn tài trợ, ủng hộ... trong và ngoài tỉnh: 80 triệu đồng; Tổ chức "Hành trình đỏ": 250 triệu đồng; Hỗ trợ các hoạt động chuyên môn: 100 triệu đồng; Đảm bảo tài chính thực hiện chiến lược quốc gia chấm dứt dịch bệnh AIDS vào năm 2030 trên địa bàn tỉnh Lạng Sơn giai đoạn 2021-2025 theo Kế hoạch số 183/KH-UBND ngày 18/11/2020 của UBND tỉnh: 15 triệu đồng; Sửa chữa xe ô tô: 30 triệu đồng; Trang bị 01 máy in 15 triệu đồng; Trang bị 01 máy Scan: 7 triệu đồng.</t>
  </si>
  <si>
    <t>Thi đua khen thưởng: 5 triệu đồng; Đại hội nhiệm kỳ: 190 triệu đồng.</t>
  </si>
  <si>
    <t>Hỗ trợ tiền công LĐHĐ theo Nghị định số 68/2000/NĐ-CP, Nghị định số 161/2018/NĐ-CP: 62 triệu đồng; Quỹ thi đua khen thưởng: 4 triệu đồng; Tổ chức Hội Báo xuân Xứ Lạng: 90 triệu đồng; Tham gia trưng bày Hội Báo toàn quốc hằng năm: 30 triệu đồng; Khen thưởng hội viên Hội Nhà báo: 5 triệu đồng; Xuất bản Bản tin người làm báo Lạng Sơn hằng năm (6 kỳ/năm): 360 triệu đồng; Tổ chức Giải báo chí tỉnh Lạng Sơn lần thứ III theo Kế hoạch số 26/KH-HĐGBC ngày 10/6/2022: 454 triệu đồng.</t>
  </si>
  <si>
    <t>Phụ cấp Chủ tịch, Phó Chủ tịch Hội đặc thù: 15 triệu đồng; Hỗ trợ hoạt động của Hội: 140 triệu đồng.</t>
  </si>
  <si>
    <t xml:space="preserve">Phụ cấp Chủ tịch, Phó Chủ tịch Hội đặc thù: 90 triệu đồng; Hỗ trợ hoạt động của Hội: 140 triệu đồng; </t>
  </si>
  <si>
    <t>Phụ cấp Chủ tịch, Phó Chủ tịch Hội đặc thù: 90 triệu đồng; Hỗ trợ hoạt động của Hội: 112 triệu đồng.</t>
  </si>
  <si>
    <t>Phụ cấp Chủ tịch, Phó Chủ tịch Hội đặc thù: 75 triệu đồng; Hỗ trợ hoạt động của Hội: 140 triệu đồng.</t>
  </si>
  <si>
    <t>Phụ cấp Phó Chủ tịch Hội đặc thù: 72 triệu đồng; Hỗ trợ hoạt động của Hội : 140 triệu đồng.</t>
  </si>
  <si>
    <t>Hỗ trợ hoạt động của Hội: 140 triệu đồng.</t>
  </si>
  <si>
    <t>Hỗ trợ hoạt động của Hội: 112 triệu đồng</t>
  </si>
  <si>
    <t>Hỗ trợ tiền công, chi khác LĐHĐ theo Nghị định số 68/2000/NĐ-CP, Nghị định số 161/2018/NĐ-CP: 422 triệu đồng; Quỹ thi đua khen thưởng: 70 triệu đồng; Kiểm soát thủ tục hành chính: 30 triệu đồng; Trang phục thanh tra: 35 triệu đồng; Sửa chữa 02 xe ô tô: 100 triệu đồng; Bản tin Nông nghiệp và nông thôn Lạng Sơn: 135 triệu đồng; Công tác thông tin truyền thông, đối ngoại: 150 triệu đồng; Xây dựng văn bản quy phạm pháp luật: 30 triệu đồng.</t>
  </si>
  <si>
    <t>Hỗ trợ tiền công, chi khác LĐHĐ theo Nghị định số 68/2000/NĐ-CP, Nghị định số 161/2018/NĐ-CP: 89 triệu đồng; Quỹ thi đua khen thưởng: 10 triệu đồng; Sửa chữa xe ô tô: 30 triệu đồng</t>
  </si>
  <si>
    <t>Hỗ trợ tiền công, chi khác LĐHĐ theo Nghị định số 68/2000/NĐ-CP, Nghị định số 161/2018/NĐ-CP: 93 triệu đồng; Quỹ thi đua khen thưởng: 12 triệu đồng; Trang phục thanh tra ngành: 18 triệu đồng; Hóa chất test thử An toàn thực phẩm: 50 triệu đồng.</t>
  </si>
  <si>
    <t>Quỹ Thi đua khen thưởng: 30 triệu đồng; Trang phục thanh tra và trang phục kiểm dịch: 30 triệu đồng.</t>
  </si>
  <si>
    <t>Quỹ Thi đua khen thưởng: 20 triệu đồng; Trang phục thanh tra: 12 triệu đồng; Xét nghiệm mẫu phân và thuốc bảo vệ thực vật: 21 triệu đồng</t>
  </si>
  <si>
    <t>Quỹ Thi đua khen thưởng: 20 triệu đồng; Sữa chữa xe ô tô: 30 triệu đồng.</t>
  </si>
  <si>
    <t>Quỹ Thi đua khen thưởng: 10 triệu đồng; Sữa chữa xe ô tô: 30 triệu đồng.</t>
  </si>
  <si>
    <t>Quỹ Thi đua khen thưởng: 43 triệu đồng; Trang phục bảo vệ rừng theo Thông tư số 08/2018/TT-BNNPTNT ngày 28/3/2018:50 triệu đồng; Thuê nhà trạm Bảo vệ rừng: 19 triệu đồng; Thuê tuyên truyền bảo vệ rừng trên hệ thống truyền thanh: 15 triệu đồng; Sửa chữa xe ô tô: 30 triệu đồng.</t>
  </si>
  <si>
    <t>Hỗ trợ tiền công, chi khác LĐHĐ theo Nghị định số 68/2000/NĐ-CP, Nghị định số 161/2018/NĐ-CP: 382 triệu đồng; Quỹ thi đua khen thưởng: 50 triệu đồng; Kiểm soát thủ tục hành chính: 20 triệu đồng; Trang phục thanh tra: 20 triệu đồng; Sửa chữa xe ô tô: 70 triệu đồng; Đảm bảo chi thu lệ phí: 15 triệu đồng; Xây dựng văn bản quy phạm pháp luật: 200 triệu đồng; Hoạt động thanh tra chuyên ngành: 80 triệu đồng; Tiếp dân và xử lý đơn thư: 50 triệu đồng; Tư vấn giá đất cụ thể: 1.500 triệu đồng; Thuê dịch vụ Cổng thông tin dữ liệu đất đai tỉnh Lạng Sơn theo Công văn số 597/UBND-KGVX ngày 31/5/2022 của UBND tỉnh về việc vận hành chính thức Cổng thông tin dữ liệu đất đai tỉnh Lạng Sơn: 1.972 triệu đồng.</t>
  </si>
  <si>
    <t xml:space="preserve">Hỗ trợ tiền công LĐHĐ, chi khác theo NĐ số 68/2000/NĐ-CP, Nghị định số 161/2018/NĐ-CP: 174 triệu đồng; Quỹ thi đua khen thưởng: 12 triệu đồng; Sửa chữa xe ô tô: 50 triệu đồng; Mua sắm trang thiết bị cho 01 Chi cục trưởng mới bổ nhiệm 40 triệu đồng (trong đó, 01 máy tính: 15 triệu đồng, 01 máy in: 10 triệu đồng, 01 tủ đựng tài liệu: 5 triệu đồng, 01 bộ bàn ghế: 10 triệu đồng) </t>
  </si>
  <si>
    <t>Quỹ thi đua khen thưởng: 152 triệu đồng; Sửa chữa xe ô tô: 50 triệu đồng; Đảm bảo chi thu lệ phí: 200 triệu đồng; Trang bị 02 máy vi tính: 30 triệu đồng; Trang bị 02 bộ bàn ghế: 10 triệu đồng; Trang bị 01 Máy in màu A0 (in bản đò): 155 triệu đồng; Trang bị 01 Máy định vị GPS thu tín hiệu: 150 triệu đồng; Trang bị cho phòng máy chủ: 145 triệu đồng (trong đó, mua mới 01 điều hòa nhiệt độ 12.000 BTU: 10 triệu đồng; 05 bình lưu điện máy chủ 3K: 110 triệu đồng; 05 phần mềm diệt Virus: 20 triệu đồng; Sửa chữa 01 điều hòa nhiệt độ đã cũ, hỏng: 5 triệu đồng); Hoạt động trang Website vận hành cơ sở dữ liệu đất đai và quan trắc môi trường tự động toàn sở: 50 triệu đồng.</t>
  </si>
  <si>
    <t xml:space="preserve">Quỹ thi đua khen thưởng: 26 triệu đồng; Tổ chức cho hoạt động đấu giá tài sản: 460 triệu đồng.
</t>
  </si>
  <si>
    <t xml:space="preserve">Xây dựng, cập nhật cơ sở dữ liệu nền địa lý và thành lập hệ thống bản đồ địa hình quốc gia tỷ lệ 1:2.000, tỷ lệ 1:5.000 các khu vực đô thị, khu vực phát triển đô thị, khu chức năng đặc thù, khu cần lập quy hoạch phân khu và quy hoạch nông thôn mới đối với phần đất liền, khu vực cửa sông thuộc phạm vi tỉnh Lạng Sơn (Kế hoạch số 172/KH-UBND, ngày 25/11/2019 của UBND tỉnh Triển khai thi hành Luật Đo đạc và bản đồ trên địa bàn tỉnh Lạng Sơn): 2.000 triệu đồng; Ứng dụng viễn thám phục vụ phát triển kinh tế - xã hội theo Kế hoạch số 92/KH-UBND ngày 20/5/2019; Công văn số 89/UBND-KT ngày 22/1/2021 của UBND tỉnh: 2.000 triệu đồng; Cấp Giấy chứng nhận quyền sử dụng đất theo Quyết định số 791/QĐ-UBND ngày 26/04/2019 của UBND tỉnh: 1.000 triệu đồng.
</t>
  </si>
  <si>
    <t>Kinh phí quan trắc môi trường trên địa bàn tỉnh Lạng Sơn theo Quyết định số 852/QĐ-UBND ngày 17/5/2022 của UBND tỉnh: 947 triệu đồng; Lấy mẫu kiểm tra phân tích ô nhiễm môi trường theo kiến nghị của nhân dân tại đường dây nóng, ý kiến cử tri, qua phản ánh của báo, đài, và lấy mẫu kiểm tra giám sát tại các cơ sở gây ô nhiễm theo quy định tại điểm d khoản 9 và khoản 4 Điều 152 Nghị định số 08/2022/NĐ-CP ngày 10/01/2022 của Chính phủ: 200 triệu đồng; Lấy mẫu thử nghiệm vận hành dự án sau cấp phép môi trường theo quy định tại Điểm b khoản 10 Điều 31 Nghị định số 08/2022/NĐ-CP ngày 10/01/2022 của Chính phủ: 150 triệu đồng; Thực hiện Luật bảo vệ môi trường số 72/2020/QH14: 150 triệu đồng; Công tác tuyên truyền về phòng chống rác thải nhựa giai đoạn 2021-2025 trên địa bàn tỉnh Lạng Sơn theo Kế hoạch số 100/KH-UBND ngày 15/5/2021 của UBND tỉnh: 150 triệu đồng; Tổ chức ngày môi trường thế giới hằng năm: 150 triệu đồng; Tổ chức ngày "Chiến dịch làm cho thế giới sạch hơn": 30 triệu đồng; Triển khai thực hiện Quyết định số 729/QĐ-TTg ngày 16/6/2022 của Thủ tướng Chính phủ phê duyệt Chương trình truyền thông về biển và đại dương đến năm 2030: 50 triệu đồng; Đề án tuyên truyền, triển khai thí điểm mô hình thu gom, phân loại chất thải rắn sinh hoạt tại nguồn trên địa bàn thành phố Lạng Sơn theo Quyết định số 1274/QĐ-UBND ngày 04/8/2022 của UBND tỉnh: 1.337 triệu đồng.</t>
  </si>
  <si>
    <t>Lập kế hoạch sử dụng đât 05 năm (2021-2025) tỉnh Lạng Sơn theo Quyết định số 334/QĐ-UBND ngày 18/01/2021 của UBND tỉnh: 239 triệu đồng; Tổng điều tra đánh giá chất lượng tiềm năng đất đai lần đầu trên địa bàn tỉnh Lạng Sơn theo Công văn số 1056/UBND-KT về việc tăng cường công tác quản lý nhà nước về đất đai trên địa bàn tỉnh Lạng Sơn: 4.000 triệu đồng; Điều chỉnh Dự án ATLAS tỉnh Lạng Sơn theo Kế hoạch số 195/KH-UBND, ngày 08/12/2020 của UBND tỉnh: 1.472 triệu đồng.</t>
  </si>
  <si>
    <t>Hỗ trợ tiền công, chi khác LĐHĐ theo Nghị định số 68/2000/NĐ-CP, Nghị định số 161/2018/NĐ-CP: 619 triệu đồng; Quỹ thi đua khen thưởng: 10 triệu đồng; Trang phục thanh tra chuyên ngành: 60 triệu đồng ; Trích từ các khoản thu hồi phát hiện qua công tác thanh tra: 60 triệu đồng.</t>
  </si>
  <si>
    <t>Hỗ trợ tiền công, chi khác LĐHĐ theo Nghị định số 68/2000/NĐ-CP, Nghị định số 161/2018/NĐ-CP: 137 triệu đồng; Quỹ thi đua khen thưởng: 5 triệu đồng; Sửa chữa xe ô tô: 15 triệu đồng.</t>
  </si>
  <si>
    <t>Quỹ thi đua khen thưởng: 35 triệu đồng; Trang phục thanh tra: 147 triệu đồng. Kinh phí Trạm kiểm tra tải trọng xe lưu động: 1.056 triệu đồng.</t>
  </si>
  <si>
    <t>Hỗ trợ tiền công, chi khác LĐHĐ theo Nghị định số 68/2000/NĐ-CP, Nghị định số 161/2018/NĐ-CP: 510 triệu đồng; Quỹ thi đua khen thưởng: 99 triệu đồng; Kiểm soát thủ tục hành chính: 25 triệu đồng; Trang phục thanh tra: 21 triệu đồng; Xây dựng văn bản quy phạm pháp luật: 60 triệu đồng ;Ban chỉ đạo đổi mới giáo dục và Đào tạo tỉnh Lạng Sơn theo Quyết định 1409/QĐ-UBND ngày 29/80/2022, Ban chỉ đạo đổi mới sách giáo khoa theo Quyết định 2731/QĐ-UBND ngày 20/12/2019: 30 triệu đồng; Hoạt động phổ cập giáo dục xóa mù chữ (Tổ rà soát cấp tỉnh và triển khai kiểm tra tại cơ sở): 50 triệu đồng; Sửa chữa 3 xe ô tô: 130 triệu đồng; Đảm bảo tài chính thực hiện chiến lược quốc gia chấm dứt dịch bệnh AIDS vào năm 2030 trên địa bàn tỉnh Lạng Sơn giai đoạn 2021-2025 theo Kế hoạch số 183/KH-UBND ngày 18/11/2020 của UBND tỉnh: 15 triệu đồng.</t>
  </si>
  <si>
    <t>Quỹ thi đua khen thưởng: 421 triệu đồng; Hỗ trợ theo Nghị định số 76/2019/NĐ-CP ngày 08/10/2019: 878 triệu đồng.</t>
  </si>
  <si>
    <t>Đào tạo lưu học sinh Trung Quốc theo Kế hoạch 54/KH-UBND ngày 13/6/2014 của UBND tỉnh: 174 triệu đồng; Đào tạo theo chế độ cử tuyển: 944 triệu đồng; Đào tạo học sinh theo Nghị định số 116/2020/NĐ-CP: 8.189 triệu đồng.</t>
  </si>
  <si>
    <t>Quỹ thi đua khen thưởng: 150 triệu đồng; Sửa chữa xe ô tô: 25 triệu đồng.</t>
  </si>
  <si>
    <t xml:space="preserve"> Hỗ trợ tiền công, chi khác LĐHĐ theo Nghị định số 68/2000/NĐ-CP, Nghị định số 161/2018/NĐ-CP: 418 triệu đồng; Quỹ thi đua khen thưởng: 40 triệu đồng; Kiểm soát thủ tục hành chính: 30 triệu đồng; Trang phục thanh tra: 10 triệu đồng; Ban chỉ đạo liên ngành An toàn vệ sinh thực phẩm: 20 triệu đồng; Hỗ trợ cho các đoàn thanh tra, kiểm tra , xử lý vi phạm và giải quyết khiếu nại, tố cáo trong lĩnh vực y tế theo quy định của pháp luật: 180 triệu đồng; Sửa chữa xe ô tô: 80 triệu đồng; Kinh phí Đề án "khám chữa bệnh từ xa" giai đoạn 2021-2025 theo Quyết định số 16/QĐ-UBND ngày 08/01/2021 của UBND tỉnh: 140 triệu đồng; Thuê dịch vụ phần mềm quản lý hồ sơ sức khỏe điện tử giai đoạn 2021-2025 trên địa bàn tỉnh Lạng Sơn: 5 triệu đồng; Xây dựng văn bản quy phạm pháp luật: 120 triệu đồng.</t>
  </si>
  <si>
    <t>Quỹ thi đua khen thưởng: 14 triệu đồng; Tổ chức các hoạt động giao dịch việc làm theo Điều 7, Điều 13 Nghị định số 23/2021/NĐ-CP ngày 19/03/2021 của Chính phủ: 120 triệu đồng.</t>
  </si>
  <si>
    <t>Hỗ trợ tiền công LĐHĐ theo Nghị định số 68/2000/NĐ-CP, Nghị định số 161/2018/NĐ-CP: 667 triệu đồng; Quỹ thi đua khen thưởng: 14 triệu đồng; Phụ cấp trực theo Quyết định số 73/2011/QĐ-TTg ngày 28/12/2011 của Thủ tướng chính phủ: 100 triệu đồng; Chế độ bảo vệ, chăm sóc sức khỏe, cán bộ, viên chức tỉnh Lạng Sơn theo Quy định số 1859-QĐ/TU ngày 21/6/2019 của Tỉnh ủy: 2.146 triệu đồng; Hỗ trợ kinh phí điện, nước cho hoạt động điều dưỡng cán bộ thuộc Ban thường vụ Tỉnh uỷ quản lý: 160 triệu đồng; Trang bị thiết bị phòng cháy chữa cháy: 6 triệu đồng (trong đó, 03 trang phục chứa cháy: 3 triệu đồng, 05 mặt nạ lọc độc: 3 triệu đồng); Sửa chữa ô tô: 50 triệu đồng.</t>
  </si>
  <si>
    <t>Kinh phí in lịch và tặng quà nhân dịp Tết nguyên đán cho các đối tượng chính sách theo Kế hoạch của UBND tỉnh hằng năm: 713 triệu đồng; Kỷ niệm ngày Thương binh liệt sĩ 27/7: 80 triệu đồng; Đưa đại biểu, người có công đi dự Hội nghị biểu dương toàn quốc: 60 triệu đồng; Đưa thân nhân liệt sĩ đi thăm chiến trường xưa theo Kế hoạch của tỉnh hằng năm: 250 triệu đồng; Trợ cấp một lần cho các đối tượng kháng chiến theo Quyết định số 24/2016/QĐ-TTg của Thủ tướng chính phủ: 48 triệu đồng; Đảm bảo các hoạt động lĩnh vực người có công: 200 triệu đồng; Quà Tết cho các hộ nghèo, hộ gia đình có hoàn cảnh Đặc biệt khó khăn, hộ có người khuyết tật nặng theo Kế hoạch của UBND tỉnh hằng năm: 1.380 triệu đồng; Chúc thọ, mừng thọ người cao tuổi trên địa bàn tỉnh Lạng Sơn và các hoạt động người cao tuổi theo Nghị quyết số 11/2019/NQ-HĐND ngày 10/12/2019: 755 triệu đồng; Chương trình trợ giúp xã hội và phục hồi chức năng cho người tâm thần, trẻ em tự kỷ và người rối nhiễu tâm trí dựa vào cộng đồng giai đoạn 2021-2030 theo Kế hoạch số 33/KH-UBND, ngày 29/01/2021 của UBND tỉnh: 210 triệu đồng; Đề án đổi mới, phát triển trợ giúp xã hội giai đoạn 2017 -2025 và tầm nhìn 2030 theo Kế hoạch số 101/KH-UBND ngày 26/05/2017 của UBND tỉnh: 240 triệu đồng; Đề án nhân rộng mô hình Câu lạc bộ Liên thế hệ tự giúp nhau (04 mô hình): 160 triệu đồng; Hoạt động của Ban Công tác người cao tuổi: 100 triệu đồng; Chương trình phát triển công tác xã hội giai đoạn 2021 - 2030 trên địa bàn tỉnh Lạng Sơn theo Kế hoạch số 80/KH-UBND ngày 05/4/2021của UBND tỉnh: 140 triệu đồng; Chương trình nâng cao chất lượng bảo vệ, chăm sóc sức khỏe người có công với cách mạng, người cao tuổi, trẻ em, người khuyết tật và các đối tượng cần trợ giúp xã hội giai đoạn 2021 - 2030 trên địa bàn tỉnh Lạng Sơn theo Kế hoạch số 02/KH-UBND ngày 05/01/2022 của UBND tỉnh: 60 triệu đồng.</t>
  </si>
  <si>
    <t>Hoạt động đội kiểm tra liên ngành 178 theo Quyết định số 411/QĐ-UBND ngày 10/3/2020 của UBND tỉnh: 100 triệu đồng; Rà soát hộ nghèo, cận nghèo, xác định hộ làm nông nghiệp, lâm nghiệp, ngư nghiệp có mức sống trung bình: 1.200 triệu đồng; Đề án chăm sóc vì sự phát triển toàn diện trẻ em trong những năm đầu đời tại gia đình và cộng đồng giai đoạn 2019- 2025 theo Kế hoạch số 32/KH-UBND ngày 02/02/2019 của UBND tỉnh: 128 triệu đồng; Chương trình đêm hội trăng rằm tết trung thu cho trẻ em có hoàn cảnh đặc biệt theo Kế hoạch của UBND tỉnh hằng năm: 71 triệu đồng;Tổ chức Lễ phát động Tháng hành động vì trẻ em theo Kế hoạch của UBND tỉnh hằng năm: 65 triệu đồng; Phòng chống tai nạn thương tích cho trẻ em theo Kế hoạch số 198/KH-UBND ngày 04/10/2021 của UBND tỉnh: 300 triệu đồng; Đề án hỗ trợ trẻ em khuyết tật tiếp cận các dịch vụ bảo vệ, chăm sóc giáo dục tại cộng đồng giai đoạn 2019-2025 theo Kế hoạch số 28/KH-UBND ngày 30/1/2019 của UBND tỉnh: 100 triệu đồng; Phẫu thuật tim cho trẻ em theo Quyết định số 55a/2013/QĐ-TTg ngày 04/10/2013 của Thủ tướng Chính phủ: 150 triệu đồng; Chương trình phòng, ngừa trẻ em lao động trái quy định pháp luật giai đoạn 2021 -2030 theo Kế hoạch số 187/KH-UBND ngày 13/9/2021 của UBND tỉnh: 100 triệu đồng; Kinh phí tuyên truyền Luật chăm sóc bảo vệ trẻ em theo Kế hoạch số 170/KH-UBND ngày 21/11/2019 của UBND tỉnh: 50 triệu đồng; Tiếp tục tăng cường hiệu lực, hiệu quả việc thực hiện chính sách, pháp luật về phòng, chống xâm hại trẻ em theo Nghị quyết số 121/2020/QH14 ngày 19/6/2020 của Quốc hội: 82 triệu đồng.</t>
  </si>
  <si>
    <t>Hỗ trợ người đi lao động làm việc ở nước ngoài theo hợp đồng Thông tư liên tịch số 09/2016/TTLT-BLĐTBXH-BTC ngày 15/6/2016 của liên Bộ Lao động - Thương binh và Xã hội và Bộ Tài chính: 100 triệu đồng; Hỗ trợ đào tạo nghề trình độ sơ cấp đối với thanh niên hoàn thành nghĩa vụ quân sự, nghĩa vụ công an và thanh niên tình nguyện theo quy định tại Nghị định số Nghị định số 61/2015/NĐ-CP ngày 09/7/2015 của Chính phủ: 3.500 triệu đồng;Triển khai Thỏa thuận toàn cầu về di cư hợp pháp, an toàn và trật tự của Liên hợp quốc: 200 triệu đồng; Cập nhật thông tin cung cầu lao động theo Kế hoạch số 101/KH-UBND ngày 28/4/2022 của UBND tỉnh: 1.722 triệu đồng; Chương trình Quốc gia về An toàn vệ sinh lao động giai đoạn 2022-2025 trên địa bàn tỉnh Lạng Sơn theo Kế hoạch 58/KH-UBND ngày 21/3/2022 của UBND tỉnh thực hiện Chương trình Quốc gia về An toàn vệ sinh lao động giai đoạn 2022-2025 trên địa bàn tỉnh Lạng Sơn: 701 triệu đồng; Chương trình cai nghiện ma túy và quản lý sau cai nghiện ma túy giai đoạn 2022-2025 trên địa bàn tỉnh Lạng Sơn theo Kế hoạch số 80/KH-UBND ngày 09/4/2022 của UBND tỉnh: 345 triệu đồng; Chương trình phòng, chống mại dâm trên địa bàn tỉnh Lạng Sơn giai đoạn 2021-2025 theo Kế hoạch số 215/KH-UBND ngày 03/11/2021 của UBND tỉnh: 250 triệu đồng; Chương trình phòng, chống mua bán người giai đoạn 2021 -2025 và định hướng đến năm 2030 theo Kế hoạch số 61/KH-BCĐ ngày 18/4/2021 của Ban Chỉ đạo 138: 100 triệu đồng.</t>
  </si>
  <si>
    <t>Hỗ trợ tiền công, chi khác LĐHĐ theo Nghị định số 68/2000/NĐ-CP, Nghị định số 161/2018/NĐ-CP: 422 triệu đồng; Quỹ thi đua khen thưởng: 68 triệu đồng; Kiểm soát thủ tục hành chính: 40 triệu đồng; Trang phục thanh tra, trang phục ngành: 15 triệu đồng; Trang bị 01 máy photocopy: 90 triệu đồng; Sửa chữa xe ô tô: 70 triệu đồng; Chi phí công tác xử phạt vi phạm hành chính: 5 triệu đồng; Ban chỉ đạo ISO: 80 triệu đồng; Hoạt động Hội đồng sáng kiến tỉnh: 120 triệu đồng; Kế hoạch nâng cao năng suất và chất lượng sản phẩm, hàng hóa, dịch vụ trên địa bàn tỉnh Lạng Sơn giai đoạn 2021-2025: 2.200 triệu đồng; Đề án triển khai chiến lược Sở hữu trí tuệ đến năm 2030 trên địa bàn tỉnh Lạng Sơn: 5.500 triệu đồng; Chiến lược phát triển và ứng dụng khoa học và công nghệ vũ trụ trên địa bàn tỉnh Lạng Sơn đến năm 2030 theo Kế hoạch số 106/KH-UBND ngày 06/5/2021: 50 triệu đồng; Hỗ trợ hệ sinh thái khởi nghiệp đổi mới sáng tạo tỉnh Lạng Sơn giai đoạn 2021-2025: 800 triệu đồng; Chiến lược quốc gia về nghiên cứu, phát triển và ứng dụng trí tuệ nhân tạo trên địa bàn tỉnh Lạng Sơn đến năm 2030: 50 triệu đồng.</t>
  </si>
  <si>
    <t>Hỗ trợ tiền công, chi khác LĐHĐ theo Nghị định số 68/2000/NĐ-CP, Nghị định số 161/2018/NĐ-CP: 244 triệu đồng; Sửa chữa xe ô tô: 50 triệu đồng; Đề án “Tăng cường, đổi mới hoạt động đo lường hỗ trợ doanh nghiệp Việt Nam nâng cao năng lực cạnh tranh và hội nhập quốc tế giai đoạn đến năm 2025, định hướng đến năm 2030” theo Kế hoạch số 129/KH-UBND ngày 03/7/2019: 500 triệu đồng; Kế hoạch nâng cao năng suất và chất lượng sản phẩm, hàng hóa, dịch vụ trên địa bàn tỉnh Lạng Sơn giai đoạn 2021 - 2025 theo Kế hoạch 79/KH-UBND, ngày 05/4/2021: 150 triệu đồng; Kiểm tra nhà nước về chất lượng sản phẩm hàng hóa lưu thông trên thị trường: 100 triệu đồng; Hội nghị, hội thảo nghiệp vụ Tiêu chuẩn Đo lường chất lượng trên địa bàn tỉnh: 20 triệu đồng.</t>
  </si>
  <si>
    <t>Quản lý Hệ thống thoát nước trên địa bàn thành phố Lạng Sơn theo Quyết định số 1523/QĐ-UBND ngày 29/9/2014 và Quyết định số 1197/QĐ-UBND ngày 17/6/2021 của UBND tỉnh: 10.000 triệu đồng; Quản lý, vận hành Trạm xử lý nước thải và hệ thống thoát nước thải thuộc dự án Khu tái định cư và dân cư Nam Thành phố Lạng Sơn theo Công văn số 3310/VP-KT ngày 14/8/2020 của UBND tỉnh: 1.063 triệu đồng; Kiểm định chất lượng công trình xây dựng, giám định sự cố công trình: 1.500 triệu đồng; Quản lý, vận hành Nhà máy xử lý nước thải và các trạm bơm thuộc dự án hệ thống thoát nước và xử lý nước thải thành phố Lạng Sơn giai đoạn 1: 4.775 triệu đồng; Xây dựng Chương trình phát triển nhà ở tỉnh Lạng Sơn giai đoạn 2021-2030, định hương đến năm 2045 theo Quyết định số 2161/QĐ-TTg ngày 22/12/2021 của Thủ tướng Chính phủ: 500 triệu đồng.</t>
  </si>
  <si>
    <t>Quỹ thi đua khen thưởng: 20 triệu đồng; Sách nghiệp vụ: 250 triệu đồng; Sửa chữa ô tô: 20 triệu đồng; Trang bị bàn ghế, tủ: 50 triệu đồng; Sách kho luân chuyển về cơ sở: 90 triệu đồng; Hoạt động xe thư viện lưu động đa phương tiện đưa sách đi xuống cơ sở : 90 triệu đồng; Phòng trừ mối, mọt các kho lưu trữ sách hàng năm theo định kỳ: 40 triệu đồng; Chi mua báo, tạp chí phục vụ công tác đọc và nghiên cứu của tỉnh: 50 triệu đồng; Mua giá để sách, báo, trang trí mua sắm cho phòng đọc sách thiếu nhi: 120 triệu đồng; Tổ chức sự kiện các ngày lễ lớn trong năm (ngày hội sách Việt Nam, tuyên truyền các ngày lễ lớn trong năm..): 80 triệu đồng; Đóng báo, tạp chí thành quyển để phục vụ công tác lưu trữ: 20 triệu đồng ; Mua bổ sung Sách theo xe thư viện lưu động đa phương tiện: 50 triệu đồng; Tổ chức tập huấn cho cán bộ thư viện cơ sở: 23 triệu đồng; Tổ chức các hoạt động hè cho độc giả, ngày hội đọc sách: 50 triệu đồng; Tổ chức Cuộc thi đại sứ Văn hóa đọc các cấp năm 2023 theo Công văn số 2531/BCVHTTDL-TV ngày 14/7/2022 của Bộ VH,TT&amp;DL: 250 triệu đồng.</t>
  </si>
  <si>
    <t>Quỹ thi đua khen thưởng: 12 triệu đồng; Thu gom, vận chuyển, xử lý rác thải trên Mẫu Sơn: 100 triệu đồng. Trang bị 03 bộ máy vi tính và 01 máy in: 50 triệu đồng;Trang bị 05 bộ bàn ghế ngồi làm việc, 05 tủ đựng tài liệu: 40 triệu đồng.</t>
  </si>
  <si>
    <t>Đề án Xây dựng và phát triển Công viên địa chất Lạng Sơn theo Quyết định số 2386/QĐ-UBND ngày 08/12/2021 của Chủ tịch UBND tỉnh: 11.525 triệu đồng; Hỗ trợ hoạt động chuyên môn của Ban: 200 triệu đồng</t>
  </si>
  <si>
    <t>Quỹ Thi đua khen thưởng: 12 triệu đồng; Trang phục trợ giúp viên: 39 triệu đồng; Phụ cấp Hội đồng và tổ giúp việc cho Hội đồng phối hợp liên ngành trong hoạt động tố tụng: 76 triệu đồng; Tham gia tố tụng, đại diện ngoài tố tụng 300 vụ/việc: 1.950 triệu đồng; Công tác thông tin, truyền thông tại cơ sở (bảng thông tin, hộp tin, tờ gấp, tờ thông tin…): 400 triệu đồng; In sổ theo dõi vụ việc trợ giúp pháp lý trong hoạt động tố tụng: 40 triệu đồng; Kiểm tra hoạt động trợ giúp pháp lý trong hoạt động tố tụng: 12 triệu đồng.</t>
  </si>
  <si>
    <t>Hỗ trợ tiền công, chi khác LĐHĐ theo Nghị định số 68/2000/NĐ-CP, Nghị định số 161/2018/NĐ-CP: 332 triệu đồng; Quỹ thi đua khen thưởng: 40 triệu đồng; Sửa chữa xe ô tô: 120 triệu đồng; Kiểm soát thủ tục hành chính: 25 triệu đồng; Trang phục thanh tra: 26 triệu đồng; Xây dựng văn bản quy phạm pháp luật: 30 triệu đồng; Chính sách đối với người có Uy tín theo Quyết định số 12/2018/QĐ-TTg: ngày 06/3/2018 của Thủ tướng Chính phủ: 500 triệu đồng.</t>
  </si>
  <si>
    <t>Quỹ thi đua khen thưởng: 12 triệu đồng; Chương trình tiết kiệm năng lượng theo Quyết định số 389/QĐ-UBND ngày 06/3/2020: 1.680 triệu đồng; Đưa hàng Việt về nông thôn: 300 triệu đồng.</t>
  </si>
  <si>
    <t>Chương trình Khuyến công theo Quyết định số 977/QĐ-UBND ngày 13/5/2021 của UBND tỉnh về phê duyệt Chương trình khuyến công tỉnh Lạng Sơn giai đoạn 2021-2025: 1.877 triệu đồng; Chương trình Xúc tiến thương mại theo Quyết định số 11/QĐ-UBND ngày 06/01/2021 về việc phê duyệt Kế hoạch xúc tiến thương mại tỉnh Lạng Sơn giai đoạn 2021-2025: 1.347 triệu đồng.</t>
  </si>
  <si>
    <t>Hỗ trợ tiền công, chi khác LĐHĐ theo Nghị định số 68/2000/NĐ-CP, Nghị định số 161/2018/NĐ-CP: 1.439 triệu đồng; Quỹ thi đua khen thưởng: 90 triệu đồng; Duy trì Cổng thông tin điện tử tỉnh: 500 triệu đồng; Trang thông tin điện tử Văn phòng UBND tỉnh: 400 triệu đồng; Thuê dịch vụ vệ sinh trụ sở HĐND&amp;UBND tỉnh: 450 triệu đồng; Hoạt động công tác tiếp công dân, xử lý đơn, thư khiếu nại, tố cáo, kiến nghị, phản ánh: 300 triệu đồng; Trang thiết bị, tài sản: 300 triệu đồng; Sửa chữa tài sản, trang thiết bị phục vụ công tác: 550 triệu đồng; Sửa chữa xe ô tô: 350 triệu đồng; Thực hiện nhiệm vụ đặc thù: 8.000 triệu đồng (trong đó: Cước gửi công văn, ấn phẩm truyền thông: 600 triệu đồng; Xăng, dầu, điện, nước, vệ sinh phục vụ UBND tỉnh: 1.400 triệu đồng; Văn phòng phẩm, hàng hóa vật tư phục vụ chuyên môn: 1.800 triệu đồng; Công tác phí, thuê phòng ngủ...: 600 triệu đồng; phục vụ hội nghị, họp UBND tỉnh: 100 triệu đồng; Lễ tân, khánh tiết, công tác đối ngoại, đón tiếp khách: 2.000 triệu đồng; các nội dung nhiệm vụ khác phục vụ hoạt động đặc thù của UBND tỉnh: 1.500 triệu đồng.)</t>
  </si>
  <si>
    <t>Quỹ thi đua khen thưởng: 10 triệu đồng; Trang bị bàn, ghế làm việc: 25 triệu đồng; Duy trì cổng công báo điện tử: 50 triệu đồng.</t>
  </si>
  <si>
    <t>Quỹ thi đua khen thưởng: 70 triệu đồng; Hỗ trợ tiền công, chi khác LĐHĐ theo Nghị định số 68/2000/NĐ-CP, Nghị định số 161/2018/NĐ-CP: 1.225 triệu đồng; Đảm bảo các hoạt động Hội đồng nhân dân tỉnh: 8.000 triệu đồng (trong đó: Phụ cấp Đại biểu HĐND tỉnh: 483 triệu đồng; Chi các kỳ họp HĐND tỉnh: 1.300 triệu đồng; Chi tiếp xúc cử tri, kiểm tra giám sát, tiếp công dân, Công tác xã hội: 1.400 triệu đồng; Xăng xe, công tác phí, vật tư văn phòng, thông tin, hoạt động khác theo quy định: 2.826 triệu đồng; Chi đối ngoại, đón tiếp khách: 1.700 triệu đồng; Thuê phần mềm quản lý hệ thống nghiệp vụ HĐND tỉnh: 291 triệu đồng); Sửa chữa xe ô tô: 350 triệu đồng; Hỗ trợ hoạt động Đoàn đại biểu Quốc hội tỉnh: 1.000 triệu đồng; Duy trì cổng ng thông tin điện tử Đoàn đại biểu Quốc hội và Hội đồng nhân dân tỉnh: 200 triệu đồng; Hỗ trợ hoạt đông chuyên môn các Ban Hội đồng nhân dân: 1.000 triệu đồng.</t>
  </si>
  <si>
    <t>Hỗ trợ tiền công, chi khác LĐHĐ theo Nghị định số 68/2000/NĐ-CP, Nghị định số 161/2018/NĐ-CP: 496 triệu đồng; Quỹ thi đua khen thưởng: 65 triệu đồng; Kiểm soát thủ tục hành chính: 30 triệu đồng; Trang phục thanh tra, trang phục ngành: 29 triệu đồng; Trích từ số thu nộp thanh tra, chi phí công tác xử phạt vi phạm hành chính: 100 triệu đồng; Đảm bảo chi thu phí, lệ phí: 50 triệu đồng; Xây dựng văn bản quy phạm pháp luật: 20 triệu đồng; Kinh phí Ban chỉ đạo đổi mới, phát triển doanh nghiệp và nâng cao hiệu quả kinh tế tập thể tỉnh Lạng Sơn (Quyết định số 2420/QĐ-UBND ngày 28/11/2018): 50 triệu đồng; Ban chỉ đạo các Chương trình mục tiêu gia tỉnh Lạng Sơn giai đoạn 2021-2025 theo Quyết định số 499/QĐ-UBND ngày 23/3/2022: 80 triệu đồng; Kinh phí hội nghị đối thoại Doanh nghiệp giữa kỳ tháo gỡ khó khăn cho Doanh nghiệp: 80 triệu đồng; Hội nghị phân tích chỉ số PCI năm 2022 và bàn giải pháp cải thiện chỉ số PCI năm 2023: 80 triệu đồng; Kiểm tra, giám sát dự án đầu tư: 50 triệu đồng; Kinh phí thực hiện trong quá trình lựa chọn nhà đầu tư thực hiện các dự án theo Thông tư 08/2022/TT-BTC ngày 09/02/2022: 1.330 triệu đồng; Bộ chỉ số đánh giá năng lực cạnh tranh cấp sở, ban, ngành và UBND các huyện thành phố (DDIC) năm 2023: 1.273 triệu đồng; Kinh phí hoạt động chuyên môn của ngành: 1.000 triệu đồng.</t>
  </si>
  <si>
    <t>Quỹ thi đua khen thưởng: 20 triệu đồng; Hỗ trợ tiền công, chi khác LĐHĐ theo Nghị định số 68/2000/NĐ-CP, Nghị định số 161/2018/NĐ-CP: 77 triệu đồng; Quỹ thi đua, khen thưởng của tỉnh: 9.000 triệu đồng; Khen thưởng thành tích cao theo Nghị quyết số 27/2022/NQ-HĐND: 1.000 triệu đồng; Tham dự Hội nghị sơ kết và Hội nghị tổng kết Cụm thi đua (7 tỉnh) tại Lào Cai và Điện Biên: 90 triệu đồng.</t>
  </si>
  <si>
    <t>Quỹ thi đua khen thưởng: 16 triệu đồng; Vệ sinh kho tài liệu lưu trữ: 30 triệu đồng; Khử trùng, phòng chống mối mọt: 80 triệu đồng; Tiền điện bảo quản kho Lưu trữ: 80 triệu đồng; Tu bổ, phục chế tài liệu hư hỏng: 150 triệu đồng; Trang bị hộp đựng tài liệu (200 x 50), bìa (4.000 x 5) hồ sơ thay thế phông UBND tỉnh: 30 triệu đồng; Trang bị tủ, giá tài liệu: 107 triệu đồng; Thực hiện công bố tài liệu lưu trữ theo Kế hoạch số 99/KH-UBND ngày 28/4/2022 của UBND tỉnh: 200 triệu đồng; Mua sắm trang thiết bị chữa cháy tại chỗ của Kho lưu trữ tài liệu của tỉnh: 10 triệu đồng.</t>
  </si>
  <si>
    <t>Hỗ trợ tiền công, chi khác LĐHĐ theo Nghị định số 68/2000/NĐ-CP, Nghị định số 161/2018/NĐ-CP: 377 triệu đồng; Quỹ thi đua khen thưởng: 30 triệu đồng; Kiểm soát thủ tục hành chính:25 triệu đồng; Trang phục thanh tra, trang phục ngành: 5 triệu đồng; Sửa chữa xe ô tô: 40 triệu đồng; Xây dựng văn bản quy phạm pháp luật: 20 triệu đồng; Kinh phí đối ngoại: 5.000 triệu đồng; Quản lý biên giới đất liền Việt Nam - Trung Quốc: 800 triệu đồng; Kinh phí 03 văn kiện pháp lý biên giới: 500 triệu đồng; Kinh phí phi chính phủ: 600 triệu đồng; Đối ứng kinh phí thực hiện đề tài "Nghiên cứu quy hoạch phát triển hệ thống cửa khẩu của Khu tự trị dân tộc Choang Quảng Tây (Trung Quốc) giai đoạn 2021-2025 và gợi mở đối với phát triển kinh tế cửa khẩu tỉnh Lạng Sơn (Việt Nam)": 150 triệu đồng; Hoạt động công tác ngoại vụ: 300 triệu đồng.</t>
  </si>
  <si>
    <t xml:space="preserve"> Quỹ thi đua khen thưởng: 5 triệu đồng; Trang thông tin đối ngoại: 150 triệu đồng; Xây dựng tài liệu ấn phẩm thông tin đối ngoại: 445 triệu đồng; Bản tin đối ngoại: 450 triệu đồng.</t>
  </si>
  <si>
    <t>Hỗ trợ tiền công, chi khác LĐHĐ theo Nghị định số 68/2000/NĐ-CP, Nghị định số 161/2018/NĐ-CP: 415,5 triệu đồng; Quỹ thi đua khen thưởng: 36 triệu đồng; Kiểm soát thủ tục hành chính: 25 triệu đồng; Trang phục thanh tra: 10 triệu đồng; Sửa chữa xe ô tô: 50 triệu đồng; Ban chỉ đạo và tổ giúp việc Ban chỉ đạo chuyển đổi số tỉnh Lạng Sơn (theo QĐ số 2041/QĐ-UBND ngày 13/10/2021; QĐ số 97/QĐ-BCĐ ngày 14/6/2022): 80 triệu đồng; Hoạt động đội ứng cứu xử lý sự cố (theo Quyết định số 05/2017/QĐ-TTg ngày 16/3/2017, Quyết định số 798/QĐ-UBND ngày 3/5/2017, Thông tư số 121/2018/TT-BTC, Quyết định số 292/QĐ UBND ngày 02/02/2018): 90 triệu đồng; Trả thù lao cộng tác viên đọc và kiểm tra xuất bản phẩm lưu chiểu theo Thông tư số 169/2013/TTLT-BTC-BTTTT ngày 15/11/2013: 20 triệu đồng; Trả thù lao cộng tác viên đọc, nghe, xem để kiểm tra báo chí lưu chiểu theo Nghị quyết số 14/2018/NQ-HĐND ngày 10/12/2018 và thông tư 81/2017/TT-BTC-BTTTT ngày 09/8/2017: 10 triệu đồng; Đảm bảo tài chính thực hiện chiến lược quốc gia chấm dứt dịch bệnh AIDS vào năm 2030 trên địa bàn tỉnh Lạng Sơn giai đoạn 2021-2025 theo Kế hoạch số 183/KH-UBND ngày 18/11/2020 của UBND tỉnh: 15 triệu đồng; Diễn tập khu vực phòng thủ năm 2023: 400 triệu đồng.</t>
  </si>
  <si>
    <t>Quỹ thi đua khen thưởng: 16 triệu đồng; Tiền điện phục vụ hội nghị truyền hình trực tuyến của tỉnh, trung tâm tích hợp dữ liệu tỉnh: 300 triệu đồng; Duy trì hoạt động hội nghị truyền hình trực tuyến của tỉnh: 15 triệu đồng; Duy trì trung tâm tích hợp dữ liệu tỉnh (giấy phép cập nhật phần mềm, bảo trì, bảo dưỡng định kỳ thiết bị): 350 triệu đồng; Giấy phép cập nhật phần mềm cho thiết bị bảo mật Juniper SRX 1500, Bản quyền Windows Server: 177 triệu đồng; Nhiên liệu máy nổ dự phòng mất điện: 50 triệu đồng.</t>
  </si>
  <si>
    <t>Kinh phí thuê dịch vụ công nghệ thông tin (Duy trì thuê hệ thống dịch vụ công trực tuyến và một cửa điện tử liên thông từ cấp tỉnh đến cấp huyện, xã) theo Kế hoạch số 201/KH-UBND ngày 13/12/2017: 1.706 triệu đồng; Duy trì cập nhật khung chính quyền điện tử tỉnh Lạng Sơn theo Quyết định số 79/QĐ-UBND ngày 11/01/2022, Quyết định số 1063/QĐ-UBND ngày 07/6/2019: 200 triệu đồng; Duy trì hệ thống hội nghị truyền hình trực tuyến từ cấp tỉnh, huyện, xã theo Kế hoạch số 195/KH-UBND ngày 08/12/2020: 300 triệu đồng; Triển khai hệ thống chứng thực điện tử và chữ ký số (mở rộng đến lãnh đạo cấp phòng, đơn vị trực thuộc Sở, ngành, UBND cấp huyện và cấp xã) theo Kế hoạch số 195/KH-UBND ngày 08/12/2020: 500 triệu đồng; Kết nối liên thông cơ sở dữ liệu qua trục LGSP theo Kế hoạch số 195/KH-UBND ngày 08/12/2020: 2.000 triệu đồng; Nâng cấp hoàn thiện Trung tâm tích hợp dữ liệu tỉnh Data center theo Quyết định số 1063/QĐ-UBND ngày 07/6/2019; Kế hoạch số 195/KH-UBND ngày 08/12/2020: 10.000 triệu đồng; Thuê hệ thống phần mềm quản lý văn bản và điều hành theo Kế hoạch 206/KH-UBND ngày 20/10/2021, Quyết định số 1063/QĐ-UBND ngày 07/6/2019: 2.000 triệu đồng</t>
  </si>
  <si>
    <t xml:space="preserve"> Hỗ trợ tiền công, chi khác LĐHĐ theo Nghị định số 68/2000/NĐ-CP , Nghị định số 161/2018/NĐ-CP: 446 triệu đồng; Quỹ thi đua khen thưởng: 44 triệu đồng; Kiểm soát thủ tục hành chính: 35 triệu đồng; Trang phục thanh tra: 158 triệu đồng; Trích từ các khoản thu hồi phát hiện qua công tác thanh tra: 900 triệu đồng; Hội đồng tư vấn giải quyết khiếu nại tỉnh theo QĐ số 2197/QĐ-UBND ngày 27/10/2020: 30 triệu đồng; Tổ đánh giá công tác phòng chống tham nhũng theo QĐ số 774/QĐ-UBND ngày 04/5/2022: 30 triệu đồng; Tổ chức xác minh bản kê khai tài sản, thu nhập của người có chức vụ, quyền hạn theo Nghị định số 130/2020/NĐ-CP ngày 30/10/2020: 80 triệu đồng; Chỉnh lý tài liệu theo Quyết định số 2160/QĐ-UBND ngày 03/11/2021 của Chủ tịch UBND tỉnh: 480,4 triệu đồng; Kinh phí tiếp công dân: 25 triệu đồng; Hoạt động chuyên môn, đặc thù, đột xuất UBND tỉnh giao ngành thanh tra: 600 triệu đồng</t>
  </si>
  <si>
    <t>Quỹ thi đua khen thưởng: 51 triệu đồng; Hỗ trợ tiền công, chi khác LĐHĐ theo Nghị định số 68/2000/NĐ-CP, Nghị định số 161/2018/NĐ-CP: 490 triệu đồng; Hỗ trợ hoạt động chuyên môn phục vụ công tác quản lý cửa khẩu, đối ngoại, công tác điều hành, kiểm tra tại các cửa khẩu: 555 triệu đồng; Hỗ trợ hoạt động xúc tiến đầu tư trong khu kinh tế cửa khẩu tỉnh Lạng Sơn: 500 triệu đồng; Kiểm soát thủ tục hành chính: 22 triệu đồng; Tham dự thi đua khen thưởng Cụm Ban quản lý Khu công nghiệp, Khu kinh tế các tỉnh, thành phố phía Bắc: 40 triệu đồng; Kinh phí thực hiện lựa chọn nhà đầu tư theo Thông tư 08/2022/TT-BTC ngày 09/02/2022: 200 triệu đồng.</t>
  </si>
  <si>
    <t>Hỗ trợ tiền công, chi khác LĐHĐ theo Nghị định số 68/2000/NĐ-CP , Nghị định số 161/2018/NĐ-CP: 223 triệu đồng; Quỹ thi đua khen thưởng: 15 triệu đồng; Ban Chỉ đạo xây dựng Nông thôn mới của tỉnh: 200 triệu đồng.</t>
  </si>
  <si>
    <t xml:space="preserve">Quỹ thi đua khen thưởng: 80 triệu đồng; Sửa chữa xe ô tô: 50 triệu đồng; Chế độ học sinh Dân tộc thiểu số nội trú học nghề Quyết định số 824/QĐ-UBND ngày 26/6/2012 của UBND tỉnh Lạng Sơn về việc điều chỉnh chính sách hỗ trợ học sinh dân tộc thiểu số nội trú học nghề trên địa bàn tỉnh Lạng Sơn: 804 triệu đồng; Hỗ trợ các hội thi nghề: 200 triệu đồng; Trang bị 02 máy scan: 14 triệu đồng.
</t>
  </si>
  <si>
    <t>Quỹ thi đua khen thưởng: 50 triệu đồng; Sửa chữa xe ô tô: 70 triệu đồng; Xuất bản, bản tin Trường Chính trị Hoàng Văn Thụ theo Nghị định số 18/2014/NĐ-CP ngày 14/3/2014 và Quyết định số 36/2015/QĐ-UBND ngày 27/12/2015: 78 triệu đồng.</t>
  </si>
  <si>
    <t>Quỹ thi đua khen thưởng: 80 triệu đồng; Đảm bảo tài chính thực hiện chiến lược quốc gia chấm dứt dịch bệnh AIDS vào năm 2030 trên địa bàn tỉnh Lạng Sơn giai đoạn 2021-2025 theo Kế hoạch số 183/KH-UBND ngày 18/11/2020 của UBND tỉnh: 15 triệu đồng; Sửa chữa xe ô tô: 100 triệu đồng.</t>
  </si>
  <si>
    <t>Tổ chức Tết sum vầy cho công nhân lao động có hoàn cảnh khó khăn nhân dịp Tết Nguyên Đán, Tổ chức hoạt động tuyên truyền nhân dịp “Tháng công nhân”: 100 triệu đồng; Giám sát theo Quyết định số 217-QĐ/TW của Bộ Chính trị: 20 triệu đồng; Đảm bảo tài chính thực hiện chiến lược quốc gia chấm dứt dịch bệnh AIDS vào năm 2030 trên địa bàn tỉnh Lạng Sơn giai đoạn 2021-2025 theo Kế hoạch số 183/KH-UBND ngày 18/11/2020 của UBND tỉnh: 15 triệu đồng; Hỗ trợ tổ chức Đại hội đại biểu công đoàn tỉnh Lạng Sơn Khóa XVII nhiệm kỳ 2023-2028: 200 triệu đồng; Tổ chức triển khai thực hiện phong trào xây dựng "Cơ quan đạt chuẩn văn hoá", "Đơn vị đạt chuẩn văn hoá", "Doanh nghiệp đạt chuẩn văn hoá" năm 2023 theo Kế hoạch 37/KH-UBND ngày 21/02/2022 của UBND tỉnh: 90 triệu đồng.</t>
  </si>
  <si>
    <t>Hoạt động chuyên môn nhiệm vụ, phối hợp: 500 triệu đồng; Hỗ trợ Hội thẩm nhân dân nghiên cứu hồ sơ, xét xử theo Nghị quyết số 14/2021/NQ-HĐND ngày 17/7/2021 của HĐND tỉnh (dự kiến 200 vụ/năm): 216 triệu đồng.</t>
  </si>
  <si>
    <t>Hỗ trợ tiền công, chi khác LĐHĐ theo Nghị định số 68/2000/NĐ-CP, Nghị định số 161/2018/NĐ-CP: 316 triệu đồng; Quỹ thi đua khen thưởng: 25 triệu đồng; sửa chữa xe ô tô: 20 triệu đồng; tổ chức hoạt động Ngày Quốc tế hạnh phúc 20/3: 50 triệu đồng; tổ chức Ngày Gia đình Việt Nam 28/6: 50 triệu đồng; thực hiện Đề án 938 "Tuyên truyền giáo dục, vận động, hỗ trợ phụ nữ tham gia một số vấn đề xã hội" theo Kế hoạch số 192/KH-UBND ngày 21/11/2017 của UBND tỉnh: 130 triệu đồng; hỗ trợ phụ nữ khởi nghiệp theo Đề án 939 giai đoạn 2017-2025 theo Kế hoạch số 157/KH-UBND ngày 12/9/2017: 200 triệu đồng; đảm bảo tài chính thực hiện chiến lược quốc gia chấm dứt dịch bệnh AIDS vào năm 2030 trên địa bàn tỉnh Lạng Sơn giai đoạn 2021-2025 theo Kế hoạch số 183/KH-UBND ngày 18/11/2020 của UBND tỉnh: 15 triệu đồng; Chương trình trợ giúp phụ nữ khuyết tật giai đoạn 2021-2030 theo Kế hoạch số 179/KH-UBND ngày 09/11/2020 của UBND tỉnh: 67 triệu đồng; giám sát phản biện xã hội theo Quyết định số 217-QĐ/TW, 218-QĐ/TW của Bộ Chính trị: 50 triệu đồng; chương trình Phòng chống mua bán người giai đoạn 2021-2025 theo Kế hoạch số 61/KH-BCĐ ngày 18/4/2021 của Ban Chỉ đạo 138 tỉnh Lạng Sơn: 50 triệu đồng; giao lưu Chủ tịch Hội Liên hiệp phụ nữ cơ sở tiêu biểu cấp toàn quốc theo Kế hoạch số 77/KH-ĐCT ngày 26/7/2022 của Trung ương Hội Liên hiệp phụ nữ Việt Nam định hướng nhiệm vụ trọng tâm năm 2023: 37 triệu đồng; chuyên mục Phụ nữ Xứ Lạng: 35 triệu đồng.</t>
  </si>
  <si>
    <t>Hỗ trợ tiền công, chi khác LĐHĐ theo Nghị định số 68/2000/NĐ-CP, Nghị định số 161/2018/NĐ-CP: 212 triệu đồng; Quỹ thi đua khen thưởng: 10 triệu đồng; Ban chỉ đạo phòng chống thiên tai tỉnh: 400 triệu đồng; Tập huấn lái xuồng: 100 triệu đồng; Trang bị trang phục cho Ban chỉ đạo Phòng chống thiên tai: 50triệu đồng.</t>
  </si>
  <si>
    <t>Ủy ban MTTQ Việt Nam và các Tổ chức chính trị - Xã hội tỉnh</t>
  </si>
  <si>
    <t>Ủy ban MTTQ Việt Nam tỉnh Lạng Sơn</t>
  </si>
  <si>
    <t>Hội Nông dân tỉnh</t>
  </si>
  <si>
    <t>Hội Cựu chiến binh tỉnh</t>
  </si>
  <si>
    <t>Hội Làm vườn</t>
  </si>
  <si>
    <t>Hội Nạn nhân chất độc da cam Điôxin</t>
  </si>
  <si>
    <t>Chi cục Phát triển nông thôn</t>
  </si>
  <si>
    <t>Chi cục Quản lý chất lượng Nông lâm sản và Thủy sản</t>
  </si>
  <si>
    <t>Sự nghiệp nông nghiệp</t>
  </si>
  <si>
    <t>Văn phòng Đăng ký đất đai</t>
  </si>
  <si>
    <t>Chi cục Dân số Kế hoạch hoá gia đình</t>
  </si>
  <si>
    <t>Bệnh viện Phổi Lạng Sơn</t>
  </si>
  <si>
    <t>Bệnh viện Y học Cổ truyền</t>
  </si>
  <si>
    <t>Sở Lao động - Thương binh và Xã hội</t>
  </si>
  <si>
    <t xml:space="preserve">Cơ sở Cai nghiện ma túy </t>
  </si>
  <si>
    <t>Trung tâm Dịch vụ việc làm</t>
  </si>
  <si>
    <t>Trung tâm Điều dưỡng người có công</t>
  </si>
  <si>
    <t>Trung tâm Văn hóa nghệ thuật tỉnh</t>
  </si>
  <si>
    <t>Trung tâm Thông tin xúc tiến du lịch</t>
  </si>
  <si>
    <t>Trung tâm Phát hành phim và chiếu bóng</t>
  </si>
  <si>
    <t xml:space="preserve">Trung tâm Dịch vụ đấu giá tài sản </t>
  </si>
  <si>
    <t>Ban Dân tộc</t>
  </si>
  <si>
    <t>Trung tâm Phục vụ hành chính công</t>
  </si>
  <si>
    <t>Sự nghiệp khác (Trung tâm Dịch vụ thông tin đối ngoại)</t>
  </si>
  <si>
    <t>Trường Cao đẳng Nghề Lạng Sơn</t>
  </si>
  <si>
    <t>SỰ NGHIỆP PHÁT THANH TRUYỀN HÌNH</t>
  </si>
  <si>
    <t>Bộ chỉ huy Quân sự tỉnh</t>
  </si>
  <si>
    <t>Kho bạc Nhà nước tỉnh</t>
  </si>
  <si>
    <t>Cục Thống kê tỉnh</t>
  </si>
  <si>
    <t xml:space="preserve">Cục Thuế tỉnh </t>
  </si>
  <si>
    <t>Công đoàn viên chức tỉnh</t>
  </si>
  <si>
    <t>Cục Hải quan tỉnh</t>
  </si>
  <si>
    <t>Cục Quản lý thị trường tỉnh</t>
  </si>
  <si>
    <t>Trung tâm Kiểm dịch y tế quốc tế</t>
  </si>
  <si>
    <t xml:space="preserve">Ban Quản lý dự án đầu tư xây dựng </t>
  </si>
  <si>
    <t>Chương trình hành động phòng chống tội phạm buôn bán phụ nữ, trẻ em</t>
  </si>
  <si>
    <t>Chương trình phòng chống tội phạm và hỗ trợ công tác tình báo theo Nghị định số 162 của Chính phủ</t>
  </si>
  <si>
    <t>Tòa án nhân dân tỉnh</t>
  </si>
  <si>
    <t>Hội Bảo vệ quyền lợi người tiêu dùng</t>
  </si>
  <si>
    <t>Phụ cấp Phó chủ tịch Hội đặc thù: 54 triệu đồng ; Hỗ trợ hoạt động của Hội: 84 triệu đồng.</t>
  </si>
  <si>
    <t>Hỗ trợ hoạt động của Hội: 84 triệu đồng.</t>
  </si>
  <si>
    <t>Hỗ trợ tiền công, chi khác LĐHĐ theo Nghị định số 68/2000/NĐ-CP, Nghị định số 161/2018/NĐ-CP: 2.623 triệu đồng; Quỹ thi đua khen thưởng: 220 triệu đồng; Trang phục ngành Kiểm lâm: 978 triệu đồng; Trang bị 03 máy photocoppy (Tràng Định, Bắc Sơn,Văn Quan ): 180 triệu đồng; Sửa chữa xe ô tô: 180 triệu đồng.</t>
  </si>
  <si>
    <t>Phòng chống dịch bệnh gia súc, gia cầm và vắc xin Viêm da nổi cục: 6.100 triệu đồng; Cấp mã số vùng trồng: 455 triệu đồng; Phòng chống sâu bệnh thực vật: 1.100 triệu đồng; Chương trình Khuyến nông giai đoạn 2021-2025 theo Quyết định 2119/QĐ-UBND ngày 20/10/2020 của UBND tỉnh: 1.630 triệu đồng (trong đó bao gồm: Chương trình thông tin tuyên truyền khuyến nông phiên chợ: 117 triệu đồng; Tập huấn chuyên môn, nghiệp vụ cho cán bộ nông nghiệp, Khuyến nông viên, Công tác viên khuyến nông theo Quyết định 2119/QĐ-UBND ngày 20/10/2020 của UBND tỉnh: 93 triệu đồng; Phát triển mô hình chăn nuôi gà bản địa theo hướng an toàn sinh học gắn liền với liên kết tiêu thụ sản phẩm (3200 con tại huyện Cao Lộc và Lộc Bình): 495 triệu đồng; Mô hình cải tạo đàn bò bằng kỹ thuật TTNT (160 con, tại Chi Lăng, Bình Gia): 675 triệu đồng; Mô hình sản xuất lạc phục vụ chế biến (10ha, tại Bắc Sơn, Cao Lộc, Lộc Bình): 250 triệu đồng); Kế hoạch nâng cao chất lượng, năng lực, hiệu quả hoạt động của hợp tác xã nông nghiệp trên địa bàn tỉnh Lạng Sơn giai đoạn 2021-2025 theo Kế hoạch số 174/KH-UBND ngày 21/10/2020 của UBND tỉnh: 506 triệu đồng; Đề án đổi mới hình thức tổ chức sản xuất, liên kết theo chuỗi giá trị sản phẩm nông lâm nghiệp tỉnh Lạng Sơn giai đoạn 2020-2025 định hướng đến năm 2030 theo Quyết định số 1029/QĐ-UBND ngày 25/5/2021 của UBND tỉnh: 1.808 triệu đồng; Hoạt động kiểm tra, giám sát thanh tra chuyên ngành an toàn thực phẩm nông, lâm, thủy sản theo Kế hoạch số 57/KH-UBND ngày 06/3/2021 của UBND tỉnh: 770 triệu đồng; Kế hoạch triển khai chương trình quốc gia đảm bảo cấp nước an toàn khu vực nông thôn trên địa bàn tỉnh Lạng Sơn giai đoạn 2017-2025 theo Kế hoạch số 154/KH-UBND ngày 07/9/2017 của UBND tỉnh: 3.000 triệu đồng; Tập huấn truyền thông nâng cao năng lực cán bộ và người dân tham gia công tác nước sạch và vệ sinh môi trường: 177 triệu đồng.</t>
  </si>
  <si>
    <t>Quỹ Thi đua khen thưởng: 20 triệu đồng; Trang phục bảo vệ rừng theo Thông tư số 08/2018/TT-BNNPTNT ngày 28/3/2018: 49 triệu đồng; Tập huấn, tuyên truyền quản lý bảo vệ rừng và phòng cháy chữa cháy rừng Đặc dụng : 71 triệu đồng.</t>
  </si>
  <si>
    <t xml:space="preserve"> Dự án Xây dựng mô hình kinh doanh gỗ lớn, trồng rừng năng suất cao: 77 triệu đồng; Vườn ươm giống cây trồng lâm nghiệp, hoạt động lâm sinh (Rừng giống trồng mới, chuyển hóa, vườn giống;…): 715 triệu đồng; Cập nhật diễn biến tài nguyên rừng 2023: 3.000 triệu đồng; Trồng cây phân tán: 3.000 triệu đồng; Hội nghị tập huấn phòng chống chữa cháy rừng tại các xã: 360 triệu đồng; Tuyên truyền lưu động về phòng chống chữa cháy rừng: 138 triệu đồng; Diễn tập phòng chống cháy rừng: 180 triệu đồng; Khoanh nuôi tái sinh và trồng bổ sung: 15 triệu đồng; Sửa chữa biển báo tuyên truyền quản lý bảo vệ rừng, phòng cháy chữa cháy rừng (04 biển/04 xã) - Bắc Sơn; Sửa chữa biển báo cháy rừng (Bình Gia 50tr; Lộc Bình 50tr): 130 triệu đồng; Dự án trồng đào cảnh quan và phát triển đào thương phẩm theo Quyết định số 2167/QĐ-UBND ngày 31/10/2018 phê duyệt Đề án bảo tồn, phát triển giá trị cây Đào và tổ chức lễ hội hoa đào Xứ Lạng: 218 triệu đồng; Mô hình trồng cây dược liệu dưới tán rừng tại các thôn bản vùng đệm rừng đặc dụng Mẫu Sơn: 1.000 triệu đồng.</t>
  </si>
  <si>
    <t>Hỗ trợ tiền công, chi khác LĐHĐ theo Nghị định số 68/2000/NĐ-CP, Nghị định số 161/2018/NĐ-CP: 530 triệu đồng; Quỹ thi đua khen thưởng: 40 triệu đồng; Kiểm soát thủ tục hành chính: 25 triệu đồng; Chi từ nguồn thu lệ phí: 1.730 triệu đồng; Phục vụ Trạm quản lý vận tải: 440 triệu đồng; Đoàn ra, đoàn vào: 50 triệu đồng; Khen thưởng giao thông nông thôn: 40 triệu đồng; Xây dựng văn bản quy phạm pháp luật: 40 triệu đồng.</t>
  </si>
  <si>
    <t>Theo Quyết định số 1678/QĐ-UBND ngày 21/9/2016 của UBND tỉnh về việc giao quản lý, bảo trì đường tuần tra biên giới, giai đoạn 1 trên địa bàn tỉnh Lạng Sơn; Quyết định số 1759/QĐ-UBND ngày 03/11/2022 của UBND tỉnh Lạng Sơn về việc giao quản lý, bảo trì đường tuần tra biên giới, đoạn Mốc 999 đến Mốc 1017, thuộc địa bàn huyện Tràng Định, tỉnh Lạng Sơn</t>
  </si>
  <si>
    <t>Quỹ thi đua khen thưởng: 1.652 triệu đồng; Hỗ trợ theo Nghị định số 76/2019/NĐ-CP ngày 08/10/2019: 295 triệu đồng; Trợ cấp lần đầu: 15 triệu đồng.</t>
  </si>
  <si>
    <t xml:space="preserve">Kinh phí tổ chức kỳ thi tốt nghiệp 12: 4.509 triệu đồng; Thi học sinh giỏi: 3.106 triệu đồng; Thi Giáo viên dạy giỏi: 700 triệu đồng; Bồi dưỡng chính trị hè: 50triệu đồng; Các lớp bồi dưỡng chuyên môn nghiệp vụ của ngành theo Kế hoạch của Bộ GDĐT: 1.800 triệu đồng; Kinh phí tiền thưởng ngành giáo dục: 750triệu đồng; Văn phòng phẩm vật tư phăn phòng, xăng xe, công tác kiểm tra chuyên môn, chi trả tiền thêm giờ các Ban, Hội đồng, đoàn kiểm tra liên ngành các hoạt động giáo dục: 2.000 triệu đồng; Kinh phí tổ chức thi vào lớp 10: 3.138 triệu đồng; Hội thi theo kế hoạch của ngành, Bộ Giáo dục và Đào tạo: 1.000 triệu đồng; Tổ chức các Hội nghị của ngành Giáo dục: 1.750 triệu đồng; Một số hoạt động chuyên môn khác: 1.500 triệu đồng; Kinh phí đánh giá ngoài công tác kiểm định chất lượng giáo dục; công nhận trường chuẩn quốc gia: 900 triệu đồng; Trang bị thí nghiệm hộp hóa chất cho giáo viên và học sinh khối THPT: 1.300 triệu đồng; Kinh phí xử lý chống mối trường học: 1.500triệu đồng. </t>
  </si>
  <si>
    <t>Hỗ trợ tiền công LĐHĐ theo NĐ số 68/2000/NĐ-CP, NĐ số 161/2018/NĐ-CP của trường THPT Dân tộc nội trú tỉnh và các trường Khối THCS &amp; THPT Dân tộc nội trú: 2.822 triệu đồng; Đề án tài liệu giáo dục địa phương theo Kế hoạch số 163/KH-UBND ngày 04/10/2019 và Công văn số 1406/VP-KGVX ngày 06/4/2022 của Văn phòng UBND tỉnh: 290 triệu đồng; Đề án thí điểm triển khai giáo dục STEM tại một số trường phổ thông trên địa bàn tỉnh Lạng Sơn, đáp ứng chương trình giáo dục phổ thông mới theo Quyết định số 904/QĐ-UBND ngày 17/5/2019: 577 triệu đồng; Đề án dạy và học ngoại ngữ trong hệ thống giáo dục quốc dân giai đoạn 2018-2025 trên địa bàn tỉnh Lạng Sơn theo Kế hoạch số 76/KH-UBND ngày 07/4/2022 của UBND tỉnh: 930 triệu đồng; Đề án số 561/QĐ-UBND ngày 6/4/2020 Đào tạo, bồi dưỡng nhà giáo, cán bộ quản lý giáo dục mầm non, phổ thông đáp ứng yêu cầu đổi mới Chương trình giáo dục phổ thông và thực hiện Luật Giáo dục giai đoạn 2020-2025, Quyết định 1116/QĐ-UBND ngày 07/6/2021 của UBND tỉnh: 7.797 triệu đồng.</t>
  </si>
  <si>
    <t xml:space="preserve"> Hỗ trợ tiền công, chi khác LĐHĐ theo Nghị định số 68/2000/NĐ-CP, Nghị định số 161/2018/NĐ-CP: 143 triệu đồng; Quỹ thi đua khen thưởng: 15 triệu đồng; Trang phục thanh tra: 7 triệu đồng; Đề án Chăm sóc sức khoẻ người cao tuổi năm 2017-2025 theo Kế hoạch số 140/KH-UBND ngày 09/8/2017 của UBND tỉnh Lạng Sơn: 230 triệu đồng; Chương trình Truyền thông dân số tỉnh Lạng Sơn đến năm 2030 theo Kế hoạch số 87/KH-UBND ngày 25/5/2020 của UBND tỉnh: 120 triệu đồng; Chương trình Điều chỉnh mức sinh phù hợp các vùng, đối tượng đến năm 2030 tỉnh theo Kế hoạch số 165/KH-UBND ngày 05/10/2020 của UBND tỉnh: 148 triệu đồng; Chương trình Mở rộng tầm soát, chẩn đoán, điều trị một số bệnh, tật trước sinh và sơ sinh tỉnh Lạng Sơn đến năm 2030 trên địa bàn tỉnh Lạng Sơn theo Kế hoạch số 53/KH-UBND ngày 05/3/2021 của UBND tỉnh: 142 triệu đồng; Sửa chữa xe ô tô: 15 triệu đồng; Chương trình củng cố và phát triển hệ thống thông tin chuyên ngành dân số đến năm 2030 trên địa bàn tỉnh Lạng Sơn theo Kế hoạch số 218/KH-UBND ngày 10/11/2021 của UBND tỉnh: 63triệu đồng; Đề án Kiểm soát mất cân bằng giới tính khi sinh giai đoạn 2022 - 2025 trên địa bàn tỉnh Lạng Sơn theo Kế hoạch số 106/KH-UBND, ngày 04/05/2022 của UBND tỉnh: 200 triệu đồng; Chương trình Củng cố, phát triển và nâng cao chất lượng dịch vụ kế hoạch hóa gia đình giai đoạn 2021 - 2025, tầm nhìn đến năm 2030 trên địa bàn tỉnh theo Kế hoạch số 222/KH-UBND ngày 14/11/2021 của UBND tỉnh: 150 triệu đồng.</t>
  </si>
  <si>
    <t>Hỗ trợ tiền công, chi khác LĐHĐ theo Nghị định số 68/2000/NĐ-CP, Nghị định số 161/2018/NĐ-CP: 169 triệu đồng; Quỹ thi đua khen thưởng: 15 triệu đồng; Viết tin bài tuyên truyền về an toàn thực phẩm: 30 triệu đồng; Kiểm tra, giám sát an toàn vệ sinh thực phẩm: 150 triệu đồng; Bảo đảm an toàn thực phẩm và phòng, chống ngộ độc thực phẩm giai đoạn 2021-2025 trên địa bàn tỉnh theo Kế hoạch số 57/KH-UBND ngày 8/3/2021: 600 triệu đồng; Tăng cường sự lãnh đạo đối với công tác bảo đảm an toàn thực phẩm trong tình hình mới theo Kế hoạch số 71/KH-UBND ngày 04/4/2022 Thực hiện Chỉ thị số 10-CT/TU ngày 03/3/2022 của Ban Thường vụ Tỉnh ủy: 400 triệu đồng.</t>
  </si>
  <si>
    <t>Quỹ thi đua khen thưởng: 278 triệu đồng; Sửa chữa, bảo dưỡng trang thiết bị Y tế: 300 triệu đồng; Sửa chữa xe ô tô: 260 triệu đồng; Kinh phí Đề án "khám chữa bệnh từ xa" giai đoạn 2021-2025 theo Quyết định số 16/QĐ-UBND ngày 08/01/2021 của UBND tỉnh: 1.131 triệu đồng; Thực hiện chiến lược quốc gia phát triển ngành dược giai đoạn đến năm 2020 và tầm nhìn đến năm 2030 trên địa bàn tỉnh theo Kế hoạch số 142/KH-UBND ngày 09/12/2016: 500 triệu đồng; Thuê bao sử dụng phần mềm quản lý bệnh viện, kết nối liên thông dữ liệu BHYT-BYT theo Thông tư số 54/2017/TT-BYT ngày 29/12/2017 của Bộ y tế, Thông tư 46/2018/TT-BYT ngày 28/12/2018: 396 triệu đồng; Chương trình mục tiêu Y tế - Dân số theo Công văn 7852/BTC-HCSN ngày 08/8/2022 của Bộ tài chính về việc hướng dẫn định mức chi các nhiệm vụ thuộc CTMT y tế dân số chuyển thành nhiệm vụ chi thường xuyên: 900 triệu đồng (Giảm trừ tiền lương của người làm việc hưởng lương từ nguồn thu sự nghiệp trong các đơn vị sự nghiệp công lập tự bảo đảm một phần chi thường xuyên theo Quyết định 1053/QĐ-UBND ngày 22/6/2022 của UBND tỉnh và giảm trừ chi phí tiền lương kết cấu trong giá dịch vụ y tế năm 2023: 8.426 triệu đồng).</t>
  </si>
  <si>
    <t>Chương trình chăm sóc và nâng cao sức khỏe người lao động, phòng chống bệnh nghề nghiệp trên địa bàn tỉnh Lạng Sơn giai đoạn 2020-2030 theo Kế hoạch 134/KH-UBND ngày 10/8/2020 của UBND tỉnh: 197 triệu đồng; Ứng phó với biến đổi khí hậu của ngành y tế theo Kế hoạch số 73/KH-UBND ngày 23/4/2020 của UBND tỉnh: 157 triệu đồng; Lắp đặt hệ thống báo cháy tự động, hệ thống đèn chiếu sáng sự cố đèn chỉ dẫn thoát nạn nhà làm việc 6 tầng Trung tâm Kiểm soát bệnh tật (Bệnh viện đa khoa cũ): 250 triệu đồng; Duy trì thành quả các hoạt động thuộc Chương trình mục tiêu Y tế - Dân số theo Công văn số 5925/BYT-KH-TC ngày 23/7/2021 về việc chuyển nội dung nhiệm vụ của Chương trình mục tiêu Y tế - Dân số giai đoạn 2016-2020 thành nhiệm vụ thường xuyên của địa phương và Công văn số 7892/BTC-HCSN ngày 08/8/2022: 720 triệu đồng; Triển khai xây dựng và ban hành quy chuẩn kỹ thuật địa phươngvề chất lượng nước sạch sử dụng cho mục đích sinh hoạt trên địa bàn tỉnh Lạng Sơn theo Kế hoạch số 170/KH-UBND ngày 02/8/2022 của UBND tỉnh: 1.125 triệu đồng; Bảo dưỡng trang thiết bị y tế: 85 triệu đồng; Trang bị 01 máy vi tính và 01 máy in: 20 triệu đồng.</t>
  </si>
  <si>
    <t xml:space="preserve">Mua hóa chất, chất chuẩn, mẫu thuốc để kiểm nghiệm, dụng cụ thí nghiệm, vật tư hàng hóa, phí thử nghiệm thành thạo, duy trì hệ thống phòng thử nghiệm ISO/IEC 17025 để phục vụ cho công tác kiểm nghiệm: 450 triệu đồng; Sửa chữa, hiệu chỉnh các trang thiết bị (định kỳ hàng năm) do Viện Kiểm nghiệm thuốc Trung ương thực hiện, đánh giá GLP: 200 triệu đồng; Sửa chữa, bảo dưỡng trang thiết bị giám định y khoa: 30 triệu đồng; Trang bị 02 bộ máy vi tính, 01 máy in: 33 triệu đồng; Hỗ trợ Hội đồng giám định y khoa tỉnh Lạng Sơn: 10 triệu đồng; Hỗ trợ mua sắm trang phục dụng cụ chuyên môn bảo hộ, vât tư hóa chất ngành pháp y: 80 triệu đồng; Trang bị 02 máy điều hòa nhiệt độ 2 chiều trang bị cho phòng hội trường: 30 triệu đồng; </t>
  </si>
  <si>
    <t>Quỹ thi đua khen thưởng ngành y tế: 500 triệu đồng; Chi phí các đoàn đi chỉ đạo, hướng dẫn, kiểm tra, giám sát, đánh giá các hoạt động thuộc lĩnh vực Y tế -Dân số 06 tháng, 09 tháng, cả năm trên địa bàn tỉnh; Chi phí các đoàn đi đánh giá chấm điểm bộ tiêu chí Quốc gia về y tế xã, phúc tra chấm điểm bệnh viện hàng năm: 300 triệu đồng; Thuê tư vấn thẩm định giá, lập hồ sơ mời thầu, đánh giá hồ sơ dự thầu, thẩm định hồ sơ mời thầu, thẩm định kết quả lựa chọn nhà thầu, tổ chức đấu thầu tập trung thuốc, vật tư, trang thiết bị y tế: 400 triệu đồng.</t>
  </si>
  <si>
    <t>Hỗ trợ tiền công, chi khác LĐHĐ theo Nghị định số 68/2000/NĐ-CP, Nghị định số 161/2018/NĐ-CP: 466 triệu đồng; Quỹ thi đua khen thưởng: 80 triệu đồng; Kiểm soát thủ tục hành chính: 35 triệu đồng; Trang phục thanh tra: 30 triệu đồng; Trích từ số thu nộp thanh tra: 10 triệu đồng; Xây dựng văn bản quy phạm pháp luật: 30 triệu đồng; Sửa chữa xe ô tô: 60 triệu đồng; Tháng hành động An toàn vệ sinh lao động - Phòng chống cháy nổ theo Thông tư số 02/2017/TT-BLĐTBXH ngày 20/02/2017, Quyết định số 87/QĐ-TTg ngày 12/01/2016 của Thủ tướng Chính phủ về việc tổ chức Tháng hành động về an toàn, vệ sinh lao động: 50 triệu đồng; Phòng ngừa và ứng phó với bạo lực trên cơ sở giới năm 2022 theo Kế hoạch số 48/KH-UBND ngày 01/3/2021 của UBND tỉnh: 169 triệu đồng; Hỗ trợ đào tạo nghề nghiệp cho phạm nhân sắp chấp hành xong án phạt tù trong trại giam Công an tỉnh theo Quyết định số 1201/QĐ-UBND ngày 21/6/2021 của UBND tỉnh: 60 triệu đồng; Hoạt động Ban vì sự tiến bộ của phụ nữ theo Quyết định số 1855/QĐ-TTg ngày 11/11/2009 của Thủ tướng Chính phủ về thành lập, kiện toàn Ban vì sự tiến bộ của phụ nữ ở UBND cấp tỉnh, cấp huyện, cấp xã: 70 triệu đồng; Hội đồng thẩm định xét duyệt hồ sơ cho người nghỉ chờ việc trước ngày 1/1/1995 theo Quyết định số 1888/QĐ-UBND ngày 13/10/2017 của UBND tỉnh: 20 triệu đồng; Tuyên truyền định hướng, phân luồng Giáo dục nghề nghiệp Kế hoạch số 119/KH-UBND ngày 12/7/2019 của UBND tỉnh: 50 triệu đồng; Chương trình trợ giúp người khuyết tật giai đoạn 2021-2030 theo Kế hoạch số 179/KH-UBND ngày 09/11/2020 của UBND tỉnh: 80 triệu đồng; Thực hiện công tác Bình đẳng giới theo Kế hoạch số 120/KH-UBND ngày 26/5/2021 của UBND tỉnh: 184 triệu đồng; Đảm bảo tài chính thực hiện chiến lược quốc gia chấm dứt dịch bệnh AIDS vào năm 2030 trên địa bàn tỉnh Lạng Sơn giai đoạn 2021-2025 theo Kế hoạch số 183/KH-UBND ngày 18/11/2020 của UBND tỉnh: 15triệu đồng; Triển khai ứng dụng công nghệ thông tin về cung cấp dịch vụ cai nghiện và tư vấn về cai nghiện ma túy, dạy nghề, tạo việc làm cho người sau cai nghiện theo Kế hoạch số 80/KH-UBND ngày 09/4/2022 của UBND tỉnh về việc cai nghiện ma tuý và quản lý sau cai nghiện ma tuý giai đoạn 2022-2025 trên địa bàn tỉnh Lạng Sơn: 500 triệu đồng.</t>
  </si>
  <si>
    <t>Lập kế hoạch bảo vệ môi trường và vận hành lò đốt rác chuyên dụng theo Công văn số 926/STNMT-BVMT ngày 08/8/2018 của Sở Tài nguyên và Môi trường.</t>
  </si>
  <si>
    <t>Hỗ trợ tiền công LĐHĐ theo Nghị định số 68/2000/NĐ-CP, Nghị định số 161/2018/NĐ-CP: 3.260 triệu đồng; Quỹ thi đua khen thưởng: 35 triệu đồng; Phụ cấp trực theo Quyết định số 73/2011/QĐ-TTg ngày 28/12/2011 và TTLT số 10/2014/TTLT-BYT-BNV-BTC-BLĐTBXH ngày 26/12/2014: 849 triệu đồng; Cai nghiện ma túy bắt buộc theo Nghị định số 116/2021/NĐ-CP ngày 21/12/2021 của Chính phủ; Quyết định số 27/2017/QĐ-UBND ngày 30/8/2017 của UBND tỉnh Lạng Sơn: 5.600 triệu đồng; Cai nghiện ma túy tự nguyện theo Nghị quyết số 03/2019/NQ-HĐND ngày 12/7/2019 của HĐND tỉnh: 100 triệu đồng; Hỗ trợ chi phí điện duy trì khu điều trị nghiện các chất dạng thuốc phiện bằng thuốc Methadone: 48 triệu đồng; Hỗ trợ chi phí điện vận hành hệ thống bơm nước khu C: 96 triệu đồng; Xăng xe truy tìm học viên bỏ trốn: 10 triệu đồng; Mua thiết bị phòng cháy chữa cháy: 6 triệu đồng (trong đó, mua 02 túi sơ cứu loại A: 3 triệu đồng, mặt nạ lọc độc 05 chiếc: 3 triệu đồng); Mua vật dụng bếp học viên (khu C): 110 triệu đồng; Đồng phục y tế, bảo vệ: 100 triệu đồng.</t>
  </si>
  <si>
    <t>Hỗ trợ tiền công LĐHĐ theo Nghị định số 68/2000/NĐ-CP, Nghị định số 161/2018/NĐ-CP: 1.699 triệu đồng; 
Quỹ thi đua khen thưởng: 35 triệu đồng; Trợ cấp nuôi dưỡng theo quy định tại Quy định tại Khoản 2, Điều 2, Nghị quyết số 21/2021/NQ-HĐND ngày 09/12/2021 (100 đối tượng): 2.635 triệu đồng; Tư trang đồ dùng sinh hoạt, đồ dùng học tập cho đối tượng bảo trợ xã hội theo quy định tại Khoản 4 Điều 25 Nghị định số 20/2021/NĐ-CP ngày 15/03/2021: 400 triệu đồng; Kinh phí mai táng phí các đối tượng theo quy định tại Khoản 3 Điều 25 Nghị định số 20/NĐ-CP ngày 15/03/2021 của Chính phủ (04 đối tượng): 72 triệu đồng; Kinh phí mua thẻ Bảo hiểm y tế quy định tại Khoản 2 Điều 25 Nghị định số 20/2021/NĐ-CP ngày 15/03/2021 (100 đối tượng): 80 triệu đồng; Hỗ trợ cho đối tượng từ 16 tuổi trở lên không đi học THPT, học nghề, về với gia đình theo quy định tại Khoản 5 Điều 26 Nghị định số 20/2021/NĐ-CP ngày 15/03/2021 (04 đối tượng): 70 triệu đồng; Hỗ trợ chi phí khác phục vụ các đối tượng bảo trợ xã hội: 380 triệu đồng; Kinh phí tiếp nhận công dân Việt Nam xuất cảnh trái phép do Trung Quốc trao trả theo Nghị quyết số 08/2020/NQ-HĐND ngày 07/7/2020 của HĐND tỉnh: 200 triệu đồng; Kinh phí chăm sóc và phục hồi chức năng cho đối tượng tâm thần nặng cần chuyển tuyến (04 đối tượng): 143 triệu đồng; Kinh phí nuôi dưỡng đối tượng khẩn cấp theo khoản 2, khoản 4 Điều 24 Nghị định số 20/2021/NĐ-CP ngày 15/3/2021 của Chính phủ: 100 triệu đồng; Trang bị 02 tủ đựng tài liệu: 10 triệu đồng; Trang bị 02 máy tính: 30 triệu đồng; Trang bị 01 máy scan: 7 triệu đồng; Mua giường INOX và tủ sắt cho đối tượng: 165 triệu đồng.</t>
  </si>
  <si>
    <t xml:space="preserve">Tham gia các hoạt động trình diễn, kết nối cung cầu công nghệ, triển lãm giới thiệu quảng bá công nghệ và các sản phẩm khoa học và công nghệ: 100 triệu đồng; Nghiên cứu, triển khai ứng dụng thành tựu khoa học và công nghệ vào sản xuất, đời sống: 209 triệu đồng; Duy trì, quản lý trạm Quan trắc và cảnh báo phóng xạ môi trường: 166 triệu đồng; Thực hiện các hoạt động sự nghiệp và dịch vụ kỹ thuật về tiêu chuẩn đo lường chất lượng phục vụ yêu cầu quản lý nhà nước và nhu cầu của tổ chức, cá nhân: 469 triệu đồng; Trang bị bộ thiết bị chuẩn kiểm định phương tiện đo tiêu cự kính mắt để phục công tác hội chuẩn: 240 triệu đồng; Trang bị Bộ thiết bị hiệu chuẩn nồi hấp tiệt trùng, kèm đầu đo nhiệt để hiệu chuẩn tủ sấy lò nung (đã có thiết bị ghi đo nhiệt độ điện áp 30 kênh): 350 triệu đồng; Trang bị Bộ chưng cất hồi lưu tinh dầu hồi để phục vụ nhiệm vụ KHCN: 14,5 triệu đồng; Trang bị Bộ máy BOD5 6 chỗ: 77,5 triệu đồng. </t>
  </si>
  <si>
    <t>Hỗ trợ tiền công, chi khác LĐHĐ theo Nghị định số 68/2000/NĐ-CP, Nghị định số 161/2018/NĐ-CP: 348 triệu đồng; Quỹ thi đua khen thưởng: 45 triệu đồng; Kiểm soát thủ tục hành chính: 35 triệu đồng; Trang phục thanh tra: 32 triệu đồng; Trích từ các khoản thu hồi phát hiện qua công tác thanh tra: 120 triệu đồng; Hoạt động phục vụ công tác thu lệ phí: 50 triệu đồng; Hoạt động Ban chỉ đạo chính sách hỗ trợ hộ nghèo về nhà ở: 20 triệu đồng; Hoạt động Ban chỉ đạo chính sách hỗ trợ về nhà ở và thị trường bất động sản: 20 triệu đồng; Văn bản quy phạm pháp luật: 50 triệu đồng.; Sửa chữa xe ô tô: 50 triệu đồng; Trang bị 01 máy Photocopy: 90 triệu đồng; Chỉnh lý tài liệu lưu trữ tồn đọng: 614 triệu đồng.</t>
  </si>
  <si>
    <t xml:space="preserve"> Hỗ trợ tiền công, chi khác LĐHĐ theo Nghị định số 68/2000/NĐ-CP, Nghị định số 161/2018/NĐ-CP: 384 triệu đồng; Quỹ thi đua khen thưởng: 55 triệu đồng; Trang phục thanh tra: 20 triệu đồng; Kiểm soát thủ tục hành chính: 20 triệu đồng; Sửa chữa xe ô tô: 50 triệu đồng; Ban chỉ đạo phát triển Du lịch: 100 triệu đồng; Ban chỉ đạo toàn dân đoàn kết: 100 triệu đồng; Ban chỉ đạo thực hiện đề án tổng thể phát triển thể lực tầm vóc người Việt Nam trên địa bàn tỉnh Lạng Sơn: 50 triệu đồng; Ban chỉ đạo công tác gia đình: 50triệu đồng; Xây dựng văn bản quy phạm pháp luật: 50 triệu đồng; Đảm bảo tài chính thực hiện chiến lược quốc gia chấm dứt dịch bệnh AIDS vào năm 2030 trên địa bàn tỉnh Lạng Sơn giai đoạn 2021-2025 theo Kế hoạch số 183/KH-UBND ngày 18/11/2020 của UBND tỉnh: 15 triệu đồng; Xây dựng và phát triển Hệ thống du lịch thông minh tỉnh Lạng Sơn giai đoạn 2021 - 2025: 1.388 triệu đồng.</t>
  </si>
  <si>
    <t>Quỹ thi đua khen thưởng: 18 triệu đồng; Trang thiết bị phục vụ sinh hoạt vận động viên: 100 triệu đồng; Tuyển chọn vận động viên: 30 triệu đồng; Thuê huấn luyện viên và gửi huấn luyện viên, vận động viên đi tập huấn: 380 triệu đồng; Trang bị dụng cụ, trang phục tập luyện: 100 triệu đồng; Tiền điện, nước phục vụ sinh hoạt vận động viên: 130 triệu đồng.</t>
  </si>
  <si>
    <t>Quỹ thi đua khen thưởng: 50 triệu đồng; Hỗ trợ kinh phí sản xuất clip chuyên đề phóng sự phục vụ công tác tuyên truyền tại các điểm chiếu phim: 120 triệu đồng; Trợ giá chiếu bóng lưu động theo Quyết định số 1482/QĐ-UBND ngày 06/8/2019 của UBND tỉnh, đơn giá 4.127.000đ/ 01 buổi chiếu x 1.670 buổi chiếu/năm (trừ đi chi phí không đóng bảo hiểm cho các khoản phụ cấp lưu động, độc hại: 84 triệu đồng): 6.808 triệu đồng; Sửa chữa xe ô tô: 50 triệu đồng.</t>
  </si>
  <si>
    <t>Quỹ thi đua khen thưởng: 55 triệu đồng; Hỗ trợ tiền công, chi khác LĐHĐ theo Nghị định số 68/2000/NĐ-CP, Nghị định số 161/2018/NĐ-CP: 365 triệu đồng; Kiểm soát thủ tục hành chính: 35 triệu đồng; Trang phục thanh tra: 15 triệu đồng; Phổ biến giáo dục pháp luật theo Kế hoạch số 176/KH- UBND ngày 27/10/2020; Kế hoạch số 110/KH-UBND ngày 9/6/2017: 1.100 triệu đồng; Nhập liệu, điện tử hóa thông tin hộ tịch lịch sử trên địa bàn tỉnh Lạng Sơn theo Kế hoạch số 125/KH- UBND ngày 22/7/2021: 544 triệu đồng; Triển khai chiến lược phát triển lý lịch tư pháp trên địa bàn tỉnh theo Kế hoạch số 84/KH-UBND ngày 30/8/2013: 150 triệu đồng; Xây dựng văn bản quy phạm pháp luật: 20 triệu đồng; Kiểm tra, rà soát hệ thống hoá văn bản quy phạm pháp luật: 300 triệu đồng; Theo dõi thi hành pháp luật: 100 triệu đồng; Hội đồng tư vấn thẩm định, xây dựng văn bản quy phạm pháp luật: 110 triệu đồng; Triển khai Luật Hộ tịch: 200 triệu đồng; Hỗ trợ pháp lý cho doanh nghiệp: 200 triệu đồng; Triển khai công tác bổ trợ tư pháp: 160triệu đồng; Công tác hòa giải cơ sở: 550 triệu đồng; Xử lý vi phạm hành chính: 200 triệu đồng; Kinh phí Đề án “Tổ chức truyền thông chính sách có tác động lớn đến xã hội trong quá trình xây dựng văn bản quy phạm pháp luật giai đoạn 2022 -2027”: 70 triệu đồng; Chỉnh lý tài liệu lưu trữ tồn đọng (theo QĐ số 2160/QĐ- UBND ngày 3/11/2021): 561 triệu đồng; Biểu mẫu hộ tịch: 230 triệu đồng; Sửa chữa xe ô tô: 50 triệu đồng.</t>
  </si>
  <si>
    <t>Hỗ trợ tiền công, chi khác LĐHĐ theo Nghị định số 68/2000/NĐ-CP, Nghị định số 161/2018/NĐ-CP: 423 triệu đồng; Quỹ thi đua khen thưởng: 60 triệu đồng; Kiểm soát thủ tục hành chính: 35 triệu đồng; Trang phục thanh tra, trang phục ngành: 33 triệu đồng; Trích từ số thu nộp thanh tra: 100 triệu đồng; Hoạt động Ban chỉ đạo liên ngành Hội nhập quốc tế và kinh tế tỉnh Lạng Sơn, Hội đồng thẩm định và ban quản lý chương trình xúc tiến thương mại Lạng Sơn: 130 triệu đồng; Xây dựng văn bản quy phạm pháp luật: 30 triệu đồng; Phát triển thương mại điện tử tỉnh Lạng Sơn theo Quyết định số 1505/QĐ-UBND ngày 06/8/2020: 573 triệu đồng; Phát triển các cơ sở chế biến nông lâm sản trên địa bàn tỉnh đến năm 2025, tầm nhìn đến năm 2030: 252 triệu đồng; Truyền thông về tiêu dùng bền vững: 250 triệu đồng; Nghiên cứu đánh giá tác động của biến đổi khí hậu đến lĩnh vực sử dụng năng lượng tỉnh Lạng Sơn: 1.400 triệu đồng; Hỗ trợ điểm giới thiệu và bán sản phẩm OCOP liên kết với hoạt động du lịch trong tỉnh: 200 triệu đồng; Ngày quyền của người tiêu dùng Việt Nam ngày 15 tháng 3 hàng năm trên địa bàn tỉnh: 90 triệu đồng; Sửa chữa 02 xe ô tô: 100 triệu đồng.</t>
  </si>
  <si>
    <t>Hỗ trợ tiền công, chi khác LĐHĐ theo Nghị định số 68/2000/NĐ-CP, Nghị định số 161/2018/NĐ-CP: 512 triệu đồng; Quỹ thi đua khen thưởng: 70 triệu đồng; Sửa chữa xe ô tô: 60 triệu đồng; Kiểm soát thủ tục hành chính: 35 triệu đồng; Trang phục thanh tra: 34 triệu đồng; Trích từ số thu nộp thanh tra: 200 triệu đồng; Xây dựng văn bản quy phạm pháp luật: 200 triệu đồng; Xác định giá thu tiền sử dụng đất, định giá tài sản: 600 triệu đồng; Hỗ trợ công tác dự toán, quyết toán: 700 triệu đồng; Triển khai công tác Tabmis: 350 triệu đồng; Hệ thống quản lý tài sản tỉnh: 350 triệu đồng; Hỗ trợ hoạt động chuyên môn khác và bảo trì, bảo dưỡng hệ thống tài sản công: 1.500 triệu đồng; Hỗ trợ chi phí hoạt động của Hội đồng và Tổ chuyên viên giúp việc thẩm định Bảng giá đất của tỉnh: 200 triệu đồng.</t>
  </si>
  <si>
    <t xml:space="preserve">Quỹ thi đua khen thưởng: 10 triệu đồng; Hỗ trợ tiền công, chi khác LĐHĐ theo Nghị định số 68/2000/NĐ-CP, Nghị định số 161/2018/NĐ-CP: 139 triệu đồng; Kiểm soát thủ tục hành chính: 440 triệu đồng; Dịch vụ thu hộ qua ngân hàng (trừ từ kinh phí phục vụ công tác thu của các cơ quan có thủ tục hành chính có thu phí: Sở Xây dựng, Sở Tài nguyên và Môi trường, Sở Giao thông vận tải, Sở Kế hoạch và Đầu tư): 130 triệu đồng; Duy trì trang tin điện tử hành chính công: 50 triệu đồng; Hỗ trợ hoạt động thường xuyên (điện nước, văn phòng phẩm, làm thêm giờ, đồng phục,...): 900 triệu đồng; Vệ sinh trụ sở: 298 triệu đồng; Thuê dịch vụ bưu chính luân chuyển hồ sơ: 396 triệu đồng; Thuê dịch vụ bưu chính tiếp nhận và trả kết quả giải quyết TTHC tại Trung tâm: 116 triệu đồng; Tập huấn, học tập, tuyên truyền quy trình thực hiện thủ tục hành chính: 41 triệu đồng; Kinh phí nhận diên thương hiệu: 151 triệu đồng; Mua sắm tài sản, trang thiết bị (thay thế tài sản cũ, hỏng phục vụ hoạt động tại Trung tâm: 149 triệu đồng; Nâng cấp máy vi tính và đường truyền: 83 triệu đồng. </t>
  </si>
  <si>
    <t xml:space="preserve">Quỹ thi đua khen thưởng: 80 triệu đồng; Hỗ trợ tiền công, chi khác LĐHĐ theo Nghị định số 68/2000/NĐ-CP, Nghị định số 161/2018/NĐ-CP: 555 triệu đồng; Trang phục thanh tra: 14 triệu đồng; Kiểm soát thủ tục hành chính: 25 triệu đồng; Ban chỉ đạo, Tổ thư ký giúp việc Ban chỉ đạo cải cách hành chính: 200 triệu đồng; Tổ chuyên viên liên ngành thực hiện Nghị định 26/2015/NĐ-CP: 30 triệu đồng; Hội đồng nâng lương tỉnh: 20 triệu đồng; Ban chỉ đạo và Tổ Chuyên viên giúp việc triển khai thực hiện Nghị định số 108/2014/NĐ-CP ngày 20/11/2014 của Chính phủ: 90 triệu đồng; Ban chỉ đạo và Tổ chuyên viên giúp việc xây dựng đề án cải cách TTHC và sắp xếp lại tổ chức bộ máy; Ban chỉ đạo và Tổ chuyên viên giúp việc Ban chỉ đạo tiếp tục đổi mới hệ thống tổ chức và quản lý, nâng cao chất lượng và hiệu quả hoạt động của các đơn vị sự nghiệp công lập giai đoạn 2022-2025: 60 triệu đồng; Dự án "Hoàn thiện, hiện đại hóa hồ sơ, bản đồ địa giới hành chính và xây dựng cơ sở dữ liệu về địa giới hành chính các cấp tỉnh Lạng Sơn (DA 513): 160 triệu đồng; Đề án Đo lường sự hài lòng của người dân, tổ chức đối với sự phục vụ của cơ quan hành chính nhà nước giai đoạn 2022-2025 trên địa bàn tỉnh Lạng Sơn: 140triệu đồng; Xây dựng văn bản quy phạm pháp luật: 100 triệu đồng; Hoạt động công tác Tôn giáo: 200 triệu đồng; Tổ chức thi tuyển xét tuyển, kiểm tra sát hạch tiếp nhận vào làm công chức; công tác kiểm tra tuyển dụng viên chức; nâng ngạch công chức, thăng hạng chức danh nghề nghiệp viên chức: 600triệu đồng; Tổ chức hội nghị đối thoại với thanh niên năm 2022: 10 triệu đồng; Sửa chữa xe ô tô: 70 triệu đồng. </t>
  </si>
  <si>
    <t>Xây dựng App Lạng Sơn Smart (Công chức số Xứ Lạng) phục vụ công tác chỉ đạo, điều hành của chính quyền và kênh tương tác với người dân (Thuê dịch vụ) theo Kế hoạch 206/KH-UBND ngày 20/10/2021: 2.000 triệu đồng; Xây dựng trợ lý ảo hỗ trợ cho cán bộ, công chức, viên chức trong môi trường làm việc (Thuê dịch vụ) theo Kế hoạch 206/KH-UBND ngày 20/10/2021: 2.000 triệu đồng; Đầu tư xây dựng Trung tâm thông tin chỉ đạo, điều hành UBND tỉnh (IOC) (Thuê dịch vụ) theo Kế hoạch 206/KH-UBND ngày 20/10/2021: 500 triệu đồng; Xây dựng Nền tảng trợ lý ảo giải pháp tự động về thủ tục hành chính (người dân và doanh nghiệp) (Thuê dịch vụ) theo Kế hoạch 206/KH-UBND ngày 20/10/2021: 2.000 triệu đồng; Xây dựng App Lạng Sơn Smart (Công dân số Xứ Lạng) cho người dân và doanh nghiệp tương tác với chính quyền (Thuê dịch vụ) theo Kế hoạch 206/KH-UBND ngày 20/10/2021: 2.000 triệu đồng; Đầu tư trang thiết bị cơ sở hạ tầng và Nền tảng ứng dụng cửa khẩu số của tỉnh (Thuê dịch vụ) theo Kế hoạch 206/KH-UBND ngày 20/10/2021: 3.200 triệu đồng; Phát động cuộc thi viết thư UPU hàng năm trên địa bàn tỉnh Lạng Sơn và tuyên truyền cuộc thi UPU hàng năm trên địa bàn tỉnh: 30 triệu đồng; Đầu tư mới và chuyển đổi, nâng cấp đài truyền thanh FM sang đài truyền thanh IP: 10.000 triệu đồng; Xây dựng hệ thống thông tin nguồn cấp tỉnh: 2.000 triệu đồng; Xây dựng nền tảng số quản lý giá kết nối với Cổng khai thác dữ liệu chuyển đổi số (quản lý giá vật liệu, vật tư, giá đất…) theo Kế hoạch 206/KH-UBND ngày 20/10/2021: 3.000 triệu đồng; Xây dựng, nâng cấp CSDL quản lý dự toán, và điều hành quyết toán thu chi ngân sách trên nền tảng di động theo Kế hoạch 206/KH-UBND ngày 20/10/2021: 5.000 triệu đồng; Sử dụng phần mềm chuyển đổi văn bản thành giọng nói trên nền công nghệ AI vào hoạt động phát thanh trên địa bàn tỉnh (thuê dịch vụ) theo Công văn số 4913/VP-KGVX ngày 12/1/2020 của UBND tỉnh: 240 triệu đồng; Các hoạt động thông tin truyền thông khác (thuê phần mềm cập nhật theo dõi thống kê tin về tỉnh Lạng Sơn, cước viễn thông, dịch vụ hội nghị truyền hình trực tuyến, các hoạt động khác): 600 triệu đồng.</t>
  </si>
  <si>
    <t>Tiền điện Trạm phát sóng 39D Bắc Sơn: 300 triệu đồng; Tiền điện Trạm phát sóng Mẫu Sơn: 500 triệu đồng; Phí sử dụng tần số và trang miền: 100 triệu đồng; Thuê dịch vụ truyền dẫn phát sóng kênh Truyền hình Lạng Sơn tiêu chuẩn HD trên vệ tinh giai đoạn 2021-2025: 3.900 triệu đồng; Thuê dịch vụ truyền hình quốc gia VTVCab: 670 triệu đồng; Trang thông tin điện tử và phát triển hệ thống truyền hình Internet của Đài Phát thanh và Truyền hình Lạng Sơn theo Quyết định số 1608/QĐ-UBND ngày 20/8/2020 của UBND tỉnh: 1.160 triệu đồng; Hỗ trợ trang phục và chuyên môn cho phát thanh viên: 180 triệu đồng; Mua bản quyền phim truyện: 500 triệu đồng; Mua bản quyền bản tin tiếng Trung: 96 triệu đồng; Mua bản quyền Chương trình thời sự tổng hợp: 144 triệu đồng; Dịch vụ truyền dẫn phát sóng kênh LSTV tiêu chuẩn HD (chuyển sang số hóa mặt đất theo lộ trình của Chính phủ): 800 triệu đồng.</t>
  </si>
  <si>
    <t>Khen thưởng phong trào bảo vệ An ninh Tổ quốc, khen thưởng cơ quan, doanh nghiệp an toàn: 270 triệu đồng; Thực hiện nghiệp vụ chuyên môn về Phòng chống khủng bố và hỗ trợ giải quyết khiếu kiện: 300 triệu đồng; Hỗ trợ thực hiện công tác cảnh vệ: 100 triệu đồng; Thực hiện Bảo vệ bí mật nhà nước: 150 triệu đồng; Hỗ trợ các Ban chỉ đạo (Nhân quyền, Phòng chống Khủng bố....): 200 triệu đồng; Bồi dưỡng huấn luyện nghiệp vụ bảo vệ dân phố: 230 triệu đồng; Trang phục bảo vệ dân phố: 1.000 triệu đồng; Trang phục Công an xã: 2.000 triệu đồng; Thực hiện Chỉ thị số 01/CT-TTg ngày 03/5/2018 và Chỉ thị số 01/CT-TTg ngày 04/10/2019 của Thủ tướng Chính phủ: 500 triệu đồng; Thực hiện Kế hoạch số 149/KH-UBND ngày 20/8/2020 của UBND tỉnh: 300 triệu đồng; Thực hiện Nghị định số 03/2019/NĐ-CP ngày 05/9/2019 của Chính phủ: 100 triệu đồng; Hỗ trợ công tác phòng chống sai phạm về pháo: 900 triệu đồng; Phát hành bản tin Công an xã và bảo vệ dân phố: 200 triệu đồng; Trang bị phương tiện chữa cháy, cứu nạn cứu hộ: 300 triệu đồng; Huấn luyện nghiệp vụ chữa cháy và cứu nạn cứu hộ; Hội thao diễn tập phương án chữa cháy và cứu nạn cứu hộ: 300 triệu đồng; Phát huy vai trò người uy tín theo Chỉ thị 06/2008/CT – TTg ngày 01/2/2008 của Thủ tướng Chính phủ về phát huy vai trò của người có uy tín trong đồng bào dân tộc thiểu số trong sự nghiệp xây dựng và bảo vệ Tổ quốc: 100 triệu đồng; Hỗ trợ Tiểu ban An toàn an ninh mạng: 150 triệu đồng; Đảm bảo công tác an ninh trật tự địa phương: 6.208 triệu đồng; Kinh phí diễn tập phòng thủ năm 2023: 1.500 triệu đồng; Đảm bảo tài chính thực hiện chiến lược quốc gia chấm dứt dịch bệnh AIDS vào năm 2030 trên địa bàn tỉnh Lạng Sơn giai đoạn 2021-2025 theo Kế hoạch số 183/KH-UBND ngày 18/11/2020 của UBND tỉnh: 15 triệu đồng.</t>
  </si>
  <si>
    <t xml:space="preserve">   Thuyết minh dự toán chi tiết</t>
  </si>
  <si>
    <t xml:space="preserve">Hỗ trợ tiền công, chi khác LĐHĐ theo Nghị định số 68/2000/NĐ-CP, Nghị định số 161/2018/NĐ-CP: 3.058 triệu đồng; Quỹ thi đua khen thưởng: 400 triệu đồng; Sửa chữa ô tô: 675 triệu đồng; sửa chữa một số hạng mục trụ sở Tỉnh ủy và lợp mái tôn phòng làm việc cơ yếu: 588 triệu đồng; Kinh phí thực hiện nhiệm vụ được giao theo lĩnh vực gồm: Hoạt động cấp ủy: 7.424 triệu đồng; Văn phòng Tỉnh ủy: 1.306 triệu đồng; Ban Tổ chức Tỉnh ủy: 9.732 triệu đồng; Ủy ban Kiểm tra Tỉnh ủy: 610 triệu đồng; Ban Tuyên giáo Tỉnh ủy: 4.455 triệu đồng; Ban Dân vận Tỉnh ủy: 702 triệu đồng; Ban Nội chính Tỉnh ủy: 1.207 triệu đồng; Đảng ủy Khối các cơ quan tỉnh: 1.158 triệu đồng; Báo Lạng Sơn: 3.377 triệu đồng; Hoạt động Ban bảo vệ chăm sóc sức khỏe cán bộ tỉnh theo Quy định số 1859-QĐ/TU ngày 21/6/2019 của Tỉnh ủy Lạng Sơn: 6.500 triệu đồng; Kinh phí thực hiện các nhiệm vụ khối đảng phát sinh đột xuất trong năm: 3.000 triệu đồng; </t>
  </si>
  <si>
    <t>Hỗ trợ tiền công, chi khác LĐHĐ theo Nghị định số 68/2000/NĐ-CP, Nghị định số 161/2018/NĐ-CP: 278 triệu đồng; Quỹ thi đua khen thưởng: 36 triệu đồng; Ban Chỉ đạo cuộc vận động người Việt Nam ưu tiên dùng hàng Việt Nam: 100 triệu đồng; nhiệm vụ, giải pháp nâng cao chỉ số hiệu quả quản trị và hành chính công cấp tỉnh theo Kế hoạch số 143/KH-UBND ngày 24/06/2021 của UBND tỉnh: 50 triệu đồng; kinh phí chuyên mục đại đoàn kết trên báo Lạng Sơn và trên Đài Truyền hình: 60 triệu đồng; khen thưởng các cơ sở: 152 triệu đồng; phụ cấp ủy viên Ủy ban MTTQ tỉnh: 91 triệu đồng; công tác đối ngoại nhân dân: 50 triệu đồng; Cuộc vân động Toàn dân đoàn kết xây dựng nông thôn mới, đô thị văn minh: 220 triệu đồng; công tác thanh tra nhân dân: 50 triệu đồng; hoạt động của Hội đồng tư vấn thuộc Ủy ban MTTQ các cấp: 150 triệu đồng; thăm hỏi chúc mừng theo Quyết định số 76/2013/QĐ-TTg ngày 12/12/2013, Quyết định số 28/2015/QĐ-UBND ngày 31/08/2015: 250 triệu đồng; hoạt động dân tộc, tôn giáo (Quyết định số: 16/2005/QĐ- TTg ngày 21/01/2005 của Thủ tướng Chính phủ, Luật Tín ngưỡng tôn giáo số 02/2016/QH14): 80 triệu đồng; hoạt động chuyên môn: 500 triệu đồng; giám sát phản biện xã hội: 150 triệu đồng; giám sát đầu tư cộng đồng: 100 triệu đồng; đảm bảo tài chính thực hiện chiến lược quốc gia chấm dứt dịch bệnh AIDS vào năm 2030 trên địa bàn tỉnh Lạng Sơn giai đoạn 2021-2025 theo Kế hoạch số 183/KH-UBND ngày 18/11/2020 của UBND tỉnh: 15 triệu đồng.</t>
  </si>
  <si>
    <t>Hỗ trợ tiền công, chi khác LĐHĐ theo Nghị định số 68/2000/NĐ-CP, Nghị định số 161/2018/NĐ-CP: 336 triệu đồng; Quỹ thi đua khen thưởng: 32 triệu đồng; Lễ thắp nến tri ân ngày thương binh liệt sỹ 27/7: 50 triệu đồng; Chương trình “Đêm hội trăng rằm” cấp tỉnh: 100 triệu đồng; Tổ chức Giải Bóng đá thanh niên tỉnh Lạng Sơn: 86 triệu đồng; Hoạt động thanh niên chiến dịch hè: 100 triệu đồng; Kinh phí giám sát phản biện xã hội: 14 triệu đồng; Hoạt động chuyên môn Đoàn thanh niên tỉnh theo Công văn số 10374-CV/TWĐTN-VP, ngày 29/8/2022 của Trung ương Đoàn về định hướng công tác đoàn và phong trào thanh thiếu nhi năm 2023: 700 triệu đồng; Hoạt động chuyên môn Đoàn thanh niên tỉnh theo Kế hoạch số 407-KH/TWĐTN-BTG, ngày 30/7/2021 của Trung ương Đoàn về Thực hiện Kết luận số 01-KL/TW ngày 18/5/2021 của Bộ Chính trị về tiếp tục thực hiện Chỉ thị số 05-CT/TW ngày 15/5/2016 của Bộ Chính trị khóa XII về “Đẩy mạnh học tập và làm theo tư tưởng, đạo đức, phong cách Hồ Chí Minh" giai đoạn 2021 - 2026; Bộ Tiêu chí Trung ương và Hội Sinh viên hằng năm: 500 triệu đồng; Sửa chữa 02 xe ô tô: 70 triệu đồng; Trang bị 01 máy photocopy: 70 triệu đồng; Đảm bảo tài chính thực hiện chiến lược quốc gia chấm dứt dịch bệnh AIDS vào năm 2030 trên địa bàn tỉnh Lạng Sơn giai đoạn 2021-2025 theo Kế hoạch số 183/KH-UBND ngày 18/11/2020 của UBND tỉnh: 15 triệu đồng.</t>
  </si>
  <si>
    <t>Quỹ thi đua khen thưởng: 12 triệu đồng; Liên hoan Tiếng kèn Đội ta khu vực phía Bắc theo công văn số 143-CV/HĐĐTW ngày 28/9/2022 của Hội đồng Đội Trung ương về việc định hướng hoạt động các Cung, Nhà Thiếu nhi, Trung tâm hoạt động thanh thiếu nhi năm 2023: 90 triệu đồng; Liên hoan các Cung, Trung tâm Thanh thiếu niên tại tỉnh Thanh Hóa theo Công văn số 62/TTNTW ngày 25/8/2022 của Trung tâm TTN Trung ương về dự kiến một số hoạt động phối hợp giữa các Cung, Trung tâm TTN năm 2023: 110 triệu đồng; Liên hoan "Nghệ thuật thiếu nhi" khu vực phía Bắc tại Quảng Trị theo công văn số 143-CV/HĐĐTW ngày 28/9/2022 của Hội đồng Đội Trung ương về việc định hướng hoạt động các Cung, Nhà Thiếu nhi, Trung tâm hoạt động thanh thiếu nhi năm 2023: 110 triệu đồng; Xuất bản cuốn bản tin “Măng non Xứ Lạng”: 70 triệu đồng; Liên hoan Đội tuyên truyền măng non Thiếu nhi với an toàn giao thông tỉnh Lạng Sơn: 50 triệu đồng; Tổ chức Giải bơi Đường đua xanh thiếu nhi tỉnh Lạng Sơn lần thứ I năm 2023: 60 triệu đồng; Tổ chức Trại huấn luyện Chỉ huy tỉnh Lạng Sơn lần thứ I năm 2023: 90 triệu đồng.</t>
  </si>
  <si>
    <t>Hỗ trợ tiền công, chi khác LĐHĐ theo Nghị định số 68/2000/NĐ-CP, Nghị định số 161/2018/NĐ-CP: 106 triệu đồng; Quỹ thi đua khen thưởng: 16 triệu đồng; Sửa chữa ô tô: 80 triệu đồng; Gặp mặt đưa đón đoàn Cựu chiến binh, Cựu thanh niên xung phong bị nhiễm chất độc da cam đi nghỉ điều dưỡng theo chế độ tại Làng Hữu Nghị Cựu chiến binh Việt Nam: 25 triệu đồng; Giám sát phản biện xã hội theo Nghị quyết số 12/2018/NQ-HĐND ngày 30/01/2018 của Hội đồng nhân dân tỉnh: 26 triệu đồng; Hội nghị sơ kết 2 năm thực hiện kết luận số 01KL-TW về đẩy mạnh việc học tập và làm theo tư tưởng đạo đức phong cách Hồ Chí Minh: 24 triệu đồng; Hội nghị bồi dưỡng cán bộ chủ chốt Đại hội khóa VII, nhiệm kỳ 2022 - 2027: 31 triệu đồng; Tổng kết 5 năm chương trình phối hợp số 02 và ký kết và phát động thực hiện chương trình số 03 về thực hiện Cuộc vận động " Cựu chiến binh tham gia giữ gìn trật tự ATGT" và xây dựng văn hóa giao thông giai đoạn 2018 - 2023: 25 triệu đồng; Trang bị bàn ghế hội trường: 80 triệu đồng; Hỗ trợ hoạt động thực hiện nhiệm vụ công tác Cựu chiến binh: 70 triệu đồng</t>
  </si>
  <si>
    <t>Kinh phí in xuất bản sách (10 đầu sách): 300 triệu đồng; Hỗ trợ hoạt động triển lãm mỹ thuật, nhiếp ảnh: 100 triệu đồng; Trợ giá in giá bán Tạp chí Văn nghệ Xứ lạng: 384 triệu đồng; Cước gửi tạp chí: 18 triệu đồng.</t>
  </si>
  <si>
    <t>Hỗ trợ tiền công LĐHĐ theo Nghị định số 68/2000/NĐ-CP, Nghị định số 161/2018/NĐ-CP: 54 triệu đồng; Quỹ thi đua khen thưởng: 5 triệu đồng; Sửa chữa xe ô tô: 30 triệu đồng; Trang bị bộ bàn ghế họp, tiếp khách: 10 triệu đồng; Trang bị tủ đựng tài liệu kế toán, phòng phó chủ tịch: 10 triệu đồng; Trang bị máy in phòng kế toán: 5 triệu đồng</t>
  </si>
  <si>
    <t>Phụ cấp Chủ tịch, Phó Chủ tịch Hội đặc thù:126 triệu đồng; Hỗ trợ hoạt động của Hội: 140 triệu đồng; Mua tạp chí Da cam phục vụ công tác tuyên truyền: 35 triệu đồng.</t>
  </si>
  <si>
    <t>Phụ cấp Chủ tịch, Phó Chủ tịch Hội đặc thù: 126 triệu đồng; Hỗ trợ hoạt động của Hội: 112 triệu đồng.</t>
  </si>
  <si>
    <t>Phụ cấp Chủ tịch, Phó chủ tịch Hội đặc thù: 126 triệu đồng; Hỗ trợ hoạt động của Hội: 140 triệu đồng.</t>
  </si>
  <si>
    <t>Trường THPT Chi Lăng</t>
  </si>
  <si>
    <t>Đơn vị thực hiện ghi thu, ghi chi NSNN theo phân cấp</t>
  </si>
  <si>
    <t xml:space="preserve"> - Số liệu tại cột 11 không thể hiện số giảm cấp và theo QĐ 1053/QĐ-UBND ngày 22/6/2022 của UBND tỉnh tại biểu Cơ sở tính biểu 3 là 8.426 triệu đồng;</t>
  </si>
  <si>
    <t xml:space="preserve"> - Số liệu tại cột 10  nguồn tiết kiệm để thực hiện cải cách tiền lương 35% từ số thu được để lại (Bệnh viện Y học Cổ truyền) là 863 triệu đồng; tuy nhiên tại biểu 3 Cơ sở tính đã giảm trừ 706 triệu đồng chênh lệch theo Quyết định số 1053/QĐ-UBND ngày 22/6/2022 của UBND tỉnh về việc giao số lượng người làm việc hưởng lương từ nguồn thu sự nghiệp trong các đơn vị sự nghiệp công lập tự bảo đảm một phần chi thường xuyên của tỉnh Lạng Sơn.</t>
  </si>
  <si>
    <t>Nhà đầu tư</t>
  </si>
  <si>
    <t>Ban Quản lý dự án đầu tư xây dựng tỉnh</t>
  </si>
  <si>
    <t xml:space="preserve">KHU VỰC DOANH NGHIỆP CÓ VỐN ĐẦU TƯ NƯỚC NGOÀI </t>
  </si>
  <si>
    <t>- Kinh phí hỗ trợ hàng tháng đối với Đảng viên được tặng huy hiệu 50 năm tuổi Đảng trở lên theo Nghị quyết số 08/2021/NQ-HĐND ngày 17/7/2021 của HĐND tỉnh</t>
  </si>
  <si>
    <t>- Kinh phí trích 10% nguồn thu tiền thuê đất về Quỹ Phát triển đất tỉnh theo Nghị quyết số 36/NQ-HĐND ngày 02/5/2019 của HĐND tỉnh</t>
  </si>
  <si>
    <t>+ Sở Lao động - Thương binh và Xã hội (Chi nhánh Ngân hàng Chính sách xã hội tỉnh Lạng Sơn)</t>
  </si>
  <si>
    <t>Chương trình mục tiêu quốc gia phát triển kinh tế xã hội vùng đồng bào dân tộc thiểu số và miền núi</t>
  </si>
  <si>
    <t>Chương trình mục tiêu quốc gia giảm nghèo bền vững</t>
  </si>
  <si>
    <t>Chương trình mục tiêu quốc gia xây dựng nông thôn mới</t>
  </si>
  <si>
    <t>Tiết kiệm 10% chi TX để lại 
ngân sách tỉnh</t>
  </si>
  <si>
    <t>Dự toán chi các chương trình, kế hoạch, đề án, chính sách, chế độ, nhiệm vụ đặc thù và các nhiệm vụ chuyên môn được giao cho các lĩnh vực, ngành</t>
  </si>
  <si>
    <t>Trung tâm Khuyến công và xúc tiến thương mại</t>
  </si>
  <si>
    <t>Bệnh viện Phổi</t>
  </si>
  <si>
    <t>Trung tâm Kiểm nghiệm dược phẩm và mỹ phẩm</t>
  </si>
  <si>
    <t>Trung tâm Giám định y khoa</t>
  </si>
  <si>
    <t>Trung tâm Pháp y</t>
  </si>
  <si>
    <t>Trung tâm Kiểm dịch y tế quốc tế (Đơn vị SNCL tự đảm bảo chi thường xuyên và chi đầu tư)</t>
  </si>
  <si>
    <t xml:space="preserve"> Trưởng Cao đẳng Y tế Lạng Sơn</t>
  </si>
  <si>
    <r>
      <t>Phòng Công chứng số 1</t>
    </r>
    <r>
      <rPr>
        <sz val="10"/>
        <rFont val="Times New Roman"/>
        <family val="1"/>
        <charset val="163"/>
      </rPr>
      <t xml:space="preserve"> </t>
    </r>
    <r>
      <rPr>
        <i/>
        <sz val="10"/>
        <rFont val="Times New Roman"/>
        <family val="1"/>
        <charset val="163"/>
      </rPr>
      <t>(Đơn vị SNCL tự đảm bảo chi thường xuyên)</t>
    </r>
  </si>
  <si>
    <t>Ban QLDA đầu tư xây dựng các công trình Nông nghiệp và PTNT</t>
  </si>
  <si>
    <t>Trường Chính trị Hoàng văn Thụ</t>
  </si>
  <si>
    <t>Tổng thu dự kiến: 2.045 triệu đồng. Trong đó: Giao thu học phí : 50 triệu đồng; Cấp bù học phí: 1.995 triệu đồng. Dự kiến tính số thu giảm trừ vào định mức: 163 triệu đồng (4 triệu đồng từ giao thu học phí và 159 triệu đồng từ nguồn cấp bù học phí)</t>
  </si>
  <si>
    <t>Số liệu tại cột 11 không thể hiện số giảm cấp và theo QĐ 1053 tại biểu Cơ sở tính biểu 3 là 8.426 triệu đồng; nguồn tiết kiệm để thực hiện cải cách tiền lương 35% từ số thu được để lại: 706 triệu đồng</t>
  </si>
  <si>
    <t>Thực hiện giảm trừ 60% nguồn tính CCTL và giảm chi từ nguồn tiết kiệm để thực hiện cải cách tiền lương 35% từ số thu được để lại: 706 triệu đồng nên số tại biểu 3 là 157 triệu đồng</t>
  </si>
  <si>
    <t>2023-2024</t>
  </si>
  <si>
    <t>Quy hoạch chung xây dựng khu công nghiệp - đô thị - dịch vụ Hữu Lũng tỷ lệ 1/5000</t>
  </si>
  <si>
    <t>UBND huyện Hữu Lũng</t>
  </si>
  <si>
    <t>UBND huyện Văn Lãng</t>
  </si>
  <si>
    <t>Điều chỉnh cục bộ quy hoạch chung xây dựng thị trấn Na Sầm, huyện Văn Lãng, tỉnh Lạng Sơn đến năm 2035, tỷ lệ 1/5000</t>
  </si>
  <si>
    <t>UBND huyện Văn Quan</t>
  </si>
  <si>
    <t>Điều chỉnh cục bộ quy hoạch chung xây dựng thị trấn Văn Quan, huyện Văn Quan, tỉnh Lạng Sơn đến năm 2035, tỷ lệ 1/5000</t>
  </si>
  <si>
    <t>UBND huyện Bắc Sơn</t>
  </si>
  <si>
    <t>Điều chỉnh cục bộ Quy hoạch chung xây dựng thị trấn Bắc Sơn, huyện Bắc Sơn, đến năm 2035 tỷ lệ 1/2000</t>
  </si>
  <si>
    <t>UBND huyện Bình Gia</t>
  </si>
  <si>
    <t>Điều chỉnh cục bộ Quy hoạch chung xây dựng thị trấn Bình Gia, huyện Bình Gia, đến năm 2035 tỷ lệ 1/2000</t>
  </si>
  <si>
    <t>UBND huyện Đình Lập</t>
  </si>
  <si>
    <t>Điều chỉnh cục bộ Quy hoạch chung xây dựng thị trấn Nông Trường Thái Bình, huyện Đình Lập, đến năm 2035 tỷ lệ 1/2000</t>
  </si>
  <si>
    <t>Điều chỉnh cục bộ Quy hoạch chung xây dựng thị trấn Đình Lập, huyện Đình Lập, tỉnh Lạng Sơn đến năm 2035, tỷ lệ 1/5000</t>
  </si>
  <si>
    <t>Điều chỉnh cục bộ Quy hoạch chung xây dựng thị trấn Hữu Lũng, huyện Hữu Lũng, tỉnh Lạng Sơn đến năm 2035, tỷ lệ 1/5000</t>
  </si>
  <si>
    <t>UBND huyện Tràng Định</t>
  </si>
  <si>
    <t xml:space="preserve">Điều chỉnh cục bộ quy hoạch chung thị trấn Thất Khê, huyện Tràng Định, tỉnh Lạng Sơn đến năm 2035, tỷ lệ 1/5000 </t>
  </si>
  <si>
    <t>UBND huyện Chi Lăng</t>
  </si>
  <si>
    <t xml:space="preserve">Điều chỉnh cục bộ quy hoạch chung thị trấn Đồng Mỏ, huyện Chi Lăng, tỉnh Lạng Sơn đến năm 2035, tỷ lệ 1/5000 </t>
  </si>
  <si>
    <t>Điều chỉnh cục bộ quy hoạch chung thị trấn Chi Lăng, huyện Chi Lăng, tỉnh Lạng Sơn đến năm 2035, tỷ lệ 1/5000</t>
  </si>
  <si>
    <t>Quy hoạch xây dựng vùng huyện Văn Quan, tỷ lệ 1/25.000</t>
  </si>
  <si>
    <t>Quy hoạch xây dựng vùng huyện Bắc Sơn, tỷ lệ 1/25.000</t>
  </si>
  <si>
    <t>UBND huyện 
Bình Gia</t>
  </si>
  <si>
    <t>Quy hoạch xây dựng vùng huyện Bình Gia, tỷ lệ 1/25.000</t>
  </si>
  <si>
    <t>Ban QLKKTCK Đồng Đăng - Lạng Sơn</t>
  </si>
  <si>
    <t>Điều chỉnh tổng thể Quy hoạch phân khu Trục trung tâm Khu kinh tế cửa khẩu Đồng Đăng - Lạng Sơn, tỷ lệ 1/2000</t>
  </si>
  <si>
    <t>Dự án khởi công mới</t>
  </si>
  <si>
    <t>850/QĐ-UBND ngày 16/5/2022</t>
  </si>
  <si>
    <t>2022-2023</t>
  </si>
  <si>
    <t>Điều chỉnh cục bộ Quy hoạch phân khu Trục trung tâm Khu kinh tế cửa khẩu Đồng Đăng - Lạng Sơn, tỷ lệ 1/2000</t>
  </si>
  <si>
    <t>820/QĐ-UBND ngày 11/5/2022</t>
  </si>
  <si>
    <t>1890/QĐ-UBND ngày 29/11/2010 của UBND tỉnh</t>
  </si>
  <si>
    <t>Điều chỉnh quy hoạch chi tiết xây dựng Khu hợp tác kinh tế biên giới Đồng Đăng-Bằng Tường</t>
  </si>
  <si>
    <t>1325/QĐ-UBND ngày 02/8/2016 của UBND tỉnh</t>
  </si>
  <si>
    <t>Điều chỉnh quy hoạch chi tiết cửa khẩu Bình Nghi</t>
  </si>
  <si>
    <t>2122/QĐ-UBND ngày 08/10/2008 của UBND tỉnh</t>
  </si>
  <si>
    <t>Huyện Lộc Bình</t>
  </si>
  <si>
    <t>1954/VP-KT ngày 22/5/2021</t>
  </si>
  <si>
    <t>Huyện Cao Lộc</t>
  </si>
  <si>
    <t>Quy hoạch chi tiết xây dựng mở rộng cửa khẩu quốc tế Hữu Nghị, tỷ lệ 1/500</t>
  </si>
  <si>
    <t>Quy hoạch xây dựng vùng huyện Tràng Định, tỷ lệ 1/25.000</t>
  </si>
  <si>
    <t>Quy hoạch xây dựng vùng huyện Văn Lãng, tỷ lệ 1/25.000</t>
  </si>
  <si>
    <t>Quy hoạch xây dựng vùng huyện Chi Lăng, tỷ lệ 1/25.000</t>
  </si>
  <si>
    <t>Quy hoạch xây dựng vùng huyện Hữu Lũng, tỷ lệ 1/25.000</t>
  </si>
  <si>
    <t>UBND huyện Lộc Bình</t>
  </si>
  <si>
    <t>Quy hoạch xây dựng vùng huyện Lộc Bình, tỷ lệ 1/25.000</t>
  </si>
  <si>
    <t>Quy hoạch xây dựng vùng huyện Đình Lập, tỷ lệ 1/25.000</t>
  </si>
  <si>
    <t xml:space="preserve"> Quy hoạch bảo quản, tu bổ, phục hồi và phát huy giá trị 22 diểm di tích xếp hạng di tích quốc gia Khu di tích Chi Lăng, huyện Chi Lăng, tỉnh Lạng Sơn, tỷ lệ 1/2000</t>
  </si>
  <si>
    <t>Thành phố Lạng Sơn</t>
  </si>
  <si>
    <t>Quy hoạch chi tiết xây dựng Khu liên hợp thể thao tỉnh Lạng Sơn tỷ lệ 1/500</t>
  </si>
  <si>
    <t>Quy hoạch chi tiết Khu dân cư và tái định cư dọc tuyến tránh ĐT.226, đoạn qua thị trấn Bình Gia</t>
  </si>
  <si>
    <t>Sở VHTTDL</t>
  </si>
  <si>
    <t>2021-2024</t>
  </si>
  <si>
    <t>Dự án: Quy hoạch bảo quản, tu bổ, phục hồi Di tích quốc gia đặc biệt- di tích lịch sử Khởi nghĩa Bắc Sơn</t>
  </si>
  <si>
    <t>Dự án chuyển tiếp</t>
  </si>
  <si>
    <t>1948/QĐ-UBND ngày 30/9/2021</t>
  </si>
  <si>
    <t>2021-2022</t>
  </si>
  <si>
    <t>Khu KTCK</t>
  </si>
  <si>
    <t>Điều chỉnh tổng thể đồ án Quy hoạch chi tiết xây dựng Khu Công nghiệp Đồng Bành -tỉnh Lạng Sơn</t>
  </si>
  <si>
    <t>1055/QĐ-TTg ngày 08/7/2010</t>
  </si>
  <si>
    <t>Điều chỉnh cục bộ đồ án Quy hoạch chung xây dựng Khu kinh tế cửa khẩu Đồng Đăng -Lạng Sơn</t>
  </si>
  <si>
    <t>UBND huyện Cao Lộc</t>
  </si>
  <si>
    <t>3710/QĐ-UBND ngày 30/10/2021</t>
  </si>
  <si>
    <t>2020-2022</t>
  </si>
  <si>
    <t>Quy hoạch chi tiết khu vực trung tâm thị trấn Đồng Đăng, tỷ lệ 1/500, huyện Cao Lộc</t>
  </si>
  <si>
    <t>2781/QĐ-UBND ngày 29/12/2020</t>
  </si>
  <si>
    <t>2020-2021</t>
  </si>
  <si>
    <t>Điều chỉnh quy hoạch chung xây dựng thị trấn Văn Quan, huyện Văn Quan, tỉnh Lạng Sơn, tỷ lệ 1/5000</t>
  </si>
  <si>
    <t>2823/QĐ-UBND ngày 31/12/2020</t>
  </si>
  <si>
    <t xml:space="preserve">Điều chỉnh quy hoạch chung xây dựng thị trấn Na Dương, huyện Lộc Bình, tỉnh Lạng Sơn </t>
  </si>
  <si>
    <t>UBND thị trấn Hữu Lũng</t>
  </si>
  <si>
    <t>6313/QĐ-UBND ngày 29/12/2021</t>
  </si>
  <si>
    <t>Quy hoạch chi tiết thị trấn Hữu Lũng</t>
  </si>
  <si>
    <t>1841/QĐ-UBND ngày 11/9/2021</t>
  </si>
  <si>
    <t>Điều chỉnh quy hoạch chung thị trấn Chi Lăng, huyện Chi Lăng, tỉnh Lạng Sơn, tỷ lệ 1/5000</t>
  </si>
  <si>
    <t>Đang lập nhiệm vụ</t>
  </si>
  <si>
    <t xml:space="preserve"> 2021-2022</t>
  </si>
  <si>
    <t>Quy hoạch phân khu phía Đông thành phố Lạng Sơn, tỷ lệ 1/2000</t>
  </si>
  <si>
    <t>1539/QĐ-TTg ngày 16/9/2021</t>
  </si>
  <si>
    <t>2019-2022</t>
  </si>
  <si>
    <t>Điều chỉnh Quy hoạch tổng thể Khu di tích Chi Lăng – Lạng Sơn, tỷ lệ 1/2000 (Nay là Quy hoạch bảo quản, tu bổ, phục hồi di tích Khu di tích Chi Lăng, huyện Chi Lăng, tỉnh Lạng Sơn, tỷ lệ 1/2000)</t>
  </si>
  <si>
    <t xml:space="preserve"> 1404/QĐ-UBND ngày 26/8/2022</t>
  </si>
  <si>
    <t xml:space="preserve">Điều chỉnh quy hoạch chung thị trấn Thất Khê, huyện Tràng Định, tỉnh Lạng Sơn, tỷ lệ 1/5000 </t>
  </si>
  <si>
    <t xml:space="preserve">1866/QĐ-UBND ngày 17/9/2021 </t>
  </si>
  <si>
    <t xml:space="preserve">Điều chỉnh quy hoạch chung thị trấn Đồng Mỏ, huyện Chi Lăng, tỉnh Lạng Sơn, tỷ lệ 1/5000 </t>
  </si>
  <si>
    <t xml:space="preserve">1859/QĐ-UBND ngày 16/9/2021 </t>
  </si>
  <si>
    <t xml:space="preserve">Điều chỉnh quy hoạch chung thị trấn Lộc Bình, huyện Lộc Bình, tỉnh Lạng Sơn, tỷ lệ 1/5000 </t>
  </si>
  <si>
    <t xml:space="preserve">223/QĐ-UBND ngày 28/01/2022 </t>
  </si>
  <si>
    <t xml:space="preserve">Điều chỉnh Quy hoạch chung xây dựng thị trấn Bắc Sơn, huyện Bắc Sơn, tỉnh Lạng Sơn, tỷ lệ 1/ 5.000 </t>
  </si>
  <si>
    <t xml:space="preserve">1542/QĐ-UBND ngày 12/8/2020 </t>
  </si>
  <si>
    <t>Điều chỉnh Quy hoạch chung xây dựng thị trấn Na Sầm, huyện Văn Lãng, tỉnh Lạng Sơn, tỷ lệ 1/5.000</t>
  </si>
  <si>
    <t>325/QĐ-UBND ngày 22/02/2022</t>
  </si>
  <si>
    <t>Điều chỉnh Quy hoạch chung xây dựng thị trấn Bình Gia, huyện Bình Gia, tỉnh Lạng Sơn, tỷ lệ 1/5.000</t>
  </si>
  <si>
    <t>2483/QĐ-UBND ngày 11/12/2019</t>
  </si>
  <si>
    <t>2019-2021</t>
  </si>
  <si>
    <t>Quy hoạch chi tiết cửa khẩu Tân Thanh, huyện Văn Lãng, tỉnh Lạng Sơn, tỷ lệ 1/500</t>
  </si>
  <si>
    <t>Dự án hoàn thành trước 31/12/2022</t>
  </si>
  <si>
    <t>2</t>
  </si>
  <si>
    <t>Vốn trong nước</t>
  </si>
  <si>
    <t xml:space="preserve">Số Quyết định, ngày, tháng, năm </t>
  </si>
  <si>
    <t xml:space="preserve"> Chủ đầu tư</t>
  </si>
  <si>
    <t>Tỷ lệ thanh toán khối lượng nợ</t>
  </si>
  <si>
    <t>Nhu cầu thanh toán KL TH</t>
  </si>
  <si>
    <t>Kế hoạch năm 2023</t>
  </si>
  <si>
    <t>Lũy kế khối lượng thực hiện đến hết 2022</t>
  </si>
  <si>
    <t>Lũy kế vốn bố trí đến hết 2022</t>
  </si>
  <si>
    <t>Kế hoạch năm 2022</t>
  </si>
  <si>
    <t>Lũy kế vốn bố trí đến hết 2021</t>
  </si>
  <si>
    <t>Dư vốn 2021</t>
  </si>
  <si>
    <t>Đề xuất vốn của các đơn vị</t>
  </si>
  <si>
    <t>Lũy kế khối lượng thực hiện đến hết 2021</t>
  </si>
  <si>
    <t>Lũy kế khối lượng thực hiện đến hết 2021 (Sở KH TH)</t>
  </si>
  <si>
    <t xml:space="preserve">KH 2021 </t>
  </si>
  <si>
    <t>KH 2021 (ban đầu)</t>
  </si>
  <si>
    <t>Lũy kế vốn bố trí đến hết 2020</t>
  </si>
  <si>
    <t>Lũy kế vốn bố trí đến hết 2020 (Sở KH TH)</t>
  </si>
  <si>
    <t>Lũy kế khối lượng thực hiện đến hết 2020</t>
  </si>
  <si>
    <t>KH 2020</t>
  </si>
  <si>
    <t>Lũy kế vốn bố trí đến hết 2019</t>
  </si>
  <si>
    <t>Quyết định phê duyệt</t>
  </si>
  <si>
    <t>Thời gian bắt đầu - kết thúc</t>
  </si>
  <si>
    <t>Địa điểm thực hiện</t>
  </si>
  <si>
    <t>Dự án</t>
  </si>
  <si>
    <t>TT</t>
  </si>
  <si>
    <t>BIỂU 9: KẾ HOẠCH VỐN CÁC DỰ ÁN QUY HOẠCH NĂM 2023</t>
  </si>
  <si>
    <t>Ban Quản lý Khu KTCK Đồng Đăng - Lạng Sơn</t>
  </si>
  <si>
    <t>Quy hoạch chi tiết xây dựng tỷ lệ1/500 Kho bãi tạm giữ phương tiện vi phạm trật tự an toàn giao thông</t>
  </si>
  <si>
    <t>Quy hoạch chung đô thị Bắc Lệ - Tân Thành, huyện Hữu Lũng, tỉnh Lạng Sơn, tỷ lệ 1/5.000</t>
  </si>
  <si>
    <t>Tổng mức đầu tư</t>
  </si>
  <si>
    <r>
      <t xml:space="preserve">Điều chỉnh tổng thể Quy hoạch chi tiết cửa khẩu Chi Ma, huyện Lộc Bình </t>
    </r>
    <r>
      <rPr>
        <i/>
        <sz val="13"/>
        <rFont val="Times New Roman"/>
        <family val="1"/>
      </rPr>
      <t>(nay là Quy hoạch chung xây dựng khu vực cửa khẩu chính Chi Ma)</t>
    </r>
  </si>
  <si>
    <t>Huyện Bình Gia</t>
  </si>
  <si>
    <t>thị trấn Cao Lộc, xã Hợp Thành, huyện Cao Lộc</t>
  </si>
  <si>
    <t>Thị trấn Chi Lăng, huyện Chi Lăng</t>
  </si>
  <si>
    <t>Thị trấn Hữu Lũng, huyện Hữu Lũng</t>
  </si>
  <si>
    <t>Huyện Văn Quan</t>
  </si>
  <si>
    <t>Thị trấn Đồng Đăng, huyện Cao Lộc</t>
  </si>
  <si>
    <t>huyện Chi Lăng</t>
  </si>
  <si>
    <t>Huyện Đình Lập</t>
  </si>
  <si>
    <t xml:space="preserve">Huyện Tràng Định </t>
  </si>
  <si>
    <t>Xã Thụy Hùng, huyện Cao Lộc</t>
  </si>
  <si>
    <t>Xã Thụy Hùng, huyện Cao Lộc và xã Hoàng Đồng, thành phố Lạng Sơn</t>
  </si>
  <si>
    <t>Huyện Văn Lãng, huyện Cao Lộc, thành phố Lạng Sơn</t>
  </si>
  <si>
    <t xml:space="preserve"> Trong đó: Sở Giáo dục và Đào tạo: (1) Mua sắm thiết bị dạy học tối thiểu theo chương trình GDPT mới trang bị cho các trường học trên địa bàn tỉnh 105.000 triệu đồng; (2) Hỗ trợ cơ sở vật chất và các nhiệm vụ khác cho các trường học trên địa bàn tỉnh 45.000 triệu đồng</t>
  </si>
  <si>
    <t>Phụ cấp Chủ tịch: 54 triệu đồng; Hỗ trợ hoạt động của Hội: 84 triệu đồng.</t>
  </si>
  <si>
    <t>Phụ cấp Phó Chủ tịch Hội đặc thù: 36 triệu đồng; Hỗ trợ hoạt động của Hội: 84 triệu đồng.</t>
  </si>
  <si>
    <t>Kinh phí tổ chức Ngày sách Việt Nam theo Quyết định số 284/QĐ-TTg ngày 24/2/2014: 100 triệu đồng; Chiến lược phát triển thông tin quốc gia đến năm 2025, tầm nhìn đến năm 2030 trên địa bàn tỉnh theo Kế hoạch số 88/KH-UBND ngày 26/5/2020 (Tuyên truyền trên báo chí trung ương: hợp tác VTV, báo nhân dân và 20 cơ quan báo chí khác): 4.000 triệu đồng; Thông tin đối ngoại theo Kế hoạch số 173/KH-UBND ngày 26/11/2019: 480 triệu đồng; Triển khai thực hiện Đề án "Thúc đẩy chuyển giao, làm chủ và phát triển công nghệ từ nước ngoài vào Việt Nam trong các ngành, lĩnh vực ưu tiên giai đoạn đến năm 2025, định hướng đến năm 2030" theo Kế hoạch số 29/KH-UBND ngày 30/01/2019: 100 triệu đồng; Truyền thông ứng phó sự cố thiên tai, thảm họa, dịch bệnh, tình huống khẩn cấp trên địa bàn tỉnh theo Kế hoạch số 45/KH-UBND ngày  12/3/2020 và Kế hoạch số 120/KH-UBND ngày 14/7/2020: 115 triệu đồng; Thực hiên Dự án "Tuyên truyền về phòng, chống ma túy trên các phương tiện thông tin đại chúng và hệ thống thông tin cơ sở giai đoạn 2021-2025" theo Kế hoạch số 203/KH-UBND ngày 15/10/2021: 100 triệu đồng; Tuyên truyền quảng bá ASEAN giai đoạn 2021 - 2025 theo Kế hoạch số 182/KH-UBND ngày 28/8/2021: 300 triệu đồng. Duy  trì Cổng thông  tin  điện  tử  hỗ  trợ doanh nghiệp tỉnh Lạng Sơn theo Kế hoạch số 135/KH-UBND ngày 07/8/2019: 100 triệu đồng; Số hoá các cơ sở dữ liệu chuyên ngành, chuẩn hóa, tạo lập cơ sở dữ liệu văn bản quy phạm pháp luật và văn bản chỉ đạo điều hành phục vụ cho chuyển đổi số theo Kế hoạch 206/KH-UBND ngày 20/10/2021, Quyết định số 1063/QĐ-UBND ngày 07/6/2019: 3.000 triệu đồng</t>
  </si>
  <si>
    <t>Sửa chữa, bảo dưỡng phương tiện phục vụ kiểm tra, bảo vệ, quản lý biên giới: 600 triệu đồng; Mua sắm vật tư, thiết bị đảm bảo sinh hoạt cho, làm việc cán bộ, chiến sỹ các Đồn và Cơ quan Bộ Chỉ huy BĐBP tỉnh: 900 triệu đồng; đảm bảo các hoạt động chung của lực lượng Biên phòng làm nhiệm vụ tại các cửa khẩu phụ: 1.300 triệu đồng; Hỗ trợ mua nhiên liệu phục vụ công tác kiểm tra, quản lý biên giới: 650 triệu đồng; Hỗ trợ chi trả tiền điện, nước Cơ quan Bộ Chỉ huy và các đơn vị: 1.600 triệu đồng; hỗ trợ đảm bảo công tác đấu tranh phòng, chống ma túy và tội phạm khu vực biên giới: 150 triệu đồng; Chi công tác tình báo, trinh sát: 120 triệu đồng; Huấn luyện sẵn sàng chiến đấu và thể dục thể thao ngành: 500 triệu đồng; Hỗ trợ hoạt động công tác chuyên môn Quốc phòng: 2.200 triệu đồng; Hỗ trợ bảo đảm an toàn kỹ thuật về vũ khí, đạn: 450 triệu đồng; Công tác bảo vệ, quản lý an ninh khu vực biên giới theo Công văn số 173/VP-THNC ngày 27/8/2020 của Văn phòng UBND tỉnh Lạng Sơn: 1.500 triệu đồng; khen thưởng đột xuất cho cán bộ, quần chúng có thành tích xuất sắc trong quản lý, bảo vệ biên giới và đấu tranh chống tội phạm: 300 triệu đồng; Thuê phương tiện vận chuyển quân (ra quân, nhiệm vụ tăng cường): 80 triệu đồng; Kinh phí thực hiện 3 văn kiện pháp lý biên giới: 1.200 triệu đồng; đề án tuyên truyền phổ biến giáo dục pháp luật cho cán bộ, chiến sỹ, nhân dân khu vực biên giới: 250 triệu đồng; triển khai thực hiện các kế hoạch "Xã, thôn, bản biên giới nói không với tệ nạn ma túy": 200 triệu đồng; diễn tập phòng thủ tỉnh Lạng Sơn năm 2023 theo Kế hoạch: 700 triệu đồng; Đảm bảo tài chính thực hiện chiến lược quốc gia chấm dứt dịch bệnh AIDS vào năm 2030 trên địa bàn tỉnh Lạng Sơn giai đoạn 2021-2025 theo Kế hoạch số 183/KH-UBND ngày 18/11/2020 của UBND tỉnh: 15 triệu đồng.</t>
  </si>
  <si>
    <t>Hoạt động thường xuyên của Ban Chỉ đạo 389: 1.200 triệu đồng; Hoạt động thường xuyên của trạm Kiểm soát liên hợp Dốc Quýt: 900triệu đồng; Đảm bảo chi phục vụ công tác xử phạt vi phạm hành chính: 700 triệu đồng.</t>
  </si>
  <si>
    <t>Lệ phí cấp phép khai thác khoáng sản</t>
  </si>
  <si>
    <t>Phí thẩm định Phương án cải tạo phục hồi môi trường và Phương án cải tạo phục hồi môi trường bổ sung trên địa bàn tỉnh Lạng Sơn</t>
  </si>
  <si>
    <t>Lệ phí thẩm định cơ sở
 LTDL, hướng dẫn viên du lịch</t>
  </si>
  <si>
    <t>Phí an toàn thực phẩm</t>
  </si>
  <si>
    <t>Trung tâm Quản lý cửa khẩu (đơn vị tự đảm bảo chi thường xuyên)</t>
  </si>
  <si>
    <t>Điều chỉnh cục bộ quy hoạch chung xây dựng thị trấn Đồng Đăng, huyện Cao Lộc đến năm 2025, tỷ lệ 1/10.000</t>
  </si>
  <si>
    <t>Quỹ thi đua khen thưởng: 175 triệu đồng; Mua thuốc Methadon cho các cơ sở y tế trên địa bàn tỉnh theo Công văn số 7743/BYT-AIDS ngày 17/9/2021 và Công văn số 4079/VP-KGVX ngày 25/9/2021 về việc phê duyệt Kế hoạch đảm bảo tài chính chấm dứt dịch bệnh AIDS và kinh phí mua thuốc Methadone: 600 triệu đồng; Kinh phí định lượng muối I ốt, phòng chống rối loạn do thiếu I ốt: 100 triệu đồng; Hỗ trợ bản tin y tế (in ấn, nhuận bút, hỗ trợ chuyên mục sức khỏe trên báo, đài truyền hình tỉnh): 250 triệu đồng; Đảm bảo tài chính thực hiện chiến lược quốc gia chấm dứt dịch bệnh AIDS vào năm 2030 trên địa bàn tỉnh Lạng Sơn giai đoạn 2021-2025 theo Kế hoạch số 183/KH-UBND ngày 18/11/2020 của UBND tỉnh: 500 triệu đồng; Hoạt động bảo vệ tâm thần cộng đồng và trẻ em theo Công văn số 06/CV-BV ngày 12/5/2021 của Bệnh viện tâm thần TW1 và Công văn số 5925/BYT-KH-TC ngày 23/7/2021 về việc chuyển nội dung nhiệm vụ của Chương trình MTYT-DS giai đoạn 2016-2020 thành nhiệm vụ thường xuyên của địa phương: 440 triệu đồng; Thực hiện Đề án truyền thông về cải thiện vệ sinh cá nhân, vệ sinh môi trường, sử dụng nước sạch nông thôn trên địa bàn tỉnh Lạng Sơn theo Kế hoạch số 36/KH-UBND ngày 15/02/2019 của UBND tỉnh: 160 triệu đồng.</t>
  </si>
  <si>
    <t xml:space="preserve">BIỂU 5: DỰ TOÁN THU, CHI CÁC KHOẢN THU PHÍ, LỆ PHÍ, THU DỊCH VỤ VÀ THU KHÁC CÁC ĐƠN VỊ HÀNH CHÍNH SỰ NGHIỆP - NGÂN SÁCH CẤP TỈNH NĂM 2023 </t>
  </si>
  <si>
    <t>Sửa chữa các công trình thủy lợi thuộc Đề án nâng cao năng lực quản lý, đảm bảo an toàn và hiệu quả các công trình thủy lợi trên địa bàn tỉnh Lạng Sơn giai đoạn 2021-2030 theo Quyết định số 1922/QĐ-UBND ngày 02/10/2020: 12.000 triệu đồng; Lập, điều chỉnh bổ sung quy trình vận hành hồ chứa nước từ 10 đến 12 hồ: 3.000 triệu đồng; Đào tạo, tập huấn chuyên môn: 420 triệu đồng; Hỗ trợ sử dụng sản phẩm, dịch vụ công ích thủy lợi theo Nghị định số 62/2018/NĐ-CP ngày11/7/2018 của Chính phủ: 28.550 triệu đồng.</t>
  </si>
  <si>
    <t>Quỹ thi đua khen thưởng: 64 triệu đồng; Kinh phí mua 03 bộ máy in, máy tính: 45 triệu đồng; Sửa chữa bảo dưỡng ô tô: 80 triệu đồng; Tuyên truyền hỗ trợ các hoạt động nghệ thuật kỷ niệm các ngày lễ trong năm: 300 triệu đồng; Hỗ trợ hoạt động chuyên môn nghệ thuật chuyên nghiệp và hoạt động văn hóa cơ sở: 500 triệu đồng; Hoạt động các câu lạc bộ: 120 triệu đồng ; Hoạt động của Đội Tuyên truyền lưu động: 320 triệu đồng ; Mua sắm trang phục, đạo cụ phục vụ công tác chuyên môn: 90 triệu đồng; Tham gia hội thi, hội diễn Trung ương tổ chức 02 cuộc: 250 triệu đồng; Tổ chức 3 cuộc triển lãm tranh ảnh, cổ động: 90 triệu đồng; Tổ chức các cuộc Hội nghị, liên hoan nghệ thuật quần chúng, Ngày hội văn hoá qui mô cấp tỉnh gắn với hoạt động phát triển du lịch, bảo tồn phát huy di sản văn hoá Trang trí sân khấu, tuyên truyền, 02 cuộc: 150 triệu đồng.</t>
  </si>
  <si>
    <t>Quỹ thi đua khen thưởng: 24 triệu đồng; Trang bị bàn ghế, tủ: 35 triệu đồng; Trang bị 02 máy điều hòa cho phòng kho bảo quản hiện vật: 30 triệu đồng; Trang bị máy vi tính: 45 triệu đồng; Kiểm kê bảo quản hiện vật (chi phí mua dụng cụ, vật tư, kiểm kê bảo quản): 80 triệu đồng; Công tác giám định, tiếp nhận cổ vật: 35 triệu đồng; Bổ sung kho tư liệu (bổ sung tài liệu, trang thiết bị, công cụ phục vụ lưu trữ tại kho): 50 triệu đồng; Hướng dẫn kiểm tra công tác quản lý di sản văn hóa: 30 triệu đồng; Khảo sát, xây dụng hoàn chỉnh Lý lịch 14 điểm di tích đường số 4 tại 2 huyện Tràng Định và Văn Lãng: 50 triệu đồng; Hoạt động triển lãm chuyên đề, triển lãm lưu động: 200 triệu đồng; Sưu tầm tài liệu, hiện vật theo kế hoạch thường xuyên trong và ngoài tỉnh: 150 triệu đồng; Xây dựng kế hoạch thám sát, khảo sát một số di chỉ khảo cổ và phối hợp khai quật khảo cổ trên địa bàn tỉnh: 120 triệu đồng; Chỉnh lý, trưng bày tài liệu, hiện vật mộc bản Triều Nguyễn, lắp đặt màn hình trình chiếu tầng 2, 3 nhà trưng bày Bảo tàng: 150 triệu đồng .</t>
  </si>
  <si>
    <t>Lễ hội hoa Đào Xứ Lạng năm 2023: 2.300 triệu đồng; Tổ chức Tuần văn hóa, thể thao và Du lịch Lạng Sơn 2023 gắn với Lễ hội Kỳ Cùng - Tả Phủ: 1.000 triệu đồng; Tổ chức các hoạt động Kỷ niệm ngày lễ lớn của tỉnh năm 2023: 1.000 triệu đồng; Tổ chức cuộc thi giọng hát hay: 1.500 triệu đồng; Đề án “Bảo tồn, phát huy trang phục truyền thống các dân tộc thiểu số Việt Nam trong giai đoạn hiện nay” trên địa bàn tỉnh Lạng Sơn: 600 triệu đồng; Đề án bảo tồn và phát huy giá trị di sản Múa sư tử dân tộc Tày, Nùng trên địa bàn tỉnh Lạng Sơn giai đoạn 2021-2030: 500 triệu đồng ; Đề án bảo tồn, tôn tạo, phát huy giá trị hệ thống di tích lịch sử-văn hóa và danh lam thắng cảnh trên địa bàn tỉnh Lạng Sơn giai đoạn 2021-2030: 800 triệu đồng; Đề án phát triển hệ thống thiết chế văn hóa, thể thao tỉnh Lạng Sơn giai đoạn 2021-2025, định hướng đến năm 2030: 700 triệu đồng; Đề án “Bảo tồn, phát huy giá trị dân ca, dân vũ, dân nhạc của các dân tộc thiểu sốgắn với phát triển du lịch” trên địa bàn tỉnh Lạng Sơn giai đoạn 2022-2030: 450 triệu đồng; Các hoạt động văn hóa, di sản vật thể, phi vật thể: 2.000 triệu đồng.</t>
  </si>
  <si>
    <t xml:space="preserve">                                    Đơn vị: Triệu đồng</t>
  </si>
  <si>
    <t xml:space="preserve">                                  Đơn vị: Triệu đồng</t>
  </si>
  <si>
    <t>Văn phòng Sở Lao động - Thương binh và Xã hội</t>
  </si>
  <si>
    <t>Kinh phí biên chế giáo viên tăng thêm</t>
  </si>
  <si>
    <t>Thu khác thuế quản lý</t>
  </si>
  <si>
    <t>Khu khác ngân sách địa phương, trong đó</t>
  </si>
  <si>
    <t>Thu bảo vệ và phát triển đất trồng lúa</t>
  </si>
  <si>
    <t>Vay trong nước</t>
  </si>
  <si>
    <t>Vay của Chính phủ vay về cho vay lại</t>
  </si>
  <si>
    <t>Kinh phí thực hiện các nhiệm vụ, chế độ, chính sách</t>
  </si>
  <si>
    <t>Trong đó: Sự nghiệp giáo dục và đào tạo</t>
  </si>
  <si>
    <t xml:space="preserve"> + Chi thực hiện cải cách tiền lương</t>
  </si>
  <si>
    <t xml:space="preserve"> + Chi thường xuyên khác</t>
  </si>
  <si>
    <t>Đơn vị: đồng</t>
  </si>
  <si>
    <t>Chi trả lãi vay (Sở Tài chính)</t>
  </si>
  <si>
    <t>+ Kinh phí cải cách tiền lương, biến động tiền lương và chế độ chính sách</t>
  </si>
  <si>
    <t>+ Chi khác sự nghiệp Giáo dục, Đào tạo và Dạy nghề (bao gồm kinh phí phân bổ cho Phòng GDĐT các huyện, thành phố để thực hiện các nhiệm vụ chung thuộc lĩnh vực ngành)</t>
  </si>
  <si>
    <t>Trong đó: kinh phí quản lý, vận hành Hệ thống xử lý nước rỉ rác</t>
  </si>
  <si>
    <t>Kinh phí quản lý, bảo trì đường bộ</t>
  </si>
  <si>
    <t>- Hỗ trợ kinh phí bảo trì tài sản kết cấu hạ tầng thủy lợi</t>
  </si>
  <si>
    <t>Kinh phí cải cách, biến động tiền lương và chế độ chính sách (không bao gồm lĩnh vực sự nghiệp Giáo dục và Đào tạo)</t>
  </si>
  <si>
    <t>- Công ty TNHH MTV Khai thác công trình thuỷ lợi</t>
  </si>
  <si>
    <t xml:space="preserve"> Trong đó: + Hỗ trợ kinh phí bảo trì tài sản kết cấu hạ tầng thủy lợi</t>
  </si>
  <si>
    <t>Huyện, Thành phố thu</t>
  </si>
  <si>
    <t>Dự toán 2025</t>
  </si>
  <si>
    <t>Dự toán năm 2025</t>
  </si>
  <si>
    <t>BIỂU 1: PHÂN BỔ DỰ TOÁN THU NGÂN SÁCH NHÀ NƯỚC TRÊN ĐỊA BÀN NĂM 2025</t>
  </si>
  <si>
    <t>DỰ TOÁN NĂM 2025</t>
  </si>
  <si>
    <t>BIỂU 2: TỔNG HỢP DỰ TOÁN THU, CHI NGÂN SÁCH NĂM 2025</t>
  </si>
  <si>
    <t>Kinh phí hỗ trợ địa phương thực hiện sản xuất lúa</t>
  </si>
  <si>
    <t>Số bổ sung cân đối ổn định như năm 2024</t>
  </si>
  <si>
    <t>Số bổ sung thực hiện cải cách tiền lương 2,34 triệu đồng/ tháng</t>
  </si>
  <si>
    <t>Thu chuyển nguồn năm trước chuyển sang để thực hiện cải cách tiền lương 2,34 triệu đồng/ tháng</t>
  </si>
  <si>
    <t>Quản lý theo phương thức hỗ trợ ngân sách (Rút dự toán)</t>
  </si>
  <si>
    <t>Chi ĐTPT</t>
  </si>
  <si>
    <t>Vốn viện trợ địa phương phê duyệt</t>
  </si>
  <si>
    <t>Lĩnh vực bảo vệ môi trường</t>
  </si>
  <si>
    <t>Dự án Tăng cường quyền của trẻ em đối với môi trường lành mạnh và các sáng kiến thích ứng biến đổi khí hậu tại khu vực Mekong của Tổ chức Terre des Hommes Germany (TdH-G)</t>
  </si>
  <si>
    <t>Tổ chức Terre des Hommes Germany (TdH-G)</t>
  </si>
  <si>
    <t>2024-2026</t>
  </si>
  <si>
    <t>Quyết định số 203/QĐ-UBND ngày 30/01/2024 của UBND tỉnh</t>
  </si>
  <si>
    <t>Lĩnh vực giáo dục - đào tạo và dạy nghề</t>
  </si>
  <si>
    <t>Trường Mầm non xã Ái Quốc, huyện Lộc Bình</t>
  </si>
  <si>
    <t>Khoản viện trợ của Tổ chức Trẻ em kết nối toàn cầu cho các điểm Trường Mầm non xã Ái Quốc, huyện Lộc Bình</t>
  </si>
  <si>
    <t>Tổ chức Trẻ em kết nối toàn cầu (VNCGC)</t>
  </si>
  <si>
    <t>Quyết định số 1994/QĐ-UBND ngày 30/11/2023 của UBND tỉnh</t>
  </si>
  <si>
    <t>Khoản viện trợ cho Trường Phổ thông dân tộc bán trú Tiểu học Hữu Lân, xã Hữu Lân, huyện Lộc Bình</t>
  </si>
  <si>
    <t xml:space="preserve">Tương lai tươi sáng (BFWF), Hàn Quốc </t>
  </si>
  <si>
    <t>Trường Phổ thông dân tộc bán trú Tiểu học Hữu Lân, xã Hữu Lân, huyện Lộc Bình</t>
  </si>
  <si>
    <t>Quyết định số 98/QĐ-UBND ngày 16/01/2024 của UBND tỉnh</t>
  </si>
  <si>
    <t>Khoản viện trợ của  cho Trường Mầm non Thống Nhất, xã Thống Nhất, huyện Lộc Bình, tỉnh Lạng Sơn</t>
  </si>
  <si>
    <t>Tổ chức Tương lai tươi sáng (BFWF)
Hàn Quốc</t>
  </si>
  <si>
    <t xml:space="preserve"> Trường Mầm non Thống Nhất, xã Thống Nhất, huyện Lộc Bình, tỉnh Lạng Sơn</t>
  </si>
  <si>
    <t>Quyết định số 1305/QĐ-UBND ngày 30/7/2024 của UBND tỉnh</t>
  </si>
  <si>
    <t>Quỹ chăm sóc sức khoẻ AIDS Hoa Kỳ (AHF)</t>
  </si>
  <si>
    <t>Trung tâm Kiểm soát bệnh tật tỉnh</t>
  </si>
  <si>
    <t>Dự án Dự phòng, chăm sóc và điều trị HIV/AIDS tại tỉnh Lạng Sơn năm 2024</t>
  </si>
  <si>
    <t>Quyết định số 327/QĐ-UBND ngày 15/02/2024 của UBND tỉnh</t>
  </si>
  <si>
    <t>Hỗ trợ các hộ gia đình bị ảnh hưởng bởi cơn bão số 03-Yagi trên địa bàn tỉnh Lạng Sơn</t>
  </si>
  <si>
    <t>Tổ chức DIVA, Hàn Quốc</t>
  </si>
  <si>
    <t xml:space="preserve">Sở Nông nghiệp và Phát triển nông thôn </t>
  </si>
  <si>
    <t>Quyết định số 1680/QĐ-UBND ngày 27/9/2024 của UBND tỉnh</t>
  </si>
  <si>
    <t>Vốn viện trợ Trung ương phê duyệt</t>
  </si>
  <si>
    <t>Lĩnh vực kinh tế</t>
  </si>
  <si>
    <t>Dự án "Hỗ trợ kỹ thuật xây dựng Khu hợp tác thương mại, du lịch Tân Thanh (Việt Nam) - Pò Chài (Trung Quốc)</t>
  </si>
  <si>
    <t>Quỹ đặc biệt hợp tác Mê Công - Lan Thương</t>
  </si>
  <si>
    <t>Ban Quản lý Khu kinh tế cửa khẩu Đồng  Đăng - Lạng Sơn</t>
  </si>
  <si>
    <t>Quyết định số 1106/QĐ-UBND ngày 18/7/2023 của UBND tỉnh; Quyết định số 1985/QĐ-UBND ngày 15/12/2022 của UBND tỉnh</t>
  </si>
  <si>
    <t>BIỂU 07: TỔNG HỢP DỰ TOÁN THU, CHI TỪ NGUỒN VIỆN TRỢ VÀ VỐN ĐỐI ỨNG NĂM 2025</t>
  </si>
  <si>
    <t>Lĩnh vực bảo đảm xã hội</t>
  </si>
  <si>
    <t>Công ty TNHH Nhật Tiến</t>
  </si>
  <si>
    <t>Công ty cổ phần khai thác đá Đồng Tiến</t>
  </si>
  <si>
    <t>Công ty TNHH Phát triển dịch vụ và Thương mại Thành An</t>
  </si>
  <si>
    <t>Công ty cổ phần xây dựng- thương mại xuất nhập khẩu Lạng Sơn (Công ty CP sản xuất, kinh doanh khoáng sản T&amp;C)</t>
  </si>
  <si>
    <t>Công ty TNHH Hoàng Khánh</t>
  </si>
  <si>
    <t>Công ty TNHH Hải Sơn</t>
  </si>
  <si>
    <t>Công ty TNHH Tân Thành</t>
  </si>
  <si>
    <t xml:space="preserve">Công ty TNHH Huyền Sơn </t>
  </si>
  <si>
    <t>Công ty cổ phần Du lịch Nối Vòng Tay</t>
  </si>
  <si>
    <t xml:space="preserve">Cộng </t>
  </si>
  <si>
    <t>Công ty TNHH MTV Chăn nuôi Hòa Phát Lạng Sơn</t>
  </si>
  <si>
    <t>Xã Hòa Bình, huyện Chi Lăng</t>
  </si>
  <si>
    <t>Công ty cổ phần Xi măng Đồng Bành</t>
  </si>
  <si>
    <t>Thôn Cây Hồng, thị trấn Chi Lăng, huyện Chi Lăng</t>
  </si>
  <si>
    <t>Công ty cổ phần Bê tông Lạng Sơn</t>
  </si>
  <si>
    <t>KCN Đồng Bành, thôn Cây Hồng, thị trấn Chi Lăng, huyện Chi Lăng</t>
  </si>
  <si>
    <t>Công ty TNHH Corundum Lạng Sơn Việt Nam</t>
  </si>
  <si>
    <t>Khu Pha Lát, thị trấn Chi Lăng, huyện Chi Lăng</t>
  </si>
  <si>
    <t>Xã Yên Vượng, huyện Hữu Lũng</t>
  </si>
  <si>
    <t>Thôn Lân Luông, xã Đồng Tiến, huyện Hữu Lũng</t>
  </si>
  <si>
    <t>Thôn Cã Trong, xã Minh Sơn, huyện Hữu Lũng</t>
  </si>
  <si>
    <t>Thôn Sơn Tây, xã Yên Vượng, huyện Hữu Lũng</t>
  </si>
  <si>
    <t>Thôn Bến Lường, xã Minh Sơn, huyện Hữu Lũng</t>
  </si>
  <si>
    <t>Thôn Tân Thành, xã Đồng Tân, huyện Hữu Lũng</t>
  </si>
  <si>
    <t>Thôn Lay 1, xã Thanh Sơn, huyện Hữu Lũng</t>
  </si>
  <si>
    <t>Thôn Ba Lẹng, xã Hữu Liên, huyện Hữu Lũng</t>
  </si>
  <si>
    <t>DNTN Ngọc Dụ</t>
  </si>
  <si>
    <t>Xã Tri Phương, huyện Tràng Định</t>
  </si>
  <si>
    <t>BIỂU ĐIỀU TIẾT NĂM 2025</t>
  </si>
  <si>
    <t>4.1</t>
  </si>
  <si>
    <t>4.2</t>
  </si>
  <si>
    <t xml:space="preserve"> - Đối ứng kinh phí sự nghiệp thực hiện Chương trình mục tiêu quốc gia xây dựng nông thôn mới (chi tiết tại Nghị quyết về kế hoạch vốn thực hiện các Chương trình Mục tiêu quốc gia năm 2025)</t>
  </si>
  <si>
    <t>Chính sách sự nghiệp giáo dục và đào tạo</t>
  </si>
  <si>
    <t>Chính sách sự nghiệp đảm bảo xã hội</t>
  </si>
  <si>
    <t xml:space="preserve"> - Kinh phí hỗ trợ đóng bảo hiểm xã hội tự nguyện</t>
  </si>
  <si>
    <t xml:space="preserve"> - Kinh phí thực hiện Luật An ninh trật tự ở cơ sở theo Nghị quyết số 05/2024/NQ-HĐND ngày 24/6/2024 của HĐND tỉnh</t>
  </si>
  <si>
    <t xml:space="preserve"> - Kinh phí thuê dịch vụ phần mềm thực hiện Đề án "Khám, chữa bệnh từ xa" theo Quyết định số 16/QĐ-UBND ngày 08/01/2021; kinh phí thực hiện "Thuê dịch vụ phần mềm quản lý hồ sơ sức khỏe điện tử giai đoạn 2021 - 2025" theo Quyết định số 2046/QĐ-UBND ngày 14/10/2021 và kinh phí thực hiện Kế hoạch số 244/KH-UBND ngày 06/12/2023 về phát triển hệ thống phục hồi chức năng giai đoạn 2023 - 2030, tầm nhìn đến 2050 của UBND tỉnh</t>
  </si>
  <si>
    <t xml:space="preserve"> - Kinh phí thực hiện cải cách tiền lương và tiền thưởng theo Nghị định 24/2023/NĐ-CP ngày 14/5/2023, Nghị định 42/2023/NĐ-CP ngày 29/6/2023, Nghị định 73/2024/NĐ-CP ngày 30/6/2024, Nghị định 75/2024/NĐ-CP ngày 30/6/2024 của Chính phủ</t>
  </si>
  <si>
    <t>Trong đó: hỗ trợ tiền lương hợp đồng khối giáo dục và một số nhiệm vụ cơ chế, chính sách sự nghiệp giáo dục đào tạo</t>
  </si>
  <si>
    <t>- Kinh phí hỗ trợ tiền lương hợp đồng và một số nhiệm vụ cơ chế, chính sách sự nghiệp giáo dục đào tạo</t>
  </si>
  <si>
    <t xml:space="preserve">Hỗ trợ các Hội văn học nghệ thuật địa phương </t>
  </si>
  <si>
    <t>Hỗ trợ các Hội nhà báo địa phương</t>
  </si>
  <si>
    <t>Vốn nước ngoài</t>
  </si>
  <si>
    <t xml:space="preserve"> - Kinh phí thực hiện các lớp đào tạo, bồi dưỡng cán bộ, công chức, viên chức trên địa bàn tỉnh</t>
  </si>
  <si>
    <t>Số bổ sung tăng thêm của năm 2025</t>
  </si>
  <si>
    <t>+ Hỗ trợ cơ sở vật chất và các nhiệm vụ, cơ chế, chính sách, chế độ giáo dục</t>
  </si>
  <si>
    <t>Bù hụt thu điều tiết dự toán 2025 so với dự toán 2024 đảm bảo mặt bằng chi 2024 để thực hiện cải cách tiền lương và các nhiệm vụ thường xuyên khác</t>
  </si>
  <si>
    <t xml:space="preserve"> - Kinh phí chi cải cách tiền lương và chi thường xuyên khác do tăng thu điều tiết dự toán 2025 so với dự toán 2024</t>
  </si>
  <si>
    <t>KHU VỰC DOANH NGHIỆP NHÀ NƯỚC TRUNG ƯƠNG</t>
  </si>
  <si>
    <t>Công ty Than Na Dương - VVMI - Chi nhánh Tổng Công ty công nghiệp Mỏ Việt Bắc TKV - CTCP</t>
  </si>
  <si>
    <t>0100100015-017</t>
  </si>
  <si>
    <t>Công ty Điện lực - Chi nhánh Tổng Công ty Điện lực miền Bắc</t>
  </si>
  <si>
    <t>0100100417-013</t>
  </si>
  <si>
    <t>Công ty Nhiệt điện Na Dương - TKV - Chi nhánh Tổng Công ty Điện lực TKV - CTCP</t>
  </si>
  <si>
    <t>0104297034-001</t>
  </si>
  <si>
    <t>Viettel Lạng Sơn - Chi nhánh Tập đoàn Viễn thông Quân đội</t>
  </si>
  <si>
    <t>0100109106-026</t>
  </si>
  <si>
    <t>Chi nhánh Xăng dầu Lạng Sơn</t>
  </si>
  <si>
    <t>2400112897-002</t>
  </si>
  <si>
    <t>Viễn thông Lạng Sơn</t>
  </si>
  <si>
    <t>Công ty cổ phần Ngân Sơn</t>
  </si>
  <si>
    <t>Chi nhánh Công ty cổ phần Ngân Sơn tại thành phố Lạng Sơn</t>
  </si>
  <si>
    <t>0100100199-008</t>
  </si>
  <si>
    <t>Chi nhánh Công nghiệp hóa chất mỏ Lạng Sơn - Tổng Công ty công nghiệp hóa chất mỏ VINACOMIN (TNHH)</t>
  </si>
  <si>
    <t>0100101072-031</t>
  </si>
  <si>
    <t>Tập đoàn công nghiệp - viễn thông Quân đội</t>
  </si>
  <si>
    <t>Công ty Bảo hiểm PJICO Lạng Sơn</t>
  </si>
  <si>
    <t>0100110768-020</t>
  </si>
  <si>
    <t>Ngân hàng Thương mại cổ phần Công Thương Việt Nam - Chi nhánh Lạng Sơn</t>
  </si>
  <si>
    <t>0100111948-007</t>
  </si>
  <si>
    <t>Ngân hàng Thương mại cổ phần Ngoại thương Việt Nam - Chi nhánh Lạng Sơn</t>
  </si>
  <si>
    <t>0100112437-144</t>
  </si>
  <si>
    <t>Ngân hàng Thương mại cổ phần Đầu tư và Phát triển Việt Nam - Chi nhánh Lạng Sơn</t>
  </si>
  <si>
    <t>0100150619-019</t>
  </si>
  <si>
    <t>Ngân hàng Nông nghiệp và Phát triển nông thôn Việt Nam - Chi nhánh tỉnh Lạng Sơn</t>
  </si>
  <si>
    <t>0100686174-216</t>
  </si>
  <si>
    <t>Ngân hàng Nông nghiệp và Phát triển nông thôn Việt Nam - Chi nhánh huyện Văn Lãng Lạng Sơn</t>
  </si>
  <si>
    <t>0100686174-806</t>
  </si>
  <si>
    <t>Ngân hàng Nông nghiệp và Phát triển nông thôn Việt Nam - Chi nhánh huyện Chi Lăng Lạng Sơn</t>
  </si>
  <si>
    <t>0100686174-807</t>
  </si>
  <si>
    <t>Ngân hàng Nông nghiệp và Phát triển nông thôn Việt Nam - Chi nhánh huyện Lộc Bình Lạng Sơn</t>
  </si>
  <si>
    <t>0100686174-808</t>
  </si>
  <si>
    <t>Ngân hàng Nông nghiệp và Phát triển nông thôn Việt Nam - Chi nhánh thành phố Lạng Sơn</t>
  </si>
  <si>
    <t>0100686174-809</t>
  </si>
  <si>
    <t>Ngân hàng Nông nghiệp và Phát triển nông thôn Việt Nam - Chi nhánh huyện Bình Gia Lạng Sơn</t>
  </si>
  <si>
    <t>0100686174-810</t>
  </si>
  <si>
    <t>Ngân hàng Nông nghiệp và Phát triển nông thôn Việt Nam - Chi nhánh huyện Văn Quan Lạng Sơn</t>
  </si>
  <si>
    <t>0100686174-811</t>
  </si>
  <si>
    <t>Ngân hàng Nông nghiệp và Phát triển nông thôn Việt Nam - Chi nhánh Đồng Đăng Lạng Sơn</t>
  </si>
  <si>
    <t>0100686174-812</t>
  </si>
  <si>
    <t>Ngân hàng Nông nghiệp và Phát triển nông thôn Việt Nam - Chi nhánh huyện Đình Lập Lạng Sơn</t>
  </si>
  <si>
    <t>0100686174-813</t>
  </si>
  <si>
    <t>Ngân hàng Nông nghiệp và Phát triển bông thôn Việt Nam - Chi nhánh huyện Tràng Định Lạng Sơn</t>
  </si>
  <si>
    <t>0100686174-814</t>
  </si>
  <si>
    <t>Ngân hàng Nông nghiệp và Phát triển nông thôn Việt Nam - Chi nhánh huyện Cao Lộc Lạng Sơn</t>
  </si>
  <si>
    <t>0100686174-815</t>
  </si>
  <si>
    <t>Ngân hàng Nông nghiệp và Phát triển nông thôn Việt Nam - Chi nhánh huyện Hữu Lũng Lạng Sơn</t>
  </si>
  <si>
    <t>0100686174-816</t>
  </si>
  <si>
    <t>Ngân hàng Nông nghiệp và Phát triển nông thôn Việt Nam - Chi nhánh huyện Bắc Sơn Lạng Sơn</t>
  </si>
  <si>
    <t>0100686174-817</t>
  </si>
  <si>
    <t>Mobifone tỉnh Lạng Sơn - Công ty dịch vụ Mobifone khu vực 5 - Chi nhánh Tổng công ty Viễn thông Mobi</t>
  </si>
  <si>
    <t>0100686209-091</t>
  </si>
  <si>
    <t>Công ty Bảo hiểm Bưu điện Lạng Sơn</t>
  </si>
  <si>
    <t>0100774631-052</t>
  </si>
  <si>
    <t>Công ty Bảo Việt Lạng Sơn</t>
  </si>
  <si>
    <t>0101527385-035</t>
  </si>
  <si>
    <t>Tổng công ty cổ phần Công trình Viettel</t>
  </si>
  <si>
    <t>Trung tâm kinh doanh VNPT - Lạng Sơn - Chi nhánh Tổng công ty Dịch vụ viễn thông</t>
  </si>
  <si>
    <t>0106869738-061</t>
  </si>
  <si>
    <t>Công Ty Bảo Minh Lạng Sơn</t>
  </si>
  <si>
    <t>0300446973-048</t>
  </si>
  <si>
    <t>Công ty cổ phần Lương thực Cao Lạng</t>
  </si>
  <si>
    <t>Chi nhánh Khách sạn du lịch Kim Sơn - CÔng ty cổ phần Lương thực Cao Lạng</t>
  </si>
  <si>
    <t>4900219923-009</t>
  </si>
  <si>
    <t>Công ty cổ phần Đá Đồng Mỏ</t>
  </si>
  <si>
    <t>Công ty cổ phần vật liệu xây dựng và kinh doanh tổng hợp - VVMI</t>
  </si>
  <si>
    <t>Doanh nghiệp khác</t>
  </si>
  <si>
    <t>KHU VỰC DOANH NGHIỆP NHÀ NƯỚC ĐỊA PHƯƠNG</t>
  </si>
  <si>
    <t>Xí nghiệp xây lắp - Chi nhánh Công ty TNHH MTV khai thác công trình Thủy lợi Lạng Sơn</t>
  </si>
  <si>
    <t>4900100357-014</t>
  </si>
  <si>
    <t>Xí nghiệp khai thác công trình thủy lợi thành phố Lạng Sơn - Chi nhánh Công ty TNHH MTV khai thác công trình Thủy lợi Lạng Sơn</t>
  </si>
  <si>
    <t>4900100357-015</t>
  </si>
  <si>
    <t>Xí nghiệp khai thác công trình thủy lợi Tràng Định - Chi nhánh Công ty TNHH MTV khai thác công trình Thủy lợi Lạng Sơn</t>
  </si>
  <si>
    <t>4900100357-016</t>
  </si>
  <si>
    <t>Xí nghiệp khai thác công trình thủy lợi Lộc Bình - Chi nhánh Công ty TNHH MTV khai thác công trình Thủy lợi Lạng Sơn</t>
  </si>
  <si>
    <t>4900100357-018</t>
  </si>
  <si>
    <t>Xí nghiệp khai thác công trình thủy lợi Cao Lộc - Chi nhánh Công ty TNHH MTV khai thác công trình Thủy lợi Lạng Sơn</t>
  </si>
  <si>
    <t>4900100357-019</t>
  </si>
  <si>
    <t>Xí nghiệp khai thác công trình thủy lợi Bắc Sơn - Chi nhánh Công ty TNHH MTV khai thác công trình Thủy lợi Lạng Sơn</t>
  </si>
  <si>
    <t>4900100357-020</t>
  </si>
  <si>
    <t>Xí nghiệp khai thác công trình thủy lợi Văn Quan - Chi nhánh Công ty TNHH MTV khai thác công trình Thủy lợi Lạng Sơn</t>
  </si>
  <si>
    <t>4900100357-021</t>
  </si>
  <si>
    <t>Xí nghiệp khai thác công trình thủy lợi Chi Lăng - Chi nhánh Công ty TNHH MTV khai thác công trình Thủy lợi Lạng Sơn</t>
  </si>
  <si>
    <t>4900100357-022</t>
  </si>
  <si>
    <t>Xí nghiệp khai thác công trình thủy lợi Bình Gia - Chi nhánh Công ty TNHH MTV khai thác công trình Thủy lợi Lạng Sơn</t>
  </si>
  <si>
    <t>4900100357-023</t>
  </si>
  <si>
    <t>Xí nghiệp khai thác công trình thủy lợi Hữu Lũng - Chi nhánh Công ty TNHH MTV khai thác công trình Thủy lợi Lạng Sơn</t>
  </si>
  <si>
    <t>4900100357-024</t>
  </si>
  <si>
    <t>Chi nhánh Thoát nước đô thị - Công ty cổ phần Cấp thoát nước Lạng Sơn</t>
  </si>
  <si>
    <t>4900101738-004</t>
  </si>
  <si>
    <t>Chi nhánh Tư vấn xây dựng công trình - Công ty cổ phần Cấp thoát nước Lạng Sơn</t>
  </si>
  <si>
    <t>4900101738-009</t>
  </si>
  <si>
    <t>Công ty cổ phần Chợ Lạng Sơn</t>
  </si>
  <si>
    <t>Công ty TNHH MTV khai thác công trình thủy lợi Lạng Sơn</t>
  </si>
  <si>
    <t>Công ty cổ phần Cấp thoát nước Lạng Sơn</t>
  </si>
  <si>
    <t>Công ty cổ phần Quản lý và xây dựng giao thông Lạng Sơn</t>
  </si>
  <si>
    <t>Đài Phát thanh và Truyền hình tỉnh Lạng Sơn</t>
  </si>
  <si>
    <t>Nhà khách Văn phòng Ủy ban nhân dân tỉnh Lạng Sơn</t>
  </si>
  <si>
    <t>Bệnh viện Đa khoa tỉnh Lạng Sơn</t>
  </si>
  <si>
    <t>Trung tâm Kiểm dịch y tế quốc tế Lạng Sơn</t>
  </si>
  <si>
    <t>Trung tâm Kiểm định chất lượng công trình xây dựng Lạng Sơn</t>
  </si>
  <si>
    <t>Trường cao đẳng Sư phạm Lạng Sơn</t>
  </si>
  <si>
    <t>Trung tâm Quy hoạch Xây dựng</t>
  </si>
  <si>
    <t>Văn phòng Đăng ký đất đai tỉnh Lạng Sơn</t>
  </si>
  <si>
    <t>Trung tâm Công nghệ số</t>
  </si>
  <si>
    <t>Trung tâm Ứng dụng, phát triển khoa học - công nghệ và đo lường chất lượng sản phẩm</t>
  </si>
  <si>
    <t>Công ty cổ phần Kim loại màu Bắc Bộ</t>
  </si>
  <si>
    <t>Chi nhánh Công ty TNHH LOTTERIA Việt Nam tại Lạng Sơn</t>
  </si>
  <si>
    <t>0300644051-038</t>
  </si>
  <si>
    <t>Chi nhánh Công ty AJINOMOTO Việt Nam tại Lạng Sơn</t>
  </si>
  <si>
    <t>3600244645-042</t>
  </si>
  <si>
    <t>Chi nhánh Công ty TNHH YAKULT Việt Nam tại tỉnh Lạng Sơn</t>
  </si>
  <si>
    <t>3700723994-030</t>
  </si>
  <si>
    <t>Công ty TNHH Thực Nghiệp Tân Hải Lạng Sơn</t>
  </si>
  <si>
    <t>Công ty TNHH MTV Cửu Long Lạng Sơn</t>
  </si>
  <si>
    <t>Công ty TNHH MTV INNOVGREEN Lạng Sơn</t>
  </si>
  <si>
    <t>Công ty TNHH Đầu tư Thương mại Lạng Sơn</t>
  </si>
  <si>
    <t>Công ty cổ phần Kim Đạt</t>
  </si>
  <si>
    <t>Công ty TNHH SONGLEES Lạng Sơn</t>
  </si>
  <si>
    <t>Công ty cổ phần Hữu Nghị Xuân Cương</t>
  </si>
  <si>
    <t>Công ty cổ phần tập đoàn Đầu tư và Xây dựng Phú Lộc</t>
  </si>
  <si>
    <t>Chi nhánh Công ty TNHH thương mại Vũ Hoàng Lê</t>
  </si>
  <si>
    <t>0100379769-004</t>
  </si>
  <si>
    <t>Công ty TNHH Tư vấn Thuế - Tài chính Đông Bắc - Lạng Sơn</t>
  </si>
  <si>
    <t>Chi nhánh Công ty TNHH sản xuất hàng tiêu dùng Bình Tiên tại Lạng Sơn</t>
  </si>
  <si>
    <t>0301340497-067</t>
  </si>
  <si>
    <t>Chi nhánh tại Lạng Sơn - Công ty cổ phần Vincom Retail</t>
  </si>
  <si>
    <t>0105850244-008</t>
  </si>
  <si>
    <t>Khách sạn Mường Thanh Luxury Lạng Sơn - Chi nhánh Công ty cổ phần tập đoàn Mường Thanh</t>
  </si>
  <si>
    <t>0106011932-032</t>
  </si>
  <si>
    <t>Văn phòng công chứng Nông Thu Huyền</t>
  </si>
  <si>
    <t>Chi nhánh Công ty cổ phần Kim khí và Gia dụng Tân Á Đại Thành tại Lạng Sơn</t>
  </si>
  <si>
    <t>0108705693-060</t>
  </si>
  <si>
    <t>Công ty TNHH xây dựng Đô Thành</t>
  </si>
  <si>
    <t>Công ty TNHH MTV Nga Phong</t>
  </si>
  <si>
    <t>Công ty TNHH MTV lâm nghiệp Đông Bắc</t>
  </si>
  <si>
    <t>Xí nghiệp rượu Mẫu Sơn - Chi nhánh Công ty cổ phần Du lịch và Xuất nhập khẩu Lạng Sơn</t>
  </si>
  <si>
    <t>4900101456-017</t>
  </si>
  <si>
    <t>Văn phòng công chứng Nguyễn Thị Thùy Loan</t>
  </si>
  <si>
    <t>Khách sạn Hoa Sim - Chi nhánh Công ty cổ phần Du lịch Và Xuất nhập khẩu Lạng Sơn</t>
  </si>
  <si>
    <t>4900101456-016</t>
  </si>
  <si>
    <t>Công ty cổ phần Sản xuất và Thương mại Lạng Sơn</t>
  </si>
  <si>
    <t>Công ty cổ phần Du lịch và Xuất nhập khẩu Lạng Sơn</t>
  </si>
  <si>
    <t>Công ty cổ phần Xi măng Hồng Phong</t>
  </si>
  <si>
    <t>Công ty cổ phần Tư vấn xây dựng giao thông Lạng Sơn</t>
  </si>
  <si>
    <t>Công ty cổ phần Thủy điện Bắc Khê 1</t>
  </si>
  <si>
    <t>Công ty cổ phần Đăng kiểm xe cơ giới Lạng Sơn</t>
  </si>
  <si>
    <t>Công ty TNHH SH LOGISTICS</t>
  </si>
  <si>
    <t>Công ty cổ phần Xây dựng Thành Sơn</t>
  </si>
  <si>
    <t>Công ty cổ phần Xây dựng Lạng Sơn</t>
  </si>
  <si>
    <t>Công ty cổ phần Xuất nhập khẩu Lạng Sơn</t>
  </si>
  <si>
    <t>Công ty cổ phần Vật tư nông nghiệp Lạng Sơn</t>
  </si>
  <si>
    <t>Công ty cổ phần Thương mại Lạng Sơn</t>
  </si>
  <si>
    <t>Công ty cổ phần Đầu tư Sơn Phú</t>
  </si>
  <si>
    <t>Công ty cổ phần Chè Thái Bình Lạng Sơn</t>
  </si>
  <si>
    <t>Chi nhánh Công ty cổ phần thương mại Lạng Sơn tại Huyện Văn Quan</t>
  </si>
  <si>
    <t>4900142205-014</t>
  </si>
  <si>
    <t>Chi nhánh Công ty cổ phần Thương mại Lạng Sơn tại thành phố Lạng Sơn</t>
  </si>
  <si>
    <t>4900142205-020</t>
  </si>
  <si>
    <t>Ngân hàng Thương mại cổ phần Sài Gòn Thương Tín - Chi nhánh Lạng Sơn</t>
  </si>
  <si>
    <t>0301103908-034</t>
  </si>
  <si>
    <t>Ngân hàng Thương mại cổ phần Bưu điện Liên Việt - Chi nhánh Lạng Sơn</t>
  </si>
  <si>
    <t>6300048638-013</t>
  </si>
  <si>
    <t>Công ty cổ phần Quốc tế Sơn Hà - Chi nhánh Lạng Sơn</t>
  </si>
  <si>
    <t>0100776445-039</t>
  </si>
  <si>
    <t>Chi nhánh Công ty cổ phần Mediamart Việt Nam tại Lạng Sơn</t>
  </si>
  <si>
    <t>0102516308-021</t>
  </si>
  <si>
    <t>Chi nhánh Công ty cổ phần Bibomart tại Lạng Sơn</t>
  </si>
  <si>
    <t>0108024302-002</t>
  </si>
  <si>
    <t>Công ty TNHH Trọng Tín</t>
  </si>
  <si>
    <t>Công ty TNHH Mai Lâm</t>
  </si>
  <si>
    <t>Công ty TNHH MTV Thương mại và Dịch vụ The Price</t>
  </si>
  <si>
    <t>Công ty cổ phần Vận tải thương mại Bảo Nguyên</t>
  </si>
  <si>
    <t>Công ty TNHH Bảo Long</t>
  </si>
  <si>
    <t>Công ty cổ phần Sao Vàng</t>
  </si>
  <si>
    <t>Công ty TNHH MTV sản xuất thương mại dịch vụ Giang Sơn</t>
  </si>
  <si>
    <t>Văn phòng công chứng Đông Bắc</t>
  </si>
  <si>
    <t>Công ty TNHH MTV Đức Kiên Lạng Sơn</t>
  </si>
  <si>
    <t>Công ty TNHH Hồng Phong</t>
  </si>
  <si>
    <t>Công ty TNHH Thịnh An Bình</t>
  </si>
  <si>
    <t>Công ty cổ phần gạch ngói Hợp Thành</t>
  </si>
  <si>
    <t>Công ty cổ phần đầu tư Bác Nguyên Lạng Sơn</t>
  </si>
  <si>
    <t>Văn phòng công chứng Hoàng Thị Thúy Dung</t>
  </si>
  <si>
    <t>Thu khác ngân sách địa phương, trong đó</t>
  </si>
  <si>
    <t xml:space="preserve"> + Hỗ trợ kinh phí khen thưởng</t>
  </si>
  <si>
    <t>- Hỗ trợ kinh phí thi đua khen thưởng (không bao gồm lĩnh vực sự nghiệp Giáo dục và Đào tạo)</t>
  </si>
  <si>
    <t>Chính sách sự nghiệp y tế (kinh phí mua thẻ bảo hiểm y tế cho các đối tượng)</t>
  </si>
  <si>
    <t>THU CHUYỂN NGUỒN NĂM TRƯỚC CHUYỂN SANG ĐỂ THỰC HIỆN CẢI CÁCH TIỀN LƯƠNG 2,34 TRIỆU ĐỒNG/ THÁNG</t>
  </si>
  <si>
    <t>G</t>
  </si>
  <si>
    <t>- Hỗ trợ có mục tiêu hạ tầng cơ sở và đối ứng kinh phí hỗ trợ nhà ở các huyện nghèo, huyện có xã an toàn khu</t>
  </si>
  <si>
    <t>- Dự kiến chi sửa chữa, cải tạo, mua sắm khối tỉnh</t>
  </si>
  <si>
    <t>709,7 km</t>
  </si>
  <si>
    <t>126,3 km</t>
  </si>
  <si>
    <t>5,1 km</t>
  </si>
  <si>
    <t>Trong đó Thu từ hàng hóa nhập khẩu do cơ sở kinh doanh nhập khẩu tiếp tục bán ra trong nước</t>
  </si>
  <si>
    <t>- Kinh phí hỗ trợ đất trồng lúa theo Nghị định số 112/2024/NĐ-CP ngày 11/9/2024 của Chính phủ</t>
  </si>
  <si>
    <t xml:space="preserve"> - Kinh phí Đại hội Đảng các cấp nhiệm kỳ 2025 - 2030</t>
  </si>
  <si>
    <t xml:space="preserve"> - Đối ứng kinh phí sự nghiệp thực hiện các Chương trình mục tiêu quốc gia xây dựng nông thôn mới </t>
  </si>
  <si>
    <t>- Dự kiến Kinh phí Đại hội Đảng huyện 30 tỷ và đối ứng vốn SN 2 CT MTQG khoảng 3 tỷ</t>
  </si>
  <si>
    <t>Lũy kế vốn bố trí đến hết  năm 2022</t>
  </si>
  <si>
    <t>Kế hoạch 
năm 2023</t>
  </si>
  <si>
    <t>Lũy kế khối lượng thực hiện đến hết 2023</t>
  </si>
  <si>
    <t>Kế hoạch 
năm 2024</t>
  </si>
  <si>
    <t>Kế hoạch vốn năm 2024</t>
  </si>
  <si>
    <t>Lũy kế khối lượng thực hiện đến hết 2024</t>
  </si>
  <si>
    <t>Nhu cầu vốn của các đơn vị
 đề xuất
 năm 2025</t>
  </si>
  <si>
    <t>Kế hoạch 
năm 2025</t>
  </si>
  <si>
    <t>Tổng mức ĐT</t>
  </si>
  <si>
    <t>Điều chỉnh Quy hoạch chung thị trấn Na Sầm, huyện Văn Lãng đến năm 2035, tỷ lệ 1/5.000</t>
  </si>
  <si>
    <t>Quyết định số 1542/QĐ-UBND ngày 12/8/2020.</t>
  </si>
  <si>
    <t>Bố trí đủ</t>
  </si>
  <si>
    <t>Điều chỉnh quy hoạch chung thị trấn Lộc Bình, huyện Lộc Bình,
tỉnh Lạng Sơn đến năm 2035, tỷ lệ 1/5.000</t>
  </si>
  <si>
    <t>Quyết định số 1859/QĐ-UBND ngày 16/9/2021; Điều chỉnh, bổ sung theo QĐ số 1435/QĐ-UBND ngày 31/8/2022</t>
  </si>
  <si>
    <t>Quyết định số 1866/QĐ-UBND ngày 17/9/2021</t>
  </si>
  <si>
    <t xml:space="preserve"> Quyết định số 1863/QĐ-UBND ngày 17/9/2021;  Điều chỉnh, bổ sung theo QĐ số 1404/QĐ-UBND ngày 26/8/2022</t>
  </si>
  <si>
    <r>
      <t xml:space="preserve">Điều chỉnh Quy hoạch tổng thể Khu di tích Chi Lăng – Lạng Sơn, tỷ lệ 1/2000 </t>
    </r>
    <r>
      <rPr>
        <i/>
        <sz val="11"/>
        <rFont val="Times New Roman"/>
        <family val="1"/>
      </rPr>
      <t>(Nay là Quy hoạch bảo quản, tu bổ, phục hồi di tích Khu di tích Chi Lăng, huyện Chi Lăng, tỉnh Lạng Sơn, tỷ lệ 1/2000)</t>
    </r>
    <r>
      <rPr>
        <sz val="11"/>
        <rFont val="Times New Roman"/>
        <family val="1"/>
      </rPr>
      <t>.</t>
    </r>
  </si>
  <si>
    <t>Quyết định số 1539/QĐ-TTg ngày 16/9/2021</t>
  </si>
  <si>
    <t>Thị trấn Cao Lộc, xã Hợp Thành</t>
  </si>
  <si>
    <t xml:space="preserve">Quyết định số 66/QĐ-UBND ngày 08/01/2022 của UBND tỉnh, </t>
  </si>
  <si>
    <t>Thị trấn Chi Lăng</t>
  </si>
  <si>
    <t>Quyết định số 1841/QĐ-UBND ngày 11/9/2021</t>
  </si>
  <si>
    <t>Quyết định số 2823/QĐ-UBND ngày 31/12/2020; Quyết định 1682/QĐ-UBND ngày 18/10/2023</t>
  </si>
  <si>
    <t>Quyết định số 1166/QĐ-UBND ngày 13/7/2022</t>
  </si>
  <si>
    <t>Quy hoạch vùng huyện Văn Lãng, đến năm 2040, tầm nhìn đến năm 2050</t>
  </si>
  <si>
    <t xml:space="preserve"> Huyện Văn Lãng</t>
  </si>
  <si>
    <t xml:space="preserve">Quyết định số 317/QĐ-UBND ngày 28/2/2023 </t>
  </si>
  <si>
    <t>Quy hoạch chung xây dựng Khu cửa khẩu Chi Ma, huyện Lộc Bình, tỉnh Lạng Sơn đến năm 2045</t>
  </si>
  <si>
    <t>2022 - 2025</t>
  </si>
  <si>
    <t>Nghị quyết số 26/NQ-HĐND ngày 30/5/2024</t>
  </si>
  <si>
    <t>Ban Quản lý khu kinh tế cửa khẩu Đồng Đăng - Lạng Sơn</t>
  </si>
  <si>
    <t>Quy hoạch bảo quản, tu bổ, phục hồi Di tích quốc gia đặc biệt- di tích lịch sử Khởi nghĩa Bắc Sơn</t>
  </si>
  <si>
    <t>2023-2025</t>
  </si>
  <si>
    <t xml:space="preserve">Quyết định số 1960/QĐ-UBND ngày 12/12/2022 </t>
  </si>
  <si>
    <t>Quy hoạch bảo quản, tu bổ, phục hồi và phát huy giá trị 22 điểm di tích quốc gia Khu di tích Chi Lăng, huyện Chi Lăng, tỉnh Lạng Sơn.</t>
  </si>
  <si>
    <t xml:space="preserve">Quyết định số 1051/QĐ-UBND ngày 10/07/2023 </t>
  </si>
  <si>
    <t>Quyết định số 1741/QĐ-UBND ngày 10/06/2022</t>
  </si>
  <si>
    <r>
      <t xml:space="preserve">Quy hoạch chi tiết Khu liên hợp thể thao tỉnh Lạng Sơn </t>
    </r>
    <r>
      <rPr>
        <i/>
        <sz val="11"/>
        <rFont val="Times New Roman"/>
        <family val="1"/>
      </rPr>
      <t>(Hạng mục: Sân vận động trung tâm, nhà thi đấu đa năng).</t>
    </r>
  </si>
  <si>
    <t>TP Lạng Sơn</t>
  </si>
  <si>
    <t>Quyết định số 818/QĐ-UBND ngày 12/04/2023</t>
  </si>
  <si>
    <t>Quy hoạch xây dựng vùng huyện Chi Lăng đến năm 2040, tầm nhìn đến năm 2050</t>
  </si>
  <si>
    <t xml:space="preserve">Quyết định số 1961/QĐ-UBND ngày 12/12/2022 </t>
  </si>
  <si>
    <t>Điều chỉnh cục bộ Quy hoạch chung xây dựng thị trấn Bắc Sơn, huyện Bắc Sơn, đến năm 2035 tỷ lệ 1/5000</t>
  </si>
  <si>
    <t>2023</t>
  </si>
  <si>
    <t>Quyết định số 1892/QĐ-UBND ngày 18/11/2023</t>
  </si>
  <si>
    <t>Quy hoạch xây dựng vùng huyện Bắc Sơn đến năm 2040, tầm nhìn đến năm 2050</t>
  </si>
  <si>
    <t>Quyết định số 512/QĐ-UBND ngày 18/3/2024</t>
  </si>
  <si>
    <t xml:space="preserve"> Huyện Tràng Định</t>
  </si>
  <si>
    <t xml:space="preserve">Quyết định số 2067/QĐ-UBND ngày 28/12/2022 </t>
  </si>
  <si>
    <t>Quyết định số 965/QĐ-UBND ngày 29/05/2024</t>
  </si>
  <si>
    <t>Điều chỉnh cục bộ Quy hoạch chung
thị trấn Bình Gia, huyện Bình Gia, tỉnh Lạng Sơn đến năm 2035</t>
  </si>
  <si>
    <t>Quyết định số 852/QĐ-UBND ngày 02/6/2023</t>
  </si>
  <si>
    <t xml:space="preserve">Quyết định số 1643/QĐ-UBND ngày 17/10/2022 </t>
  </si>
  <si>
    <t>Quyết định số 539/QĐ-UBND ngày 22/3/2024</t>
  </si>
  <si>
    <t>Quy hoạch vùng huyện Đình Lập đến năm 2040, tầm nhìn đến năm 2050, tỷ lệ 1/25000</t>
  </si>
  <si>
    <t>Quyết định số 1648/QĐ-UBND ngày 17/10/2022; 290/QĐ-UBND ngày 06/02/2024</t>
  </si>
  <si>
    <t>Quy hoạch xây dựng vùng huyện Lộc Bình đến năm 2040, tầm nhìn đến năm 2050</t>
  </si>
  <si>
    <t>2023-7/2025</t>
  </si>
  <si>
    <t>Quyết định số 1137/QĐ-
UBND ngày 25/07/2023; Công văn số 1723/UBND-KT ngày 12/11/2024</t>
  </si>
  <si>
    <t>Quy hoạch chi tiết xây dựng tỷ lệ 1/500 Kho bãi tạm giữ phương tiện vi phạm trật tự an toàn giao thông</t>
  </si>
  <si>
    <t>Quyết định số 3079/QĐ-UBND huyện Cao Lộc</t>
  </si>
  <si>
    <t>Chi sự nghiệp Thể dục, Thể thao</t>
  </si>
  <si>
    <t>- Kinh phí chăm sóc sức khỏe người cao tuổi theo Thông tư số 96/2018/TT-BTC ngày 18/10/2018 của Bộ trưởng Bộ Tài chính</t>
  </si>
  <si>
    <t xml:space="preserve"> - Kinh phí thực hiện chế độ, chính sách đối với người hoạt động không chuyên trách ở cấp xã, ở thôn, tổ dân phố và người trực tiếp tham gia hoạt động ở thôn, tổ dân phố; mức khoán kinh phí hoạt động của các tổ chức chính trị - xã hội ở cấp xã, ở thôn, tổ dân phố trên địa bàn tỉnh Lạng Sơn theo Nghị quyết 02/2024/NQ-HĐND ngày 30/5/2024 của Hội đồng nhân dân tỉnh</t>
  </si>
  <si>
    <t xml:space="preserve"> - Kinh phí hỗ trợ thuỷ lợi nhỏ, thuỷ lợi nội đồng theo Nghị quyết số 09/2019/NQ-HĐND ngày 10/12/2019 của HĐND tỉnh</t>
  </si>
  <si>
    <t xml:space="preserve"> - Hỗ trợ thực hiện Nghị quyết số 40-NQ/TU ngày 05/8/2021 của Ban Thường vụ Tỉnh ủy về xây dựng và phát triển thành phố Lạng Sơn giai đoạn 2021-2030, định hướng đến năm 2050</t>
  </si>
  <si>
    <t xml:space="preserve">                + Hỗ trợ kinh phí quản lý, vận hành công trình Hồ chứa nước Bản Lải</t>
  </si>
  <si>
    <t>Kinh phí thực hiện các chính sách an sinh xã hội, trong đó</t>
  </si>
  <si>
    <t>Kinh phí thực hiện Đề án bồi dưỡng cán bộ, công chức Hội Liên hiệp Phụ nữ các cấp và Chi hội trưởng Phụ nữ giai đoạn 2019 - 2025 (Hội Liên hiệp Phụ nữ tỉnh)</t>
  </si>
  <si>
    <t>BIỂU 6: TỔNG HỢP GIAO DỰ TOÁN THU, CHI TIỀN BỒI THƯỜNG, GIẢI PHÓNG MẶT BẰNG
ĐỐI VỚI SỐ TIỀN NHÀ ĐẦU TƯ ĐÃ ỨNG TRƯỚC ĐƯỢC ĐỐI TRỪ TIỀN THUÊ ĐẤT NĂM 2025</t>
  </si>
  <si>
    <t xml:space="preserve">- Sự nghiệp Giáo dục   </t>
  </si>
  <si>
    <t xml:space="preserve">- Chi quản lý nhà nước   </t>
  </si>
  <si>
    <t>Bưu điện tỉnh Lạng Sơn</t>
  </si>
  <si>
    <t>Ban Quản lý dự án ĐTXD tỉnh Lạng Sơn</t>
  </si>
  <si>
    <t xml:space="preserve">BIỂU 9: TỔNG HỢP KẾ HOẠCH VỐN CÁC DỰ ÁN QUY HOẠCH NĂM 2025 </t>
  </si>
  <si>
    <t>Kinh phí hoạt động thường xuyên của Ban Chỉ đạo 389 tỉnh: 1.200 triệu đồng; Đảm bảo cho công tác xử phạt vi phạm hành chính: 700 triệu đồng.</t>
  </si>
  <si>
    <t>Cục Quản lý thị trường Lạng Sơn</t>
  </si>
  <si>
    <t>Hỗ trợ kinh phí thực hiện triển khai công tác thu ngân sách nhà nước</t>
  </si>
  <si>
    <t>Cục Hải Quan Lạng Sơn</t>
  </si>
  <si>
    <t>Kinh phí tổ chức các hoạt động công đoàn chào mừng Đại hội Đảng các cấp nhiệm kỳ 2025-2030</t>
  </si>
  <si>
    <t>Công đoàn viên chức tỉnh Lạng Sơn</t>
  </si>
  <si>
    <t>Cục Thuế tỉnh Lạng Sơn</t>
  </si>
  <si>
    <t>Hỗ trợ chuyên môn nghiệp vụ (Xác minh giải quyết án, Chi tiêu huỷ tang vật,vật chứng, hoạt động ban chỉ đạo thi hành án tỉnh)</t>
  </si>
  <si>
    <t>Hỗ trợ hoạt động chuyên môn, nghiệp vụ phối hợp</t>
  </si>
  <si>
    <t>Hỗ trợ Phát hành các ấn phẩm thống kê</t>
  </si>
  <si>
    <t>Cục Thống Kê tỉnh</t>
  </si>
  <si>
    <t>Hoạt động công tác chuyên môn nhiệm vụ, phối hợp: 600 triệu đồng; Hỗ trợ Hội thẩm nhân dân nghiên cứu hồ sơ, xét xử theo Nghị quyết số 14/2021/NQ-HĐND ngày 17/7/2021 của HĐND tỉnh: 122 triệu đồng; Bồi dưỡng nghiệp vụ xét xử cho Hội thẩm nhân dân và hoạt động của Đoàn Hôi thẩm nhân dân hai cấp: 180 triệu đồng; Thi hành án tử hình đối với 05 bị án: 313 triệu đồng.</t>
  </si>
  <si>
    <t xml:space="preserve"> Kinh phí đào tạo bồi dưỡng theo Kế hoạch số 189-KH/TU ngày 30/9/2024 của Tỉnh uỷ</t>
  </si>
  <si>
    <t>Đào tạo, bồi dưỡng</t>
  </si>
  <si>
    <t>Kinh phí thực hiện Kế hoạch số 183/KH-UBND ngày 18/11/2020 của UBND tỉnh về kế hoạch đảm bảo tài chính thực hiện chiến lược quốc gia chấm dứt dịch bệnh AIDS vào năm 2030 trên địa bàn tỉnh Lạng Sơn giai đoạn 2021-2025: 20 triệu đồng</t>
  </si>
  <si>
    <t>Kế hoạch, đề án</t>
  </si>
  <si>
    <t>Kinh phí hỗ trợ thực hiện nhiệm vụ quyết toán năm</t>
  </si>
  <si>
    <t>Chương trình phòng chống tội phạm và Hỗ trợ công tác tình báo theo Nghị định số 162 của Chính phủ</t>
  </si>
  <si>
    <t>Kinh phí tổ chức các lớp bồi dưỡng theo Kế hoạch số 189-KH/TU ngày 30/9/2024 của Tỉnh uỷ</t>
  </si>
  <si>
    <t>Chương trình bảo vệ và chăm sóc trẻ em: 200 triệu đồng; Kinh phí quản lý chăm sóc, tư vấn, điều trị và phòng cho người nhiễm HIV tại trại tạm giam: 200 triệu đồng; Chương trình phòng, chống mua bán người: 500 triệu đồng</t>
  </si>
  <si>
    <t>Đảm bảo công tác an ninh trật tự địa phương: 6.208 triệu đồng; Khen thưởng khu dân cư, xã, phường, thị trấn, cơ quan, doanh nghiệp, cơ sở giáo dục đạt tiêu chuẩn "An toàn về an ninh trật tự": 460 triệu đồng; Kinh phí phát hành Bản tin lực lượng tham gia bảo vệ An ninh trật tự cơ sở: 250 triệu đồng; Kinh phí phục vụ công tác Phòng chống khủng bố, khiếu kiện: 350 triệu đồng; Kinh phí phục vụ công tác nhân quyền: 200 triệu đồng; Kinh phí phòng, chống sai phạm về pháo: 1.000 triệu đồng; Kinh phí Chỉ thị 01/CT-TTg ngày 03/5/2018; Chỉ thị 01/CT-TTg, ngày 14/10/2019: 500 triệu đồng; Kinh phí tuyên truyền, huấn luyện nghiệp vụ chữa cháy, CNCH, hội thao: 300 triệu đồng; Kinh phí mua sắm thiết bị PCCC theo chuẩn quy định và cứu nạn, cứu hộ: 500 triệu đồng; Kinh phí thực hiện Nghị định 03/2019/NĐ-CP ngày 05/9/2019 của Chính phủ: 100 triệu đồng; Kinh phí bảo vệ bí mật nhà nước: 150 triệu đồng; Kinh phí công tác cảnh vệ: 100 triệu đồng; Kinh phí mua sắm trang phục lực lượng tham gia Bảo vệ An ninh trật tự ở cơ sở: 18.580 triệu đồng; Kinh phí phát huy vai trò người có uy tín trong đồng bào dân tộc thiểu số: 100 triệu đồng; Kinh phí hỗ trợ tiểu ban an toàn an ninh mạng: 150 triệu đồng; Kinh phí thực hiện Đề án 07-ĐA/TU ngày 27/6/2023 của Tỉnh uỷ Lạng Sơn: 1.590 triệu đồng; Kinh phí thực hiện Kế hoạch số 80/KH-UBND ngày 02/7/2024 của UBND tỉnh Lạng Sơn: 200 triệu đồng; Kinh phí thực hiện Kế hoạch số 149/KH-UBND ngày 20/8/2020: 300 triệu đồng</t>
  </si>
  <si>
    <t>Kinh phí đào tạo bồi dưỡng theo Kế hoạch số 189-KH/TU, ngày 30/9/2025 của Ban Thường vụ Tỉnh ủy về đào tạo, bồi dưỡng cán bộ, công chức, viên chức khối Đảng, Mặt trận Tổ quốc và các tổ chức chính trị - xã hội năm 2025</t>
  </si>
  <si>
    <t xml:space="preserve">Sự nghiệp Đào tạo </t>
  </si>
  <si>
    <t>Sửa chữa, bảo dưỡng phương tiện phục vụ kiểm tra, bảo vệ, quản lý biên giới: 650 triệu đồng; mua sắm vật tư, thiết bị đảm bảo sinh hoạt cho, làm việc cán bộ, chiến sỹ các Đồn và cơ quan Bộ Chỉ huy Bộ đội Biên phòng tỉnh: 900 triệu đồng; chi phục vụ các hoạt động chung của lực lượng Biên phòng làm nhiệm vụ tại các cửa khẩu phụ: 1.300 triệu đồng; hỗ trợ mua nhiên liệu phục vụ công tác kiểm tra, quản lý biên giới: 650 triệu đồng; hỗ trợ chi trả tiền điện, nước và các chi phí khác cơ quan Bộ Chỉ huy và các đơn vị: 2.000 triệu đông; chi công tác đấu tranh phòng, chống ma túy và tội phạm: 150 triệu đồng; chi công tác tình báo, trinh sát biên giới: 200 triệu đồng; chi cho công tác huấn luyện sẵn sàng chiến đấu, thể dục, thể thao: 500 triệu đông; hỗ trợ hoạt động công tác chuyên môn quốc phòng cho các ngành nghiệp vụ: 3.000 triệu đồng; chi hỗ trợ bảo đảm an toàn kỹ thuật về vũ khí, đạn: 450 triệu đông; kinh phí phục vụ công tác bảo vệ, quản lý biên giới theo Công văn số 173/VP-THNC ngày 27/8/2020 của Văn phòng UBND tỉnh: 1.500 triệu đồng; kinh phí khen thưởng đột xuất cho cán bộ, quần chúng có thành tích xuất sắc trong quản lý, bảo vệ biên giới và đấu tranh chống tội phạm: 500 triệu đồng; thuê phương tiện vận chuyển quân (ra quân, nhiệm vụ tăng cường): 100 triệu đồng; kinh phí thực hiện 3 văn kiện pháp lý biên giới: 1.200 triệu đồng; kinh phí đề án tuyên truyền phổ biến giáo dục pháp luật cho cán bộ, chiến sỹ, nhân dân khu vực biên giới: 250 triệu đồng; kinh phí thực hiện các hoạt động phòng, chống HIV/AIDS của tỉnh Lạng Sơn: 20 triệu đồng; hỗ trợ đảm bảo cơ sở vật chất quân sự quốc phòng: 6.900 triệu đồng; kinh phí làm đường lên mốc Quốc giới: 5.000 triệu đông; sửa chữa cải tạo các công trình các Đồn Biên phòng thuộc Bộ Chỉ huy Bộ đội Biên phòng tỉnh: 5.220 triệu đồng; thực hiện các kế hoạch "Xã, thôn, bản biên giới nói không với tệ nạn ma túy": 200 triệu đồng; hỗ trợ diễn tập chiến thuật tác chiến các đồn Biên phòng: 300 triệu đồng; hỗ trợ Đại hội Đảng bộ BCHBĐBP tỉnh nhiệm kỳ 2025-2030: 400 triệu đồng.</t>
  </si>
  <si>
    <t>Hoạt động quốc phòng</t>
  </si>
  <si>
    <t>Bộ Chỉ huy Bộ đội Biên phòng</t>
  </si>
  <si>
    <t>Kinh phí đào tạo bồi dưỡng theo Kế hoạch số 189-KH/TU, ngày 30/9/2025 của Ban Thường vụ Tỉnh ủy về đào tạo, bồi dưỡng cán bộ, công chức, viên chức khối Đảng, Mặt trận Tổ quốc và các tổ chức chính trị - xã hội năm 2025.</t>
  </si>
  <si>
    <t>Đảm bảo cho huấn luyện dân quân tự vệ, giáo dục quốc phòng và an ninh: 2.500 triệu đồng; trang phục cho dân quân tự vệ theo Luật Dân quân tự vệ: 10.000 triệu đồng; đảm bảo cho huấn luyện Quân nhân dự bị: 5.500 triệu đồng; hỗ trợ Đại hội Đảng bộ BCHQS tỉnh nhiệm kỳ 2025-2030: 400 triệu đồng; hỗ trợ đảm bảo cơ sở, vật chất quân sự quốc phòng địa phương và cơ sở vật chất doanh trại phục vụ hội thi doanh trại chính quy, sáng, xanh, sạch, đẹp cấp Quân khu: 23.000 triệu đồng; hoạt động công tác chuyên môn quốc phòng địa phương: 9.000 triệu đồng; hỗ trợ hoạt động nhiệm vụ quốc phòng địa phương phát sinh đột xuất trong năm, cơ sở vật chất văn phòng tài chính: 4.800 triệu đồng; hỗ trợ công tác huấn luyện sẵn sàng chiến đấu: 2.000 triệu đồng.</t>
  </si>
  <si>
    <t>Bộ chỉ huy quân sự tỉnh</t>
  </si>
  <si>
    <t>Kinh phí nhuận bút chương trình phát thanh truyền hình hàng ngày.</t>
  </si>
  <si>
    <t xml:space="preserve">Kinh phí thực hiện nhiệm vụ “Xây dựng Hệ thống chuyển đổi số của Đài Phát thanh và Truyền hình tỉnh phục vụ hoạt động quản lý điều hành, quản lý sản xuất và quản lý phát sóng.” </t>
  </si>
  <si>
    <t xml:space="preserve"> Kinh phí thi đua khen thưởng: 125 triệu đồng; Đảm bảo tài chính thực hiện chiến lược quốc gia chấm dứt dịch bệnh AIDS vào năm 2030 trên địa bàn tỉnh Lạng Sơn giai đoạn 2021-2025 theo Kế hoạch số 183/KH-UBND ngày 18/11/2020 của UBND tỉnh: 20 triệu đồng; sửa chữa xe ô tô: 100 triệu đồng; Tiền thưởng theo Nghị định số 73/2024/NĐ-CP ngày 30/6/2024 của Chính phủ: 932 triệu đồng.</t>
  </si>
  <si>
    <t>SỰ NGHIỆP PHÁT THANH TRUYÊN HÌNH</t>
  </si>
  <si>
    <t>Kinh phí bồi dưỡng theo Kế hoạch số 216/KH-UBND ngày 25/9/2024 của UBND tỉnh và Kế hoạch số 189-KH/TU ngày 30/9/2024 của Tỉnh uỷ.</t>
  </si>
  <si>
    <t>Kinh phí thi đua khen thưởng: 125 triệu đồng; Kinh phí thực hiện theo Đề án 09-ĐA/TU ngày 18/7/2023, Kế hoạch 03-KH/BCĐ ngày 06/8/2024 triển khai thực hiện Đề án số 09-ĐA/TU: 156 triệu đồng; Sửa chữa ô tô: 90 triệu đồng; Tiền thưởng theo Nghị định số 73/2024/NĐ-CP ngày 30/6/2024 của Chính phủ: 513 triệu đồng.</t>
  </si>
  <si>
    <t>Kinh phí miễn, giảm học phí theo quy định tại Nghị định số 81/2021/NĐ-CP ngày 27/8/2021 của Chính phủ: 1.325 triệu đồng; Chính sách nội trú đối với học sinh, sinh viên học cao đẳng, trung cấp Quyết định số 53/2015/QĐ-TTg ngày 20/10/2015 của Thủ tướng Chính phủ: 6.644 triệu đồng</t>
  </si>
  <si>
    <t xml:space="preserve">Chế độ chính sách, chương trình, đề án nguồn kinh phí Trung ương </t>
  </si>
  <si>
    <t>Kinh phí thi đua khen thưởng: 80 triệu đồng; Sửa chữa xe ô tô: 120 Triệu đồng; Hỗ trợ các hội thi nghề: 200 Triệu đồng; Chỉnh sửa chương trình, giáo trình Cao đẳng, trung cấp nghề: 230 triệu đồng; Tiền thưởng theo Nghị định số 73/2024/NĐ-CP ngày 30/6/2024 của Chính phủ: 522 triệu đồng</t>
  </si>
  <si>
    <t>Trường Cao đẳng nghề Lạng Sơn</t>
  </si>
  <si>
    <t>Hỗ trợ doanh nghiệp nhỏ và vừa (Hỗ trợ thông tin phát triển thương hiệu, kết nối và mở rộng thị trường: 200 triệu đồng; Khoá đào tạo khởi sự kinh doanh: 160 triệu đồng; Khoá đào tạo quản trị doanh nghiệp cơ bản: 140 triệu đồng)</t>
  </si>
  <si>
    <t>Kinh phí Trung ương bổ sung có mục tiêu</t>
  </si>
  <si>
    <t>Trung tâm Xúc tiến đầu tư, Thương mại và Du lịch</t>
  </si>
  <si>
    <t>SỰ NGHIỆP KINH TẾ KHÁC</t>
  </si>
  <si>
    <t>Hỗ trợ tiền công, chi khác lao động hợp đồng theo Nghị định số111/2022/NĐ-CP ngày 30/12/2022: 327 triệu đồng; kinh phí thi đua khen thưởng: 25 triệu đồng; Ban Chỉ đạo xây dựng nông thôn mới của tỉnh: 250 triệu đồng; Tiền thưởng theo Nghị định số 73/2024/NĐ-CP ngày 30/6/2024 của Chính phủ: 153 triệu đồng.</t>
  </si>
  <si>
    <t>Kinh phí thi đua khen thưởng: 71 Triệu đồng; Hỗ trợ tiền công, chi khác lao động hợp đồng theo Nghị định số 111/2022/NĐ-CP ngày 30/12/2022: 589 Triệu đồng; Hỗ trợ hoạt động chuyên môn phục vụ công tác quản lý cửa khẩu, đối ngoại, công tác điều hành, kiểm tra tại các cửa khẩu: 700 Triệu đồng; Hỗ trợ hoạt động xúc tiến đầu tư trong khu kinh tế cửa khẩu và khhu công nghiệp tỉnh Lạng Sơn: 500 Triệu đồng; Kiểm soát thủ tục hành chính: 22 Triệu đồng; Tiền thưởng theo Nghị định số 73/2024/NĐ-CP ngày 30/6/2024 của Chính phủ: 316 triệu đồng</t>
  </si>
  <si>
    <t>Kinh phí đào tạo bồi dưỡng theo Kế hoạch số 216/KH-UBND ngày 25/9/2024</t>
  </si>
  <si>
    <t>Hỗ trợ tiền công, chi khác lao động hợp đồng theo Nghị định số 111/2022/NĐ-CP ngày 30/12/2022: 617 triệu đồng; Kinh phí thi đua khen thưởng: 70 triệu đồng; Kiểm soát thủ tục hành chính: 35 triệu đồng; Trang phục thanh tra: 166 triệu đồng; Sửa chữa ô tô: 50 triệu đồng; Kinh phí trích từ số thu nộp thanh tra: 900 triệu đồng; Hội đồng tư vấn giải quyết khiếu nại tỉnh theo QĐ số 2197/QĐ-UBND ngày 27/10/2020: 40 triệu đồng; Tổ đánh giá công tác phòng chống tham nhũng theo Quyết định số 596/QĐ-UBND ngày 28/3/2024: 40 triệu đồng; Tổ chức xác minh bản kê khai tài sản, thu nhập của người có chức vụ, quyền hạn theo Nghị định số 130/2020/NĐ-CP ngày 30/10/2020: 126 triệu đồng; Kinh phí tiếp công dân: 25 triệu đồng; Kinh phí thực hiện nhiệm vụ chuyên môn: 300 triệu đồng; Kinh phí hoạt động đặc thù, đột xuất ngành thanh tra: 370 triệu đồng; Tiền thưởng theo Nghị định số 73/2024/NĐ-CP ngày 30/6/2024: 383 triệu đồng</t>
  </si>
  <si>
    <t>Lĩnh vực đào tạo</t>
  </si>
  <si>
    <t>Hỗ trợ doanh nghiệp nhỏ và vừa (Hỗ trợ tư vấn giải pháp chuyển đổi số: 100 triệu đồng)</t>
  </si>
  <si>
    <t xml:space="preserve">Kinh phí Trung ương bổ sung có mục tiêu </t>
  </si>
  <si>
    <t>Phát động cuộc thi viết thư UPU hàng năm trên địa bàn tỉnh Lạng Sơn và tuyên truyền cuộc thi UPU hàng năm trên địa bàn tỉnh: 50 triệu đồng; Kinh phí thực hiện đề án Nâng cao hiệu quả hoạt động thông tin cơ sở trên địa bàn tỉnh Lạng Sơn giai đoạn 2021-2025 theo Quyết định số 1575/QĐ-UBND ngày 09/8/2021, Kế hoạch số 74/KH-UBND ngày 30/3/2023, Công văn số 566/UBND-KGVX ngày 15/5/2023: 7.000 triệu đồng; Thiết lập điểm wifi tại các thôn bản theo Kế hoạch số 157/KH-UBND ngày 05/7/2024: 1.700 triệu đồng; Các hoạt động thông tin truyền thông khác (thuê phần mềm cập nhật theo dõi thống kê tin về tỉnh Lạng Sơn, cước viễn thông, dịch vụ hội nghị truyền hình trực tuyến, các hoạt động khác): 600 triệu đồng</t>
  </si>
  <si>
    <t>Tổ chức Ngày sách Việt Nam theo Quyết định số 284/QĐ-TTg ngày 24/2/2014: 120 triệu đồng; Chiến lược phát triển thông tin quốc gia đến năm 2025, tầm nhìn đến năm 2030 trên địa bàn tỉnh theo Kế hoạch số 88/KH-UBND ngày 26/5/2020; Hợp tác truyền thông giữa UBND tỉnh Lạng Sơn với các cơ quan báo chí Trung ương theo Kế hoạch số 236/KH-UBND ngày 14/12/2021: 4.175 triệu đồng; Kinh phí thông tin đối ngoại theo Kế hoạch số 126/KH-UBND ngày 02/4/2022: 360 triệu đồng; Tuyên truyền phổ biển Luật Đất đai 2024 theo Kế hoạch số 110/KH-UBND ngày 18/5/2024: 100 triệu đồng; Kinh phí thực hiên Dự án "Tuyên truyền về phòng, chống ma túy trên các phương tiện thông tin đại chúng và hệ thống thông tin cơ sở giai đoạn 2021-2025" theo Kế hoạch số 203/KH-UBND ngày 15/10/2021: 100 triệu đồng; Tuyên truyền quảng bá ASEAN giai đoạn 2021 - 2025 theo Kế hoạch số 182/KH-UBND ngày 28/8/2021: 200 triệu đồng; Truyền thông về quyền con người ở Việt Nam giai đoạn 2023-2028 trên địa bàn tỉnh Lạng Sơn theo Kế hoạch số 260/KH-UBND ngày 27/12/2022: 200 triệu đồng; Xây dựng trợ lý ảo hỗ trợ cho cán bộ, công chức, viên chức trong môi trường làm việc (thuê dịch vụ) theo KH 233/KH-UBND ngày 20/12/2023: 1.906 triệu đồng; Kết nối liên thông cơ sở dữ liệu qua trục LGSP theo KH 233/KH-UBND ngày 20/12/2023: 2.000 triệu đồng; Đầu tư xây dựng Trung tâm thông tin chỉ đạo, điều hành UBND tỉnh (IOC) (thuê dịch vụ) theo KH 233/KH-UBND ngày 20/12/2023: 3.300 triệu đồng; Xây dựng Nền tảng trợ lý ảo giải pháp tự động về thủ tục hành chính (người dân và doanh nghiệp) (thuê dịch vụ) theo KH 233/KH-UBND ngày 20/12/2023: 1.800 triệu đồng; Xây dựng App Lạng Sơn Smart (Công dân số Xứ Lạng) cho người dân và doanh nghiệp tương tác với chính quyền (thuê dịch vụ) theo KH 233/KH-UBND ngày 20/12/2023: 1.200 triệu đồng; Đầu tư trang thiết bị cơ sở hạ tầng và Nền tảng ứng dụng cửa khẩu số của tỉnh (thuê dịch vụ) theo KH 233/KH-UBND ngày 20/12/2023: 4.300 triệu đồng; Kiểm tra đánh giá định kỳ an toàn thông tin theo KH 233/KH-UBND ngày 20/12/2023: 1.050 triệu đồng</t>
  </si>
  <si>
    <t>Duy trì cập nhật khung chính quyền điện tử tỉnh Lạng Sơn theo Quyết định số 79/QĐ-UBND ngày 11/01/2022, Quyết định số 1063/QĐ-UBND ngày 07/6/2019: 200 triệu đồng; Duy trì hệ thống hội nghị truyền hình trực tuyến từ cấp tỉnh, huyện, xã theo Kế hoạch số 195/KH-UBND ngày 08/12/2020: 300 triệu đồng; Triển khai hệ thống chứng thực điện tử và chữ ký số (mở rộng đến lãnh đạo cấp phòng, đơn vị trực thuộc Sở, ngành, UBND cấp huyện và cấp xã): 500 triệu đồng; Thuê hệ thống phần mềm quản lý văn bản và điều hành theo Kế hoạch 247/KH-UBND ngày 14/12/2022, Quyết định số 1063/QĐ-UBND ngày 07/6/2019: 2.000 triệu đồng</t>
  </si>
  <si>
    <t>Lĩnh vực ứng dụng công nghệ thông tin</t>
  </si>
  <si>
    <t>Kinh phí thi đua khen thưởng: 25 triệu đồng; Tiền điện phục vụ hội nghị truyền hình trực tuyến của tỉnh, trung tâm tích hợp dữ liệu tỉnh: 600 triệu đồng; Duy trì hoạt động hội nghị truyền hình trực tuyến của tỉnh: 20 triệu đồng; Duy trì trung tâm tích hợp dữ liệu tỉnh (Giấy phép cập nhật phần mềm, trang bị hệ thống phần mềm rà quét mã độc, lỗ hổng bảo mật, trang bị SSL cho toàn bộ trang thông tin điện tử cấp xã trên địa bàn tỉnh, mua sắm thiết bị phụ tùng sửa chữa, nhiên liệu máy nổ 03 máy phát điện): 1.325 triệu đồng; Tiền thưởng theo Nghị định số 73/2024/NĐ-CP ngày 30/6/2024: 131 triệu đồng; Kinh phí bồi dưỡng kỹ năng số cho Tổ công nghệ số cộng đồng theo Công văn số 1170/UBND-KGVX ngày 16/8/2024 của UBND tỉnh Lạng Sơn: 160 triệu đồng</t>
  </si>
  <si>
    <t>Hỗ trợ tiền công, chi khác lao động hợp đồng theo Nghị định số 111/2022/NĐ-CP ngày 30/12/2022: 526 triệu đồng; Kinh phí thi đua khen thưởng: 65 triệu đồng; Kiểm soát thủ tục hành chính: 20 triệu đồng; Trang phục thanh tra: 7 triệu đồng; Sửa chữa ô tô: 40 triệu đồng; Kinh phí Ban chỉ đạo và tổ giúp việc Ban Chỉ đạo chuyển đổi số tỉnh Lạng Sơn (theo Quyết định số 2041/QĐ-UBND ngày 13/10/2021; Quyêt định số 97/QĐ-BCĐ ngày 14/6/2022): 80 triệu đồng; Kinh phí hoạt động đội ứng cứu xử lý sự cố (theo Quyết định số 05/2017/QĐ-TTg ngày 16/3/2017, Quyết định số 798/QĐ-UBND ngày 3/5/2017, Thông tư số 121/2018/TT-BTC, Quyết định số 292/QĐ-UBND ngày 02/02/2018): 90 triệu đồng; Thù lao cộng tác viên đọc và kiểm tra xuất bản phẩm lưu chiểu theo Thông tư số 169/2013/TTLT-BTC-BTTTT ngày 15/11/2013: 21 triệu đồng; Kinh phí thực hiện các hoạt động phòng chống HIV/AIDS theo Kế hoạch số 183/KH-UBND ngày 18/11/2020: 15 triệu đồng; Hỗ trợ cán bộ, công chức, viên chức thực hiện nhiệm vụ chuyển đổi số theo Nghị quyết số 30/2022/NQ-HĐND ngày 30/12/2022: 143 triệu đồng; Tiền thưởng theo Nghị định số 73/2024/NĐ-CP ngày 30/6/2024: 313 triệu đồng</t>
  </si>
  <si>
    <t>Kinh phí thi đua khen thưởng: 8 triệu đồng; Kinh phí trang thông tin đối ngoại: 67 triệu đồng; Xây dựng ấn phẩm thông tin đối ngoại: 279 triệu đồng; Kinh phí bản tin đối ngoại: 546 triệu đồng; Tiền thưởng theo Nghị định số 73/2024/NĐ-CP ngày 30/6/2024: 45 triệu đồng</t>
  </si>
  <si>
    <t>Sự nghiệp khác (Trung tâm Thông tin và dịch vụ đối ngoại)</t>
  </si>
  <si>
    <t>Hỗ trợ tiền công, chi khác lao động hợp đồng theo Nghị định số 111/2022/NĐ-CP ngày 30/12/2022: 556 triệu đồng; Kinh phí thi đua khen thưởng: 50 triệu đồng; Kiểm soát thủ tục hành chính: 25 triệu đồng; Sửa chữa ô tô: 60 triệu đồng; Xây dựng văn bản quy phạm pháp luật: 48 triệu đồng; Kinh phí đối ngoại: 5.400 triệu đồng; Kính phí quản lý biên giới đất liền Việt Nam - Trung Quốc: 452 triệu đồng; Kinh phí 03 văn kiện pháp lý biên giới: 153 triệu đồng; Kinh phí phi chính phủ: 220 triệu đồng; Kinh phí công tác ngoại vụ: 300 triệu đồng; Kinh phí công tác thoả thuận quốc tế: 37 triệu đồng; Kinh phí Ban chỉ đạo Hội nhập quốc tế tỉnh theo Quyết định số 2765/QĐ-UBND ngày 29/12/2020: 20 triệu đồng; Kinh phí Ban Công tác phi chính phủ nước ngoài tỉnh Lạng Sơn theo Quyết định số 1235/QĐ-UBND ngày 29/6/2018: 20 triệu đồng; Kinh phí Ban chỉ đạo Công tác biên giới tỉnh Lạng Sơn theo Quyết định số 105/QĐ-UBND ngày 14/01/2022: 20 triệu đồng; Tiền thưởng theo Nghị định số 73/2024/NĐ-CP ngày 30/6/2024: 242 triệu đồng</t>
  </si>
  <si>
    <t>Chi lễ tang, lễ viếng theo Nghị quyết số 14/2022/NQ-HĐND ngày 07/7/2022 và Nghị quyết số 04/2023/NQ HĐND ngày 14/7/2023 của HĐND tỉnh.</t>
  </si>
  <si>
    <t>Kinh phí đào tạo bồi dưỡng theo Kế hoạch số 216/KH-UBND ngày 25/9/2024 của UBND tỉnh</t>
  </si>
  <si>
    <t>Kinh phí xây dựng phần mềm cơ sở dữ liệu về tín ngưỡng, tôn giáo tỉnh Lạng Sơn (kinh phí dự án theo Kế hoạch số 233/KH-UBND ngày 20/12/2023 còn thiếu chưa thực hiện, năm 2024 chưa được giao dự toán)</t>
  </si>
  <si>
    <t>Sự nghiệp kinh tế khác (lĩnh vực ứng dụng công nghệ thông tin theo Kế hoạch của tỉnh)</t>
  </si>
  <si>
    <t>Hỗ trợ 50% tiền công lao động hợp đồng theo Nghị định số 111/2022/NĐ-CP ngày 30/12/2022: 77 triệu đồng; Vệ sinh kho tài liệu lưu trữ: 75 triệu đồng; Khử trùng, phòng chống mối mọt: 85 triệu đồng; Tiền điện bảo quản kho Lưu trữ: 80 triệu đồng; Tu bổ phục chế tài liệu hư hỏng: 95 triệu đồng; Sưu tầm tài liệu quý, hiếm về tỉnh Lạng Sơn theo Kế hoạch số 99/KH-UBND ngày 28/4/2022 của UBND tỉnh: 307 triệu đồng; Thực hiện Đề án "Tạo lập cơ sở dữ liệu tài liệu lưu trữ điện tử và thu thập hồ sơ, tài liệu điện tử vào lưu trữ lịch sử tỉnh Lạng Sơn giai đoạn 2018-2025": 897 triệu đồng; Tiền thưởng theo Nghị định số 73/2024/NĐ-CP ngày 30/6/2024 của Chính phủ: 119 triệu đồng; mua bìa, giá tài liệu, ổ cứng lưu trữ tài liệu: 60 triệu đồng.</t>
  </si>
  <si>
    <t>Trung tâm Lưu trữ Lịch sử</t>
  </si>
  <si>
    <t xml:space="preserve"> Sự nghiệp kinh tế khác</t>
  </si>
  <si>
    <t>Kinh phí thi đua khen thưởng: 182 triệu đồng; Hỗ trợ tiền công, chi khác lao động hợp đồng theo Nghị định số 111/2022/NĐ-CP: 901 triệu đồng; Trang phục thanh tra: 18 triệu đồng; Kiểm soát thủ tục hành chính: 25 triệu đồng; Ban chỉ đạo, Tổ thư ký giúp việc Ban chỉ đạo cải cách hành chính: 300 triệu đồng; Hội đồng thẩm định, Tổ chuyên viên giúp việc Hội đồng thẩm định đánh giá xếp loại kết quả thực hiện nhiệm vụ đối với cơ quan, đơn vị: 52 triệu đồng; Tổ chuyên viên liên ngành thực hiện Nghị định 26/2015/NĐ-CP: 48 triệu đồng; Hội đồng nâng lương tỉnh: 11 triệu đồng; Hội đồng thẩm định và Tổ Chuyên viên giúp việc Hội đồng triển khai thực hiện Nghị định số 29/2023/NĐ-CP ngày 03/6/2023 của Chính phủ: 200 triệu đồng; Ban chỉ đạo và Tổ chuyên viên giúp việc xây dựng đề án cải cách TTHC và sắp xếp lại tổ chức bộ máy; Ban chỉ đạo và Tổ chuyên viên giúp việc Ban chỉ đạo tiếp tục đổi mới hệ thống tổ chức và quản lý, nâng cao chất lượng và hiệu quả hoạt động của các đơn vị sự nghiệp công lập: 36 triệu đồng; Đề án Đo lường sự hài lòng của người dân, tổ chức đối với sự phục vụ của cơ quan hành chính nhà nước giai đoạn 2022-2025 trên địa bàn tỉnh Lạng Sơn: 160 triệu đồng; Xây dựng văn bản quy phạm pháp luật: 100 triệu đồng; Công tác Tôn giáo: 200 triệu đồng; Tổ chức thi tuyển, xét tuyển công chức, nâng ngạch công chức, thăng hạng chức danh nghề nghiệp viên chức: 600 triệu đồng; Tổ chức hội nghị đối thoại với thanh niên: 20 triệu đồng; Quỹ thi đua, khen thưởng tỉnh: 14.000 triệu đồng; Khen thưởng thành tích cao theo NQ số 27/2021/NQ-HĐND: 2.500 triệu đồng; Chi công tác thi đua cụm 7 tỉnh biên giới phía bắc: 80 triệu đồng; Sửa chữa xe ô tô: 100 triệu đồng; Thực hiện Dự án "Thành lập bản đồ hành chính cấp tỉnh, cấp huyện thuộc tỉnh Lạng Sơn: 10.132 triệu đồng; Thực hiện Đề án sắp xếp đơn vị hành chính cấp huyện, cấp xã tỉnh Lạng Sơn giai đoạn 2023-2025; Đề án nhập huyện Cao Lộc vào thành phố Lạng Sơn và thành lập các phường thuộc thành phố Lạng Sơn: 3.251 triệu đồng; Tiền thưởng theo Nghị định số 73/2024/NĐ-CP ngày 30/6/2024 của Chính phủ: 626 triệu đồng.</t>
  </si>
  <si>
    <t>Hỗ trợ tiền công, chi khác lao động hợp đồng theo Nghị định số 111/2022/NĐ-CP ngày 30/12/2022: 736 triệu đồng; Kinh phí thi đua khen thưởng: 90 triệu đồng; Kinh phí kiểm soát thủ tục hành chính: 30 triệu đồng; Kinh phí trang phục thanh tra: 30 triệu đồng; Kinh phí đảm bảo chi thu lệ phí: 70 triệu đồng; Kinh phí xây dựng văn bản quy phạm pháp luật: 78 triệu đồng; Kinh phí trích từ thu xử phạt vi phạm hành chính: 50 triệu đồng; Kinh phí Ban chỉ đạo đổi mới, phát triển doanh nghiệp và nâng cao hiệu quả kinh tế tập thể tỉnh Lạng Sơn (QĐ số 2420/QĐ-UBND ngày 28/11/2018): 50 triệu đồng; Kinh phí Ban chỉ đạo các Chương trình mục tiêu gia tỉnh Lạng Sơn giai đoạn 2021-2025 (QĐ số 499/QĐ-UBND ngày 23/3/2022): 50 triệu đồng; Kinh phí hội nghị đối thoại doanh nghiệp giữa kỳ tháo gỡ khó khăn cho Doanh nghiệp, hợp tác xã: 100 triệu đồng; Kinh phí Hội nghị phân tích chỉ số PCI năm 2024 và bàn giải pháp cải thiện chỉ số PCI năm 2025: 80 triệu đồng; Kinh phí thực hiện nhiệm vụ kiểm tra, giám sát dự án đầu tư: 100 triệu đồng; Kinh phí thực hiện Bộ chỉ số đánh giá năng lực cạnh tranh cấp sở, ban, ngành và UBND các huyện thành phố (DDCI) năm 2025: 1.300 triệu đồng; Kinh phí hoạt động chuyên môn của ngành: 500 triệu đồng; Tiền thưởng theo Nghị định số 73/2024/NĐ-CP ngày 30/6/2024 của Chính phủ: 464 riệu đồng.</t>
  </si>
  <si>
    <t>Hỗ trợ tiền công, chi khác lao động hợp đồng theo Nghị định số 111/2022/NĐ-CP: 1.848 triệu đồng; Thi đua khen thưởng: 95 triệu đồng; Đảm bảo các hoạt động HĐND tỉnh: 9.000 triệu đồng (trong đó: Phụ cấp Đại biểu HĐND tỉnh: 745 triệu đồng; Chi các kỳ họp HĐND tỉnh: 1.400 triệu đồng; Chi tiếp xúc cử tri, kiểm tra giám sát, tiếp công dân, xử lý đơn khiếu nại, tố cáo, kiến nghị, phản ánh theo quy định tại Nghị quyết số 51/2017/NQ-HĐND, Công tác xã hội: 1.550 triệu đồng; Xăng xe, công tác phí, vật tư văn phòng, thông tin, hoạt động khác theo quy định: 4.105 triệu đồng; Chi đối ngoại, đón tiếp khách: 1.200 triệu đồng); Sửa chữa xe ô tô: 350 triệu đồng; Hỗ trợ hoạt động Đoàn đại biểu Quốc hội tỉnh: 1.000 triệu đồng; Duy trì Trang thông tin điện tử Đoàn đại biểu Quốc hội và Hội đồng nhân dân tỉnh: 210 triệu đồng; Hỗ trợ hoạt đông chuyên môn các Ban Hội đồng nhân dân: 1.000 triệu đồng; Thuê phần mềm hệ thống quản lý nghiệp vụ HĐND các cấp tỉnh Lạng Sơn: 1.358 triệu đồng; Tiền thưởng theo Nghị định số 73/2024/NĐ-CP ngày 30/6/2024 của Chính phủ: 556 triệu đồng.</t>
  </si>
  <si>
    <t>Kinh phí thi đua khen thưởng: 16 triệu đồng; Duy trì cổng công báo điện tử: 50 triệu đồng: Tiền thưởng theo Nghị định số 73/2024/NĐ-CP ngày 30/6/2024 của Chính phủ: 117 triệu đồng.</t>
  </si>
  <si>
    <t>Kinh phí thực hiện nhiệm vụ ứng dụng CNTT trong hoạt động của cơ quan Nhà nước năm 2023 theo Kế hoạch số 195/KH-UBND ngày 08/12/2020 của UBND tỉnh: 1.772 triệu đồng; Thuê dịch vụ công nghệ thông tin (Duy trì thuê hệ thống dịch vụ công trực tuyến và một cửa điện tử liên thông từ cấp tỉnh đến cấp huyện, xã) theo Kế hoạch số 201/KH-UBND ngày 13/12/2017: 2.200 triệu đồng; Triển khai hệ thống Camera thông minh giai đoạn 2: kiểm soát ra, vào trụ sở UBND tỉnh bằng Camera AI, góp phần tăng cường công tác đảm bảo an toàn, an ninh tại trụ sở UBND tỉnh theo Kế hoạch 197/KH-UBND ngày 11/10/2023: 250 triệu đồng.</t>
  </si>
  <si>
    <t>Sự nghiệp kinh tế khác (lĩnh vực ứng dụng công nghệ thông tin theo Kế hoạch của tỉnh</t>
  </si>
  <si>
    <t xml:space="preserve">Kinh phí thi đua khen thưởng: 16 triệu đồng; Hỗ trợ tiền công, chi khác lao động hợp động theo Nghị định số 111/2022NĐ-CP: 220 triệu đồng; Kiểm soát thủ tục hành chính: 550 triệu đồng; Dịch vụ thu hộ qua ngân hàng (trừ từ kinh phí phục vụ công tác thu của các cơ quan có thủ tục hành chính có thu phí: Sở Xây dựng, Sở Tài nguyên và Môi trường, Sở Giao thông vận tải, Sở Kế hoạch và Đầu tư): 200 triệu đồng; Duy trì trang tin điện tử hành chính công: 70 triệu đồng; Hỗ trợ hoạt động thường xuyên (điện nước, văn phòng phẩm, làm thêm giờ, đồng phục,...): 1.200 triệu đồng; Vệ sinh trụ sở: 466 triệu đồng; Thuê dịch vụ bưu chính luân chuyển hồ sơ: 396 triệu đồng; Thuê dịch vụ bưu chính tiếp nhận và trả kết quả giải quyết TTHC tại Trung tâm: 116 triệu đồng; Sửa chữa thường xuyên tài sản, thiết bị phục vụ người dân doanh nghiệp: 240 triệu đồng; Tiền thưởng theo Nghị định số 73/2024/NĐ-CP ngày 30/6/2024 của Chính phủ: 103 triệu đồng. </t>
  </si>
  <si>
    <t>Hỗ trợ tiền công, chi khác lao động hợp đồng theo Nghị định số 111/2022/NĐ-CP: 2.128 triệu đồng; Kinh phí thi đua khen thưởng: 160 triệu đồng; Duy trì Cổng thông tin điện tử tỉnh: 900 triệu đồng; Trang thông tin điện tử Văn phòng UBND tỉnh: 450 triệu đồng; Thuê dịch vụ vệ sinh trụ sở HĐND&amp;UBND tỉnh: 742 triệu đồng; Hoạt động công tác tiếp công dân, xử lý đơn, thư khiếu nại, tố cáo, kiến nghị, phản ánh: 400 triệu đồng; Hỗ trợ công chức thực hiện nhiệm vụ chuyển đổi số: 46 triệu đồng; Thuê phần mềm quản lý tiếp công dân: 250 triệu đồng; Mua sắm trang thiết bị phục vụ hoạt động chung: 200 triệu đồng; Sửa chữa tài sản, trang thiết bị phục vụ công tác: 550 triệu đồng; Sửa chữa xe ô tô: 350 triệu đồng; Tiền thưởng theo Nghị định số 73/2024/NĐ-CP ngày 30/6/2024 của Chính phủ: 701 triệu đồng; Thực hiện nhiệm vụ đặc thù: 9.000 triệu đồng (trong đó: Cước gửi công văn, ấn phẩm truyền thông: 650 triệu đồng; Xăng, dầu, điện, nước, vệ sinh phục vụ UBND tỉnh: 1.600triệu đồng; ; Văn phòng phẩm, hàng hóa vật tư phục vụ hoạt động công tác chuyên môn: 2.000 triệu đồng; ; Công tác phí, thuê phòng ngủ,... 650triệu đồng; phục vụ hội nghị, họp UBND tỉnh: 100 triệu đồng; Lễ tân, khánh tiết, công tác đối ngoại, đón tiếp khách: 2.000triệu đồng; các nội dung nhiệm vụ khác phục vụ hoạt động đặc thù của UBND tỉnh: 2.000triệu đồng)</t>
  </si>
  <si>
    <t>Hỗ trợ tiền công, chi khác lao động hợp đồng theo Nghị định số 111/2022/NĐ-CP ngày 30/12/2022: 607 triệu đồng; kinh phí thi đua khen thưởng theo Nghị định số 98/2023/NĐ-CP: 120 triệu đồng; Sửa chữa xe ô tô: 100 triệu đồng; Kiểm soát thủ tục hành chính: 35 triệu đồng; Trang phục thanh tra: 31 triệu đồng; Trích từ số thu nộp thanh tra: 100 triệu đồng; Xây dựng văn bản quy phạm pháp luật: 200 triệu đồng; Xác định giá thu tiền sử dụng đất, định giá tài sản: 300 triệu đồng; Hỗ trợ công tác dự toán, quyết toán: 700 triệu đồng; Triển khai công tác Tabmis: 350 triệu đồng; Hệ thống quản lý tài sản tỉnh: 400 triệu đồng; Hỗ trợ hoạt động chuyên môn khác và bảo trì, bảo dưỡng hệ thống tài sản công: 1.500 triệu đồng; Hỗ trợ chi phí hoạt động của Hội đồng và Tổ chuyên viên giúp việc thẩm định Bảng giá đất của tỉnh: 120 triệu đồng; Kinh phí Hội nghị Tập huấn về Luật Giá và Kiểm kê tài sản công: 40 triệu đồng; Kinh phí Hội nghị triển khai hướng dẫn chế độ kế toán HCSN theo Thông tư 24/2024/TT-BTC ngày 17/4/2024: 250 triệu đồng; Kinh phí bảo trì phầm mềm nền tảng số Quản lý giá kết nối với cổng khai thác dữ liệu chuyển đổi số tỉnh Lạng Sơn theo Thông tư số 33/2024/TT-BTC ngày 16/5/2024 của Bộ Tài chính: 290 triệu đồng; Tiền thưởng theo Nghị định số 73/2024/NĐ-CP ngày 30/6/2024 của Chính phủ: 663 triệu đồng</t>
  </si>
  <si>
    <t>Hỗ trợ tiền công, chi khác lao động hợp đồng các cơ quan khối đảng theo Nghị định số 111/2022/NĐ-CP: 666 triệu đồng; kinh phí thi đua khen thưởng: 90 triệu đồng; kiểm soát thủ tục hành chính: 35 triệu đông; trang phục thanh tra: 32 triệu đồng; Tiền thưởng theo Nghị định số 73/2024/NĐ-CP ngày 30/6/2024 của Chính phủ: 501 triệu đồng; sửa chữa ô tô: 100 triệu đồng; kinh phí trích từ số thu nộp thanh tra: 100 triệu đồng; xây dựng văn bản quy phạm pháp luật: 102 triệu đồng; hoạt động Ban Chỉ đạo liên ngành Hội nhập Quốc tế và kinh tế: 60 triệu đồng; kế hoạch phát triển thương mại điện tử tỉnh Lạng Sơn giai đoạn 2021-2025 theo Quyết định số 1505/QĐ-UBND ngày 06/8/2020 của UBND tỉnh: 742 triệu đồng; truyền thông về sản xuất và tiêu dùng bền vững Kế hoạch số 235/KH-UBND ngày 11/12/2021 của UBND tỉnh: 185 triệu đồng; Tổ chức Hội nghị tập huấn triển khai thực hiện Nghị định số 60/2024/NĐ-CP ngày 05/6/2024 của Chính phủ về phát triển và quản lý chợ : 40triệu đồng; Triển khai thực hiện ngày Quyền của người tiêu dùng Việt Nam (ngày 15 tháng 3) hàng năm trên địa bàn tỉnh theo Kế hoạch số 118/KH-UBND ngày 07/7/2020 của UBND tỉnh: 90 triệu đồng; Kinh phí công tác đối ngoại: 300 triệu đồng; Triển khai công tác an toàn thực phẩm ngành công thương giai đoạn 2022-2024 theo Kế hoạch số 57/KH-UBND, ngày 08/3/2021 của UBND tỉnh: 120 triệu đồng; Kinh phí triển khai nhiệm vụ đề án Phát triển thị trường xuất khẩu nông sản chủ lực tỉnh Lạng Sơn đến năm 2025, định hướng đến năm 2030 theo Quyết định số 784/Q Đ-UBND ngày 23/5/2023 của UBND tỉnh: 40 triệu đồng; Kinh phí tổ chức Hội nghị đối thoại với doanh nghiệp trong lĩnh vực Ngành Công Thương: 25 triệu đồng; Kinh phí tham gia Hội thảo, Hội chợ, chương trình xúc tiến thương mại, Khuyến công các tỉnh trong nước, khảo sát điểm bán sản phẩm OCOP: 200 triệu đồng.</t>
  </si>
  <si>
    <r>
      <t>Cấp ấn phẩm báo cho người có uy tín theo Quyết định số 28/2023/QĐ-TTg ngày 23/11/2023 (nguồn chính sách trung ương)</t>
    </r>
    <r>
      <rPr>
        <sz val="15"/>
        <color indexed="10"/>
        <rFont val="Times New Roman"/>
        <family val="1"/>
      </rPr>
      <t/>
    </r>
  </si>
  <si>
    <t>Hỗ trợ tiền công, chi khác lao động hợp đồng theo Nghị định số 111/2022/NĐ-CP ngày 30/12/2022: 504 triệu đồng; Kinh phí thi đua khen thưởng: 40 triệu đồng; Kiểm soát thủ tục hành chính: 25 triệu đồng; Trang phục thanh tra: 26 triệu đồng; Kinh phí trích từ số thu nộp thanh tra: 24 triệu đồng; Xây dựng văn bản quy phạm pháp luật: 90 triệu đồng; Chính sách đối với người có Uy tín theo Quyết định số 28/2023/QĐ-TTg ngày 23/11/2023 của Thủ tướng Chính phủ (ngân sách địa phương): 700 triệu đồng; Sửa chữa ô tô: 50 triệu đồng; Tiền thưởng theo Nghị định số 73/2024/NĐ-CP ngày 30/6/2024 của Chính phủ: 289 triệu đồng.</t>
  </si>
  <si>
    <t>Ban dân tộc</t>
  </si>
  <si>
    <t>Kinh phí khen thưởng theo Nghị định số 73/2024/NĐ-CP ngày 30/6/2024 của Chính phủ</t>
  </si>
  <si>
    <t xml:space="preserve">Trung tâm dịch vụ đấu giá tài sản </t>
  </si>
  <si>
    <t>Kinh phí thi đua khen thưởng: 20 triệu đồng; Trang phục trợ giúp viên: 30 triệu đồng; Kinh phí Hội đồng và tổ giúp việc cho Hội đồng phối hợp liên ngành trong hoạt động tố tụng: 113 triệu đồng; Tham gia tố tụng, đại diện ngoài tố tụng xác minh vụ việc trợ giúp pháp lý: 2.860 triệu đồng; Công tác thông tin, truyền thông tại cơ sở (bảng thông tin, hộp tin, tờ gấp, tờ thông tin…): 400 triệu đồng; In sổ theo dõi vụ việc trợ giúp pháp lý trong hoạt động tố tụng: 23 triệu đồng; Cước thuê bao hệ thống đường truyền phiên toà trực truyến: 14 triệu đồng; Tiền thưởng theo Nghị định số 73/2024/NĐ-CP ngày 30/6/2024 của Chính phủ: 174 triệu đồng.</t>
  </si>
  <si>
    <t>Kinh phí thi đua khen thưởng: 140 triệu đồng; Hỗ trợ tiền công, chi khác lao động hợp đồng theo Nghị định số 111/2022/NĐ-CP: 584 triệu đồng; Kiểm soát thủ tục hành chính: 35 triệu đồng; Trang phục thanh tra: 13 triệu đồng; Phổ biến giáo dục pháp luật theo Kế hoạch số 176/KH- UBND ngày 27/10/2020; Kế hoạch số 110/KH-UBND ngày 9/6/2017: 1.100 triệu đồng; Triển khai chiến lược phát triển lý lịch tư pháp trên địa bàn tỉnh theo Kế hoạch số 84/KH-UBND ngày 30/8/2013: 100 triệu đồng; Xây dựng văn bản quy phạm pháp luật: 40 triệu đồng; Kiểm tra, rà soát hệ thống hoá văn bản quy phạm pháp luật: 350 triệu đồng; Theo dõi thi hành pháp luật: 100 triệu đồng; Hội đồng tư vấn thẩm định, xây dựng văn bản quy phạm pháp luật: 107 triệu đồng; Triển khai Luật Hộ tịch: 200 triệu đồng; Hỗ trợ pháp lý cho doanh nghiệp: 120 triệu đồng; Triển khai công tác bổ trợ tư pháp: 200 triệu đồng; Công tác hòa giải cơ sở: 550 triệu đồng; Xử lý vi phạm hành chính: 200 triệu đồng; Kinh phí Đề án “Tổ chức truyền thông chính sách có tác động lớn đến xã hội trong quá trình xây dựng văn bản quy phạm pháp luật giai đoạn 2022 -2027”: 30 triệu đồng; Triển khai, thực hiện Đề án "Nâng cao năng lực cho đội ngũ báo cáo viên pháp luật, tuyên truyền viên pháp luật thực hiện phổ biến giáo dục pháp luật tại vùng đồng bào dân tộc thiểu số và miền núi giai đoạn 2024 - 2030": 70 triệu đồng; Triển khai, thực hiện Đề án "Nâng cao năng lực cho đội ngũ hòa giải viên ở cơ sở giai đoạn 2024-2030": 84 triệu đồng; Biểu mẫu hộ tịch: 154 triệu đồng; Sửa chữa xe ô tô: 100 triệu đồng; Tiền thưởng theo Nghị định số 73/2024/NĐ-CP ngày 30/6/2024 của Chính phủ: 348 triệu đồng.</t>
  </si>
  <si>
    <t>Dự án xây dựng phần mềm quản lý, phần mềm thư viện số cho thư viện công cộng cấp tỉnh, cấp huyện Lạng Sơn theo Kế hoạch số 175/KH-UBND ngày 08/8/2022 của UBND tỉnh</t>
  </si>
  <si>
    <t>Sự nghiệp kinh tế khác (lĩnh vực ứng dụng công nghệ thông tin)</t>
  </si>
  <si>
    <t>k</t>
  </si>
  <si>
    <t>Kinh phí các giải thi đấu và các hoạt động thể dục thể thao quốc tế, trong và ngoài tỉnh; 10 môn trước Đại hội TDTT tỉnh</t>
  </si>
  <si>
    <t>Kinh phí thi đua khen thưởng theo Nghị định số 98/2023/NĐ-CP: 20 triệu đồng; Chi mua trang bị và tiền điện, nước phục vụ sinh hoạt vận động viên: 240 triệu đồng; Tuyển chọn vận động viên: 30 triệu đồng; Thuê huấn luyện viên và gửi huấn luyện viên, vận động viên đi tập huấn: 500 triệu đồng; Trang bị dụng cụ, trang phục tập luyện: 150 triệu đồng; Tiền thưởng theo Nghị định số 73/2024/NĐ-CP ngày 30/6/2024 của Chính phủ: 137 triệu đồng</t>
  </si>
  <si>
    <t>Kinh phí tham gia một số giải thi đấu, kiểm tra, hoạt động thể thao cơ sở trên địa bàn toàn tỉnh; tham gia các lớp tập huấn Trung ương</t>
  </si>
  <si>
    <t>Sở Văn hóa, Thể thao và Du lịch</t>
  </si>
  <si>
    <t>Kinh phí triển khai phương án điều tra tài nguyên du lịch theo Quyết định 2654/QĐ-BVHTTDL ngày 12/9/2024 của Bộ Văn hóa, Thể thao và Du lịch: 100 triệu đồng; Kinh phí thực hiện Đề án phát triển du lịch tỉnh tại quyết định 825/QĐ-UBND ngày 19/4/2021 của UBND tỉnh: 996 triệu đồng; Kinh phí xây dựng mô hình thí điểm nhà ở có phòng cho khách du lịch thuê đạt tiêu chuẩn ASEAN theo Kế hoạch số 230/KH-UBND, ngày 08/11/2022 của UBND tỉnh: 200 triệu đồng; Kinh phí dào tạo, nâng cao chất lượng nguồn nhân lực du lịch; nâng cao nhận thức về du lịch theo Kế hoạch số 196/KH-UBND ngày 15/8/2024 của UBND tỉnh: 250 triệu đồng; Kinh phí triển khai Chương trình "Đại sứ Du lịch Lạng Sơn" theo Kế hoạch số 240/KH-UBND ngày 25/11/2022 của UBND tỉnh: 150 triệu đồng; Kinh phí tổ chức các cuộc kiểm tra chất lượng cơ sở lưu trú du lịch trên địa bàn toàn tỉnh: 40 triệu đồng</t>
  </si>
  <si>
    <t>Lễ hội hoa Đào và các hoạt động mừng Đảng mừng Xuân Ất Tỵ 2025: 12.000 triệu đồng; Đề án bảo tồn và phát huy giá trị di sản Múa sư tử dân tộc Tày, Nùng trên địa bàn tỉnh Lạng Sơn giai đoạn 2021-2030: 400 triệu đồng; Đề án phát triển hệ thống thiết chế văn hóa, thể thao tỉnh Lạng Sơn giai đoạn 2021 - 2025, định hướng đến năm 2030: 500 triệu đồng; Đề án bảo tồn, tôn tạo, phát huy giá trị hệ thống di tích lịch sử-văn hóa và danh lam thắng cảnh trên địa bàn tỉnh Lạng Sơn giai đoạn 2021-2030: 700 triệu đồng; Đề án “Bảo tồn, phát huy giá trị dân ca, dân vũ, dân nhạc của các dân tộc thiểu số gắn với phát triển du lịch” trên địa bàn tỉnh Lạng Sơn giai đoạn 2022-2030: 250 triệu đồng; Đề án Bảo tồn, phát huy giá trị văn học dân gian của các dân tộc thiểu số đến năm 2030 trên địa bàn tỉnh Lạng Sơn: 200 triệu đồng; Tổ chức các hoạt động các ngày lễ lớn trong năm 2025: 500 triệu đồng; Tổ chức các hoạt động Tổng kết 50 năm Nền văn học, nghệ thuật Việt Nam sau ngày thống nhất đất nước” (40/4/1975 - 30/4/2025) : 1.500 triệu đồng; Tổ chức Hội diễn công nông binh tỉnh Lạng Sơn lần thứ 4 năm 2025, quy mô cấp tỉnh: 500 triệu đồng; Cuộc thi sáng tác ca khúc mới viết về Lạng Sơn : 2.000 triệu đồng; Tham gia các hoạt động văn hoá di sản cấp khu vực và toàn quốc: 300 triệu đồng; Hoạt động giao lưu đối ngoại về văn hóa; quảng bá văn hóa, vùng đất, con người Xứ Lạng: 200 triệu đồng; Tổ chức chương trình gặp mặt văn nghệ sỹ gắn với các hoạt động chào mừng Ngày di sản văn hóa Việt Nam 23/11: 300 triệu đồng; Xét tặng “Nghệ nhân nhân dân”, “Nghệ nhân ưu tú” trong lĩnh vực di sản văn hóa phi vật thể: 250 triệu đồng; Nghị quyết số 25-NQ/TU, ngày 31/8/2016 của Ban Thường vụ Tỉnh ủy về bảo tồn và phát huy giá trị di sản văn hóa tỉnh Lạng Sơn giai đoạn 2016-2020: 200 triệu đồng; Kinh phí Đại hội đại biểu đảng bộ tỉnh lần thứ XVIII nhiệm kỳ 2025-2030: 2.000 triệu đồng; Hoạt động văn hoá di sản khác: 3.300 triệu đồng</t>
  </si>
  <si>
    <t xml:space="preserve"> Hỗ trợ tiền công lao động hợp đồng theo Nghị đinj số 111/2022/NĐ-CP ngày 30/12/2022: 548 triệu đồng; kinh phí thi đua khen thưởng: 60 triệu đồng; Tiền thưởng theo Nghị định số 73/2024/NĐ-CP ngày 30/6/2024 của Chính phủ: 526 triệu đồng; Trang phục thanh tra: 20 triệu đồng; Kiểm soát thủ tục hành chính: 30 triệu đồng; Sửa chữa xe ô tô: 50 triệu đồng; Ban Chỉ đạo phát triển Du lịch: 100 triệu đồng; Ban Chỉ đạo toàn dân đoàn kết: 100 triệu đồng; Ban Chỉ đạo thực hiện đề án tổng thể phát triển thể lực tầm vóc người Việt Nam trên địa bàn tỉnh Lạng Sơn: 50 triệu đồng; Ban Chỉ đạo công tác gia đình: 100 triệu đồng; Xây dựng văn bản quy phạm pháp luật: 80 triệu đồng; Đảm bảo tài chính thực hiện chiến lược quốc gia chấm dứt dịch bệnh AIDS vào năm 2030 trên địa bàn tỉnh Lạng Sơn giai đoạn 2021-2025 theo Kế hoạch số 183/KH-UBND ngày 18/11/2020 của UBND tỉnh: 20 triệu đồng; Quản lý, kiểm tra, giám sát xây dựng cơ sở vật chất tại Quyết định số 890/QĐ-UBND, ngày 17/5/2024 về việc phê duyệt Đề án Thí điểm xã hội hoá phát triển bóng đá thiếu niên, nhi đồng tỉnh Lạng Sơn từ nay đến năm 2030: 60 triệu đồng</t>
  </si>
  <si>
    <t>Kinh phí lập đơn giá nhân công, bảng giá ca máy và thiết bị thi công xây dựng trên địa bàn tỉnh Lạng Sơn: 300 triệu đồng; Kiểm định chất lượng công trình xây dựng, giám định sự cố công trình: 1.514 triệu đồng.</t>
  </si>
  <si>
    <t>Kinh phí thực hiện nhiệm vụ: Dịch vụ tham gia các hoạt động trình diễn, kết nối cung cầu công nghệ, triển lãm giới thiệu quảng bá công nghệ và các sản phẩm khoa học và công nghệ và các sản phẩm khoa học và công nghệ: 80 triệu đồng; Dịch vụ nghiên cứu, triển khai ứng dụng thành tựu khoa học và công nghệ vào sản xuất, đời sống: 251 triệu đồng; Dịch vụ quản lý, vận hành Trạm quan trắc và cảnh báo phóng xạ môi trường: 176 triệu đồng; Dịch vụ thực hiện các hoạt động sự nghiệp và dịch vụ kỹ thuật về tiêu chuẩn đo lường chất lượng phục vụ yêu cầu quản lý nhà nước và nhu cầu của tổ chức, cá nhân: 673 triệu đồng; Sửa chữa, bảo dưỡng trạm biến áp 100KVA-35/0,4KV: 43 triệu đồng; Tiền thưởng theo Nghị định số 73/2024/NĐ-CP ngày 30/6/2024 của Chính phủ: 140 triệu đồng.</t>
  </si>
  <si>
    <t xml:space="preserve">Trung tâm Ứng dụng, phát triển khoa học công nghệ và đo lường, chất lượng sản phẩm </t>
  </si>
  <si>
    <t>Hỗ trợ tiền công, chi khác lao động hợp đồng các cơ quan khối đảng theo Nghị định số 111/2022/NĐ-CP: 354 triệu đồng; Đề án “Tăng cường, đổi mới hoạt động đo lường hỗ trợ doanh nghiệp Việt Nam nâng cao năng lực cạnh tranh và hội nhập quốc tế giai đoạn đến năm 2025, định hướng đến năm 2030” năn 2024: 200 triệu đồng; nâng cao năng suất và chất lượng sản phẩm, hàng hóa, dịch vụ trên địa bàn tỉnh Lạng Sơn giai đoạn 2021-2025: 36 triệu đồng; Hội nghị, hội thảo nghiệp vụ Tiêu chuẩn đo lường chất lượng trên địa bàn tỉnh: 60 triệu đồng; Khảo sát, kiểm tra nhà nước về chất lượng sản phẩm hàng hóa lưu thông trên địa bàn tỉnh: 150 triệu đồng; Tham gia đào tạo, tập huấn, bồi dưỡng chuyên môn nghiệp vụ, học tập kinh nghiệm quản lý nhà nước về Tiêu chuẩn Đo lường Chất lượng: 50 triệu đông; Kiểm tra Nhà nước về Đo lường đối với phương tiện đo nhóm 2, phép đo, hàng đóng gói sẵn; Sửa chữa xe ô tô: 50 triệu đồng; Tiền thưởng theo Nghị định số 73/2024/NĐ-CP ngày 30/6/2024 của Chính phủ: 145 triệu đồng.</t>
  </si>
  <si>
    <t>Hỗ trợ tiền công, chi khác lao động hợp đồng Nghị định số 111/2022/NĐ-CP ngày 30/12/2022: 622,4 triệu đồng; kinh phí thi đua khen thưởng: 120 triệu đồng; kiểm soát thủ tục hành chính, bộ phận một cửa: 40 triệu đồng; xây dựng văn bản quy phạm phát luật: 60 triệu đồng; trang phục thanh tra: 19,8 triệu đồng; công tác theo dõi thi hành pháp luật và xử phạt vi phạm hành chính: 5 triệu đồng; sửa chữa ô tô: 100 triệu đồng; hoạt động Ban Chỉ đạo ISO: 40 triệu đồng; hoạt động Hội đồng sáng kiến tỉnh: 120 triệu đồng; thực hiện "Nâng cao năng suất và chất lượng sản phẩm, hàng hóa, dịch vụ trên địa bàn tỉnh Lạng Sơn giai đoạn 2021-2025" theo Kế hoạch số 79/KH-UBND ngày 05/4/2021 của UBND tỉnh: 200 triệu đồng; đề án Triển khai chiến lược Sở hữu trí tuệ đến năm 2030 trên địa bàn tỉnh Lạng Sơn theo quyết định số 527/QĐ-UBND ngày 31/3/2020: 900 triệu đồng; triển khai Chiến lược phát triển và ứng dụng khoa học và công nghệ vũ trụ trên địa bàn tỉnh Lạng Sơn đến năm 2030 theo Kế hoạch số 106/KH-UBND ngày 06/5/2021: 40 triệu đồng; hỗ trợ hệ sinh thái khởi nghiệp đổi mới sáng tạo theo Kế hoạch số 201/KH-UBND ngày23/12/2020: 300 triệu đồng; chiến lược quốc gia về nghiên cứu, phát triển và ứng dụng trí tuệ nhân tạo trên địa bàn tỉnh Lạng Sơn đến năm 2030 theo Kế hoạch số 105/KH-UBND ngày 06/5/2021: 40 triệu đồng; Tiền thưởng theo Nghị định số 73/2024/NĐ-CP ngày 30/6/2024 của Chính phủ: 323 triệu đồng.</t>
  </si>
  <si>
    <t>Hỗ trợ người đi lao động làm việc ở nước ngoài theo hợp đồng Thông tư liên tịch số 09/2016/TTLT-BLĐTBXH-BTC ngày 15/6/2016 của liên Bộ Lao động - Thương binh và Xã hội và Bộ Tài chính: 100 triệu đồng; Hỗ trợ đào tạo nghề trình độ sơ cấp đối với thanh niên hoàn thành nghĩa vụ quân sự, nghĩa vụ công an và thanh niên tình nguyện theo quy định tại Nghị định số Nghị định số 61/2015/NĐ-CP ngày 09/7/2015 của Chính phủ: 3.500 triệu đồng; Triển khai Thỏa thuận toàn cầu về di cư hợp pháp, an toàn và trật tự của Liên hợp quốc: 200 triệu đồng; Cập nhật thông tin cung cầu lao động theo Kế hoạch số 101/KH-UBND ngày 28/4/2022 của UBND tỉnh: 1.389 triệu đồng; Chương trình Quốc gia về An toàn vệ sinh lao động giai đoạn 2022-2025 trên địa bàn tỉnh Lạng Sơn theo Kế hoạch 58/KH-UBND ngày 21/3/2022 của UBND tỉnh thực hiện Chương trình Quốc gia về An toàn vệ sinh lao động giai đoạn 2022-2025 trên địa bàn tỉnh Lạng Sơn: 600 triệu đồng; Dự án "Nâng cao hiệu quả công tác cai nghiện ma túy và phòng ngừa nghiện ma túy đối với nhóm người có nguy cơ cao và người sử dụng trái phép chất ma túy" trên địa bàn tỉnh Lạng Sơn đến năm 2025 theo Kế hoạch số 102/KH-UBND ngày 27/4/2022 của UBND tỉnh : 485 triệu đồng; Chương trình phòng, chống mại dâm trên địa bàn tỉnh Lạng Sơn giai đoạn 2021-2025 theo Kế hoạch số 215/KH-UBND ngày 03/11/2021 của UBND tỉnh: 292 triệu đồng; Chương trình phòng, chống mua bán người giai đoạn 2021 -2025 và định hướng đến năm 2030 theo Kế hoạch số 61/KH-BCĐ ngày 18/4/2021 của Ban Chỉ đạo 138: 100 triệu đồng.</t>
  </si>
  <si>
    <t>Đề án chăm sóc vì sự phát triển toàn diện trẻ em trong những năm đầu đời tại gia đình và cộng đồng giai đoạn 2019- 2025 theo Kế hoạch số 32/KH-UBND ngày 02/02/2019 của UBND tỉnh: 122 Triệu đồng; Đánh giá và công nhận xã, phường, thị trấn phù hợp với trẻ em theo Quyết định số 06/QĐ-TTg ngày 03/01/2019 của Thủ tướng Chính phủ: 126 triệu đồng; Chương trình đêm hội trăng rằm tết trung thu cho trẻ em có hoàn cảnh đặc biệt theo Kế hoạch của UBND tỉnh hằng năm: 130 Triệu đồng; Tổ chức Lễ phát động Tháng hành động vì trẻ em theo Kế hoạch của UBND tỉnh hằng năm: 87 Triệu đồng; Phòng chống tai nạn thương tích cho trẻ em theo Kế hoạch số 198/KH-UBND ngày 04/10/2021 của UBND tỉnh: 400 Triệu đồng; Đề án hỗ trợ trẻ em khuyết tật tiếp cận các dịch vụ bảo vệ, chăm sóc giáo dục tại cộng đồng giai đoạn 2019-2025 theo Kế hoạch số 28/KH-UBND ngày 30/1/2019 của UBND tỉnh: 100 Triệu đồng; Phẫu thuật tim cho trẻ em theo Quyết định số 55a/2013/QĐ-TTg ngày 04/10/2013 của Thủ tướng Chính phủ: 100 Triệu đồng; Chương trình phòng, ngừa trẻ em lao động trái quy định pháp luật giai đoạn 2021 -2030 theo Kế hoạch số 187/KH-UBND ngày 13/9/2021 của UBND tỉnh: 100 Triệu đồng; Tuyên truyền Luật chăm sóc bảo vệ trẻ em theo Kế hoạch số 170/KH-UBND ngày 21/11/2019 của UBND tỉnh: 50 Triệu đồng; Tiếp tục tăng cường hiệu lực, hiệu quả việc thực hiện chính sách, pháp luật về phòng, chống xâm hại trẻ em theo Nghị quyết số 121/2020/QH14 ngày 19/6/2020 của Quốc hội: 82 Triệu đồng; Kiểm tra, giám sát tình hình thực hiện các chương trình “Tăng cường công tác chăm sóc, giáo dục và bảo vệ trẻ em đáp ứng yêu cầu phát triển đất nước phồn vinh, hạnh phúc” theo Kế hoạch số 194/KH-UBND ngày 12/8/2024 của UBND tỉnh Lạng Sơn: 18 triệu đồng</t>
  </si>
  <si>
    <t>Tặng quà nhân dịp Tết nguyên đán cho các đối tượng chính sách theo Kế hoạch của UBND tỉnh hằng năm: 493 triệu đồng; Quà tặng kỷ niệm ngày Thương binh liệt sĩ 27/7: 115 triệu đồng; Đưa đại biểu, người có công đi dự Hội nghị biểu dương toàn quốc: 50 triệu đồng; Đưa thân nhân liệt sĩ đi thăm chiến trường xưa theo Kế hoạch của tỉnh hằng năm: 250 triệu đồng; Trợ cấp một lần cho các đối tượng kháng chiến theo Quyết định số 24/2016/QĐ-TTg của Thủ tướng chính phủ: 12 triệu đồng; Đảm bảo xã hội khác: 200 triệu đồng; 
Quà Tết cho các hộ nghèo, hộ gia đình có hoàn cảnh Đặc biệt khó khăn, hộ có người khuyết tật nặng theo Kế hoạch của UBND tỉnh hằng năm: 1.380 triệu đồng; Chúc thọ, mừng thọ người cao tuổi trên địa bàn tỉnh Lạng Sơn và các hoạt động người cao tuổi theo Nghị quyết số 11/2019/NQ-HĐND ngày 10/12/2019:538 triệu đồng; Chương trình trợ giúp xã hội và phục hồi chức năng cho người tâm thần, trẻ em tự kỷ và người rối nhiễu tâm trí dựa vào cộng đồng giai đoạn 2021-2030 theo Kế hoạch số 33/KH-UBND, ngày 29/01/2021 của UBND tỉnh: 210 triệu đồng; Đề án đổi mới, phát triển trợ giúp xã hội giai đoạn 2017 -2025 và tầm nhìn 2030 theo Kế hoạch số 101/KH-UBND ngày 26/05/2017 của UBND tỉnh: 240 triệu đồng; Đề án nhân rộng mô hình Câu lạc bộ Liên thế hệ tự giúp nhau theo Kế hoạch số 194/KH-UBND ngày 08/12/2020 và Công văn số 813/UBND-KGVX ngày 30/6/2023 của UBND tỉnh: 325 triệu đồng; Hoạt động của Ban Công tác người cao tuổi: 107 Triệu đồng; Chương trình phát triển công tác xã hội giai đoạn 2021 - 2030 trên địa bàn tỉnh Lạng Sơn theo Kế hoạch số 80/KH-UBND ngày 05/4/2021của UBND tỉnh: 140 triệu đồng; Chương trình nâng cao chất lượng bảo vệ, chăm sóc sức khỏe người có công với cách mạng, người cao tuổi, trẻ em, người khuyết tật và các đối tượng cần trợ giúp xã hội giai đoạn 2021 - 2030 trên địa bàn tỉnh Lạng Sơn theo Kế hoạch số 02/KH-UBND ngày 05/01/2022 của UBND tỉnh: 60 triệu đồng; Hoạt động đội kiểm tra liên ngành 178 theo Quyết định số 411/QĐ-UBND ngày 10/3/2020 của UBND tỉnh: 136 triệu đồng</t>
  </si>
  <si>
    <t>Hỗ trợ tiền công lao động hợp đồng theo Nghị định số 111/2022/NĐ-CP ngày 30/12/2022: 1.182 triệu đồng; Kinh phí thi đua khen thưởng: 22 triệu đồng; Phụ cấp trực theo Quyết định số 73/2011/QĐ-TTg ngày 28/12/2011 của Thủ tướng chính phủ: 107 triệu đồng; Chế độ bảo vệ, chăm sóc sức khỏe, cán bộ, viên chức tỉnh Lạng Sơn theo Quy định số 1859-QĐ/TU ngày 21/6/2019 của Tỉnh ủy: 3.159 triệu đồng; Hỗ trợ kinh phí điện, nước cho hoạt động điều dưỡng cán bộ thuộc Ban thường vụ Tỉnh uỷ quản lý: 150 triệu đồng; sửa chữa ô tô: 80 triệu đồng; Tiền thưởng theo Nghị định số 73/2024/NĐ-CP ngày 30/6/2024 của Chính phủ: 114 triệu đồng</t>
  </si>
  <si>
    <t>Kinh phí thi đua khen thưởng: 25 triệu đồng; Tổ chức các hoạt động giao dịch việc làm theo Điều 7, Điều 13 Nghị định số 23/2021/NĐ-CP ngày 19/03/2021 của Chính phủ: 190 triệu đồng; Hỗ trợ 50% tiền công lao động hợp đồng theo NĐ số 111/2022/NĐ-CP ngày 30/12/2022: 103 triệu đồng; Tiền thưởng theo Nghị định số 73/2024/NĐ-CP ngày 30/6/2024 của Chính phủ: 140 triệu đồng</t>
  </si>
  <si>
    <t xml:space="preserve">Trợ cấp nuôi dưỡng theo quy định tại Quy định tại Khoản 2, Điều 2, Nghị quyết số 21/2021/NQ-HĐND ngày 09/12/2021: 2.436 triệu đồng; Mai táng phí các đối tượng theo quy định tại Khoản 3 Điều 25 Nghị định số 20/NĐ-CP ngày 15/03/2021 của Chính phủ : 100 triệu đồng; Mua thẻ Bảo hiểm y tế quy định tại Khoản 2 Điều 25 Nghị định số 20/2021/NĐ-CP ngày 15/03/2021: 114 triệu đồng; Hỗ trợ cho đối tượng từ 16 tuổi trở lên không đi học THPT, học nghề, về với gia đình theo quy định tại Khoản 5 Điều 26 Nghị định số 20/2021/NĐ-CP ngày 15/03/2021: 24 triệu đồng; </t>
  </si>
  <si>
    <t>Hỗ trợ tiền công lao động hợp đồng theo Nghị định số 111/2022/NĐ-CP ngày 30/12/2022: 2.108 triệu đồng; Phụ cấp trực theo Quyết định số 73/2011/QĐ-TTg ngày 28/12/2011 và TTLT số 10/2014/TTLT-BYT-BNV-BTC-BLĐTBXH ngày 26/12/2014: 208 triệu đồng; Kinh phí thi đua khen thưởng: 65 triệu đồng; Trợ cấp nuôi dưỡng theo quy định tại Quy định tại Khoản 2, Điều 2, Nghị quyết số 21/2021/NQ-HĐND ngày 09/12/202: 1.194 triệu đồng; Tư trang đồ dùng sinh hoạt, đồ dùng học tập cho đối tượng bảo trợ xã hội theo quy định tại Khoản 4 Điều 25 Nghị định số 20/2021/NĐ-CP ngày 15/03/2021: 400 triệu đồng; Hỗ trợ chi phí khác phục vụ các đối tượng bảo trợ xã hội: 430 triệu đồng; Tiếp nhận công dân Việt Nam xuất cảnh trái phép do Trung Quốc trao trả theo Nghị quyết số 08/2020/NQ-HĐND ngày 07/7/2020 của HĐND tỉnh: 72 triệu đồng; Chăm sóc và phục hồi chức năng cho đối tượng tâm thần nặng cần chuyển tuyến : 225 triệu đồng; Nuôi dưỡng đối tượng khẩn cấp theo khoản 2, khoản 4 Điều 24 Nghị định số 20/2021/NĐ-CP ngày 15/3/2021 của Chính phủ: 95 triệu đồng; Sửa chữa hệ thống vệ sinh, đường điện, nước tại cơ sở: 60 triệu đồng; Tiền thưởng theo Nghị định số 73/2024/NĐ-CP ngày 30/6/2024 của Chính phủ: 268 triệu đồng</t>
  </si>
  <si>
    <t>Hỗ trợ tiền công lao động hợp đồng theo Nghị định số 111/2022/NĐ-CP ngày 30/12/2022: 5.777 triệu đồng; Kinh phí thi đua khen thưởng: 72 triệu đồng; Phụ cấp trực theo Quyết định số 73/2011/QĐ-TTg ngày 28/12/2011 và TTLT số 10/2014/TTLT-BYT-BNV-BTC-BLĐTBXH ngày 26/12/2014: 1.039 triệu đồng; Trợ cấp đặc thù đối với viên chức, người lao động làm việc tại Cơ sở cai nghiện ma túy tỉnh theo quy định tại Nghị quyết số 15/2023/NQ-HĐND ngày 14/7/2023 của HĐND tỉnh: 1.858 triệu đồng; Cai nghiện ma túy bắt buộc theo Nghị định số 116/2021/NĐ-CP ngày 21/12/2021 của Chính phủ; Nghị quyết số 15/2023/NQ-HĐND ngày 14/7/2023 của HĐND tỉnh: 13.490 triệu đồng; Cai nghiện ma túy tự nguyện theo Nghị quyết số 15/2023/NQ-HĐND ngày 14/7/2023 của HĐND tỉnh: 296 triệu đồng; Hỗ trợ chi phí điện vận hành hệ thống bơm nước khu C: 96 triệu đồng; Đồng phục y tế, bảo vệ: 226 triệu đồng; Bảo dưỡng hệ thống điện Cơ sở cai nghiện ma tuý tỉnh: 22 triệu đồng; Tiền thưởng theo Nghị định số 73/2024/NĐ-CP ngày 30/6/2024 của Chính phủ: 269 triệu đồng</t>
  </si>
  <si>
    <t>Kinh phí thực hiện Giấy phép môi trường (Số 51/GP-UBND ngày 13/11/2023 của UBND tỉnh): 180 triệu đồng; Vận chuyển rác thải sinh hoạt: 40 triệu đồng</t>
  </si>
  <si>
    <t>Miễn giảm học phí theo quy định tại Nghị định số 97/2023/NĐ-CP ngày 31/12/2023, 81/2021/NĐ-CP ngày 27/8/2021: 731 triệu đồng; Chính sách nội trú theo Quyết định số 53/2015/QĐ-TTG ngày 20/10/2015: 384 triệu đồng</t>
  </si>
  <si>
    <t>Tiền thưởng theo Nghị định số 73/2024/NĐ-CP ngày 30/6/2024 của Chính phủ: 464 triệu đồng; Đào tạo nhân viên y tế thôn bản theo Thông báo số 25/TB-HĐND ngày 10/01/2024 của HĐND tỉnh và Quyết định số 1832/QĐ-UBND ngày 25/10/2024 của UBND tỉnh: 567 triệu đồng; thi đua khen thưởng: 100 triệu đồng;</t>
  </si>
  <si>
    <t>Kinh phí triển khai nền tảng y tế số trong quản lý và chăm sóc sức khoẻ người dân địa bàn tỉnh Lạng Sơn đến năm 2025, định hướng năm 2030 theo Kế hoạch 03/KH-UBND ngày 04/01/2023 của UBND tỉnh</t>
  </si>
  <si>
    <t>Kinh phí quan trắc môi trường nước thải, khí thải, điều tra đánh giá ban đầu về tác động môi trường theo Nghị định số 08/2022/NĐ-CP ngày 10/01/2022 của Chính phủ</t>
  </si>
  <si>
    <t>Xử lý chất thải phòng thí nghiệm</t>
  </si>
  <si>
    <t>Xử lý chất thải rắn</t>
  </si>
  <si>
    <t>Quỹ thi đua khen thưởng ngành y tế: 700 triệu đồng; Kinh phí cho các đoàn chỉ đạo, kiểm tra, giám sát: 300 triệu đồng; Chi phí tổ chức đấu thầu tập trung thuốc, hóa chất, vật tư, thiết bị y tế, dịch vụ... cho các cơ sở y tế trên địa bàn tỉnh: 800 triệu đồng; Kinh phi đoàn ra đoàn vào: 600 triệu đồng</t>
  </si>
  <si>
    <t>Sửa chữa, bảo dưỡng máy móc trang thiết bị và nâng cấp máy X-Quang phục vụ chuyên môn: 570 triệu đòng; Mua thuốc, hóa chất, vật tư phục vụ công tác khám giám định y khoa trên địa bàn tỉnh: 100 triệu đồng; Mua hóa chất, chất chuẩn, mẫu thuốc để kiểm nghiệm, dụng cụ thí nghiệm, vật tư hàng hóa, phí thử nghiệm thành thạo, duy trì hệ thống phòng thử nghiệm ISO/IEC 17025 để phục vụ cho công tác kiểm nghiệm: 500 triệu đồng; Sửa chữa, hiệu chỉnh các trang thiết bị (định kỳ hàng năm) do Viện Kiểm nghiệm thuốc Trung ương thực hiện, đánh giá GLP: 350 triệu đồng; Trang phục, dụng cụ, bảo hộ, vật tư hóa chât chuyên ngành pháp y: 80 triệu đồng; Trang phục bảo hộ phục vụ công tác kiểm nghiệm: 30 triệu đồng</t>
  </si>
  <si>
    <t xml:space="preserve">Chương trình chăm sóc và nâng cao sức khỏe người lao động, phòng chống bệnh nghề nghiệp trên địa bàn tỉnh Lạng Sơn giai đoạn 2020-2030 theo Kế hoạch 134/KH-UBND ngày 10/8/2020 của UBND tỉnh: 920 triệu đồng; Ứng phó với biến đổi khí hậu của ngành y tế theo Kế hoạch số 73/KH-UBND ngày 23/4/2020 của UBND tỉnh: 46 triệu đồng; Thực hiện Nghị Quyết số 13/2023/NQ-HĐND ngày 14/7/2023 của HĐND tỉnh quy định nội dung, mức chi các hoạt động y tế - dân số, giai đoạn 2023-2025 trên địa bàn tỉnh Lạng Sơn: 900 triệu đồng; Lắp dặt dây mạng nhà 3 tầng phục vụ công tác chuyên môn tại khoa phòng khám đa khoa: 48 triệu đồng; Kinh phí lệ phí trước bạ xe ô tô phục vụ tiêm chủng và lấy mẫu xét nghiệm lưu động hiệu FUSO CANTER6.5- TV1 do Bộ Y tế cấp: 35 triệu dồng; Kinh phí hoạt động duy trì hệ thống quản lý chất lượng theo phòng xét nghiệm theo ISO 17025:2017 phục vụ xét nghiệm nước, an toàn thực phẩm: 70 triệu đồng; Hỗ trợ Hội đồng giám định y khoa tỉnh Lạng Sơn: 90 triệu đồng; Trang thiết bị phục vụ khám giám định chuyên môn: 20 triệu đồng; </t>
  </si>
  <si>
    <t>Kinh phí thi đua khen thưởng: 206 triệu đồng; Tiền thưởng theo Nghị định số 73/2024/NĐ-CP ngày 30/6/2024 của Chính phủ: 1.712 triệu đồng; Kinh phí sửa chữa, bảo dưỡng tài sản, trang thiết bị: 150 triệu đồng; Mua thuốc Methadon cho các cơ sở y tế trên địa bàn tỉnh theo Công văn số 7743/BYT-AIDS ngày 17/9/2021 và Công văn số 4079/VP-KGVX ngày 25/9/2021 của Văn phòng UBND tỉnh về việc phê duyệt Kế hoạch đảm bảo tài chính chấm dứt dịch bệnh AIDS và kinh phí mua thuốc Methadone: 771 triệu đồng; Kinh phí định lượng muối I ốt, phòng chống rối loạn do thiếu I ốt: 54 triệu đồng; Hỗ trợ bản tin y tế (in ấn, nhuận bút, hỗ trợ chuyên mục sức khỏe trên báo, đài truyền hình tỉnh): 350 triệu đồng; Đảm bảo tài chính thực hiện chiến lược quốc gia chấm dứt dịch bệnh AIDS vào năm 2030 trên địa bàn tỉnh Lạng Sơn giai đoạn 2021-2025 theo Kế hoạch số 183/KH-UBND ngày 18/11/2020 của UBND tỉnh: 500 triệu đồng; Hoạt động bảo vệ tâm thần cộng đồng và trẻ em theo Công văn số 5925/BYT-KH-TC ngày 23/7/2021 về việc chuyển nội dung nhiệm vụ của Chương trình MTYT-DS giai đoạn 2016-2020 thành nhiệm vụ thường xuyên của địa phương: 510 triệu đồng; Kinh phí mua hóa chất và các nhiệm vụ khác để thực hiện ngoại kiểm nước theo Thông tư số 41/2018/TT-BYT: 280 triệu đồng; Thực hiện Đề án truyền thông về cải thiện vệ sinh cá nhân, vệ sinh môi trường, sử dụng nước sạch nông thôn trên địa bàn tỉnh Lạng Sơn theo Kế hoạch số 36/KH-UBND ngày 15/02/2019 của UBND tỉnh: 170 triệu đồng.</t>
  </si>
  <si>
    <t>Kinh phí thi đua khen thưởng: 390 triệu đồng; Kinh phí sửa chữa bảo dưỡng trang thiết bị, hệ thống phòng cháy: 350 triệu đồng; Sửa chữa, bảo dưỡng trang thiết bị Y tế: 150 triệu đồng; Sửa chữa xe ô tô: 250 triệu đồng; Đề án "khám chữa bệnh từ xa" giai đoạn 2021-2025 theo Quyết định số 16/QĐ-UBND ngày 08/01/2021 của UBND tỉnh: 1096 triệu đồng; Thực hiện chiến lược quốc gia phát triển ngành dược giai đoạn đến năm 2020 và tầm nhìn đến năm 2030 trên địa bàn tỉnh theo Kế hoạch số 142/KH-UBND ngày 09/12/2016: 595 triệu đồng; Thuê bao sử dụng phần mềm quản lý bệnh viện, kết nối liên thông dữ liệu BHYT-BYT theo Thông tư số 54/2017/TT-BYT ngày 29/12/2017 của Bộ y tế, Thông tư 46/2018/TT-BYT ngày 28/12/2018: 562 triệu đồng; Kinh phí thực hiện Nghị Quyết số 13/2023/NQ-HĐND ngày 14/7/2023 của HĐND tỉnh quy định nội dung, mức chi các hoạt động y tế - dân số, giai đoạn 2023-2025 trên địa bàn tỉnh Lạng Sơn: 912 triệu đồng; Tiền thưởng theo Nghị định số 73/2024/NĐ-CP ngày 30/6/2024 của Chính phủ: 567 triệu đồng; Chi phí chương trình ngoại kiểm xét nghiệm: 60 triệu đồng; Phát triển hệ thống phục hồi chức năng giai đoạn 2023-2030 tầm nhìn đến 2050 theo Kế hoạch số 224/KH-UBND ngày 06/12/2023 của UBND tỉnh: 202 triệu đồng</t>
  </si>
  <si>
    <t>Hỗ trợ tiền công lao động hợp đồng theo Nghị định số 111/2022/NĐ-CP ngày 30/12/2022: 232 triệu đồng; kinh phí thi đua khen thưởng: 20 triệu đồng; sửa chữa ô tô 30 triệu đồng; Sửa chữa nhà vệ sinh: 30 triệu đồng; Thực hiện trang thông tin điện tử An toàn vệ sinh thực phẩm: 20 triệu đồng; Kiểm tra, giám sát an toàn vệ sinh thực phẩm: 150 triệu đồng; Bảo đảm an toàn thực phẩm và phòng, chống ngộ độc thực phẩm giai đoạn 2021-2025 trên địa bàn tỉnh theo Kế hoạch số 57/KH-UBND ngày 8/3/2021: 400 triệu đồng; Tăng cường sự lãnh đạo đối với công tác bảo đảm an toàn thực phẩm trong tình hình mới theo Kế hoạch số 71/KH-UBND ngày 04/4/2022 Thực hiện Chỉ thị số 10-CT/TU ngày 03/3/2022 của Ban Thường vụ Tỉnh ủy: 400 triệu đồng; Tiền thưởng theo Nghị định số 73/2024/NĐ-CP ngày 30/6/2024 của Chính phủ: 150 triệu đồng.</t>
  </si>
  <si>
    <t xml:space="preserve"> Hỗ trợ tiền công lao động hợp đồng theo Nghị định số số 111/2022/NĐ-CP ngày 30/12/2022: 209 triệu đồng; Kinh phí thi đua khen thưởng: 23 triệu đồng; sửa chữa ô tô 50 triệu đồng; Sửa chữa cổng hàng rào, mái để xe: 80 triệu đồng; Đề án Chăm sóc sức khoẻ người cao tuổi năm 2017-2025 theo Kế hoạch số 140/KH-UBND ngày 09/8/2017 của UBND tỉnh Lạng Sơn: 308 triệu đồng; Chương trình Truyền thông dân số tỉnh Lạng Sơn đến năm 2030 theo Kế hoạch số 87/KH-UBND ngày 25/5/2020 của UBND tỉnh: 120 triệu đồng; Chương trình Điều chỉnh mức sinh phù hợp các vùng, đối tượng đến năm 2030 tỉnh theo Kế hoạch số 165/KH-UBND ngày 05/10/2020 của UBND tỉnh: 152 triệu đồng; Chương trình Mở rộng tầm soát, chẩn đoán, điều trị một số bệnh, tật trước sinh và sơ sinh tỉnh Lạng Sơn đến năm 2030 trên địa bàn tỉnh Lạng Sơn theo Kế hoạch số 53/KH-UBND ngày 05/3/2021 của UBND tỉnh: 154 triệu đồng; Chương trình củng cố và phát triển hệ thống thông tin chuyên ngành dân số đến năm 2030 trên địa bàn tỉnh Lạng Sơn theo Kế hoạch số 218/KH-UBND ngày 10/11/2021 của UBND tỉnh: 83 triệu đồng; Đề án Kiểm soát mất cân bằng giới tính khi sinh giai đoạn 2022 - 2025 trên địa bàn tỉnh Lạng Sơn theo Kế hoạch số 106/KH-UBND ngày 04/05/2022 của UBND tỉnh: 200 triệu đồng; Chương trình Củng cố, phát triển và nâng cao chất lượng dịch vụ kế hoạch hóa gia đình giai đoạn 2021 - 2025, tầm nhìn đến năm 2030 trên địa bàn tỉnh theo Kế hoạch số 222/KH-UBND ngày 14/11/2021 của UBND tỉnh: 273 triệu đồng; Tiền thưởng theo Nghị định số 73/2024/NĐ-CP ngày 30/6/2024 của Chính phủ: 123 triệu đồng.</t>
  </si>
  <si>
    <t>Chi cục dân số Kế hoạch hoá gia đình</t>
  </si>
  <si>
    <t>Hỗ trợ tiền công lao động hợp đồng theo Nghị định số 111/2022/NĐ-CP ngày 30/12/2022: 618 triệu đồng; kinh phí thi đua khen thưởng: 50 triệu đồng; Kiểm soát thủ tục hành chính: 30 triệu đồng; Trang phục thanh tra: 20 triệu đồng; Ban Chỉ đạo liên ngành An toàn vệ sinh thực phẩm: 20 triệu đồng; Ban Chỉ đạo liên ngành về Dân số: 30 triệu đồng; sửa chữa xe ô tô: 95 triệu đồng; Hỗ trợ cho các đoàn thanh tra, kiểm tra, xử lý vi phạm và giải quyết khiếu nại, tố cáo trong lĩnh vực y tế theo quy định của pháp luật: 200 triệu đồng; Đề án "khám chữa bệnh từ xa" giai đoạn 2021-2025 theo Quyết định số 16/QĐ-UBND ngày 08/01/2021 của UBND tỉnh: 50 triệu đồng; Thuê dịch vụ phần mềm quản lý hồ sơ sức khỏe điện tử giai đoạn 2021-2025 trên địa bàn tỉnh Lạng Sơn: 5 triệu đồng; Xây dựng văn bản quy phạm pháp luật: 90 triệu đồng; Tiền thưởng theo Nghị định số 73/2024/NĐ-CP ngày 30/6/2024 của Chính phủ: 426 triệu đồng.</t>
  </si>
  <si>
    <t>Kinh phí thi đua khen thưởng: 220 triệu đồng; Sửa chữa ô tô: 50 triệu đồng; Đào tạo sinh viên theo quy định tại Nghị định số 116/2020/NĐ-CP ngày 25/9/2020 của Chính phủ: 3.345,6 triệu đồng; Tiền thưởng theo Nghị định số 73/2024/NĐ-CP ngày 30/6/2024 của Chính phủ: 1.792 triệu đồng.</t>
  </si>
  <si>
    <t>Đào tạo lưu học sinh Trung Quốc theo Kế hoạch số 150/KH-UBND ngày 29/6/2022 của UBND tỉnh: 629 triệu đồng; Đào tạo theo chế độ cử tuyển theo Kế hoạch số 225/KH-UBND ngày 10 /10/2024 của UBND tỉnh: 1.560 triệu đồng; Đào tạo học sinh theo Nghị định số 116/2020/NĐ-CP của Chính phủ: 1.059 triệu đồng; Đào tạo văn bằng 2 theo Nghị quyết số 09/2021/NQ-HĐND ngày 17/7/2021 của HĐND tỉnh: 4.112 triệu đồng.</t>
  </si>
  <si>
    <t>Sự nghiệp đào tạo khác</t>
  </si>
  <si>
    <t>Chính sách hỗ trợ tiền ăn, tiền ở cho học sinh theo Nghị định số 116/2016/NĐ-CP ngày 18/7/2016 của Chính phủ: 59.983 triệu đồng; Chính sách học sinh khuyết tật theo Thông tư số 42/2013/TTLT-BGDĐT-BLĐTBXH-BTC ngày 31/12/2013: 912 triệu đồng; Chính sách miễn giảm học phí, hỗ trợ chi phí học tập theo Nghị định số 81/2021/NĐ-CP ngày 27/8/2021 của Chính phủ: 15.542 triệu đồng; Chính sách hỗ trợ học tập cho học sinh dân tộc thiểu số rất ít người theo Nghị định số 57/2017/NĐ-CP ngày 09/5/2017 của Chính phủ: 34 triệu đồng; Chính sách nội trú theo Quyết định số 53/2015/QĐ-TTg ngày 20/10/2015 của Thủ tướng Chính phủ: 5.646 triệu đồng.</t>
  </si>
  <si>
    <t>Tổ chức kỳ thi tốt nghiệp lớp 12: 4.560 triệu đồng; Thi học sinh giỏi: 2.700 triệu đồng; Các cuộc thi, hội thi của Bộ, ngành theo Kế hoạch của UBND tỉnh: 754 triệu đồng; Các lớp bồi dưỡng chuyên môn nghiệp vụ của ngành, bộ theo Kế hoạch của UBND tỉnh: 1.270 triệu đồng; Tiền thưởng ngành giáo dục: 1.500 triệu đồng; Văn phòng phẩm - xăng xe - công tác kiểm tra chuyên môn - chi trả tiền thêm giờ các Ban, Hội đồng, đoàn kiểm tra liên ngành các hoạt động giáo dục: 3.400 triệu đồng; Tổ chức thi vào lớp 10: 4.500 triệu đồng; Tổ chức các Hội nghị, hội thảo của ngành Giáo dục theo Kế hoạch của UBND tỉnh: 1.100 triệu đồng; Thi tuyển viên chức: 340 triệu đồng; Một số hoạt động chuyên môn khác sự nghiệp giáo dục: 8.500 triệu đồng; Đánh giá ngoài của công tác kiểm định chất lượng giáo dục và công nhận trường chuẩn quốc gia: 1.533 triệu đồng; Xử lý chống mối trường học: 3.000 triệu đồng; Khử khuẩn các trường học: 2.000 triệu đồng; Tài liệu tăng cường tiếng việt cấp Mầm Non, Tiểu học theo Kế hoạch số 165/KH-UBND ngày 22/7/2022 của UBND tỉnh: 2.500 triệu đồng; Đề án dạy và học ngoại ngữ trong hệ thống giáo dục quốc dân giai đoạn 2018 - 2025 trên địa bàn tỉnh Lạng Sơn theo Kế hoạch số 70/KH-UBND ngày 23/3/2023 của UBND tỉnh: 2.000 triệu đồng; Đề án phát triển đội ngũ nhà giáo và cán bộ quản lý giáo dục trên địa bàn tỉnh Lạng Sơn giai đoạn 2023 - 2025, định hướng đến năm 2030 theo Quyết định số 1918/QĐ-UBND ngày 02/12/2022 của UBND tỉnh: 5.811 triệu đồng; Triển khai cung cấp sữa thực hiện “Chương trình Sức khoẻ học đường” cho trẻ mầm non và học sinh tiểu học tại các cơ sở giáo dục trên địa bàn tỉnh Lạng Sơn năm 2025: 2.197 triệu đồng; Chế độ phụ cấp ưu đãi đối với nhà giáo trực tiếp giảng dạy người khuyết tật theo Nghị định số 28/2012/NĐ-CP ngày 10/4/2012 của Chính phủ: 4.506 triệu đồng.</t>
  </si>
  <si>
    <t>Chế độ chính sách, chương trình, đề án nguồn kinh phí địa phương</t>
  </si>
  <si>
    <t>b4</t>
  </si>
  <si>
    <t>Kinh phí thi đua khen thưởng: 160 triệu đồng; Tiền thưởng theo Nghị định số 73/2024/NĐ-CP ngày 30/6/2024 của Chính phủ: 800 triệu đồng.</t>
  </si>
  <si>
    <t>Chế độ học bổng học sinh dân tộc nội trú</t>
  </si>
  <si>
    <t>Kinh phí thi đua khen thưởng: 655 triệu đồng; Hỗ trợ theo Nghị định số 76/2019/NĐ-CP ngày 08/10/2019: 1.079 triệu đồng; Hỗ trợ 50% tiền công lao động hợp đồng theo Nghị định số 111/2022/NĐ-CP ngày 30/12/2022 cho các trường phổ thông DTNT khối tỉnh: 3.179 triệu đồng; Tiền thưởng theo Nghị định số 73/2024/NĐ-CP ngày 30/6/2024 của Chính phủ: 3.599 triệu đồng.</t>
  </si>
  <si>
    <t>Hỗ trợ tiền công, chi khác lao động hợp đồng theo Nghị định số 111/2022/NĐ-CP ngày 30/12/2022: 876 triệu đồng; Kinh phí thi đua khen thưởng: 130 triệu đồng; Kiểm soát thủ tục hành chính: 25 triệu đồng; Trang phục thanh tra: 14 triệu đồng; Xây dựng văn bản pháp luật: 210 triệu đồng; Ban chỉ đạo đổi mới giáo dục và đào tạo tỉnh Lạng Sơn theo Quyết định số 1409/QĐ-UBND ngày 29/80/2022, Ban chỉ đạo đổi mới sách giáo khoa theo Quyết định số 2731/QĐ-UBND ngày 20/12/2019: 30 triệu đồng; Hoạt động phổ cập giáo dục xoá mù chữ (Tổ rà soát cấp tỉnh và triển khai kiểm tra tại cơ sở): 95 triệu đồng; Kinh phí thực hiện Kế hoạch số 183/KH-UBND ngày 18/11/2020 của UBND tỉnh về Kế hoạch đảm bảo tài chính thực hiện chiến lược quốc gia chấm dứt dịch bệnh AIDS vào năm 2030 trên địa bàn tỉnh Lạng Sơn giai đoạn 2021-2025: 20 triệu đồng; Sửa chữa ô tô: 80 triệu đồng; Tiền thưởng theo Nghị định số 73/2024/NĐ-CP ngày 30/6/2024 của Chính phủ: 698 triệu đồng.</t>
  </si>
  <si>
    <t>Ban An toàn giao thông tỉnh</t>
  </si>
  <si>
    <t>Sửa chữa định kỳ sự nghiệp giao thông</t>
  </si>
  <si>
    <t>Kinh phí thi đua khen thưởng: 35 triệu đồng; Kinh phí hoạt động Trạm kiểm tra trọng tải xe lưu động: 1.205 triệu đồng; Tiền thưởng theo Nghị định số 73/2024/NĐ-CP ngày 30/6/2024: 328 triệu đồng</t>
  </si>
  <si>
    <t>Tiền thưởng theo Nghị định số 73/2024/NĐ-CP ngày 30/6/2024: 28 triệu đồng</t>
  </si>
  <si>
    <t>Sự nghiệp Giao thông</t>
  </si>
  <si>
    <t>Hỗ trợ tiền công, chi khác lao động hợp đồng theo Nghị định số 111/2022/NĐ-CP ngày 30/12/2022: 165 triệu đồng; Kinh phí thi đua khen thưởng: 5 triệu đồng; Sửa chữa ô tô: 15 triệu đồng; Tiền thưởng theo Nghị định số 73/2024/NĐ-CP ngày 30/6/2024: 59 triệu đồng</t>
  </si>
  <si>
    <t>Hỗ trợ tiền công, chi khác lao động hợp đồng theo Nghị định số 111/2022/NĐ-CP ngày 30/12/2022: 1.093 triệu đồng; Kinh phí thi đua khen thưởng: 10 triệu đồng; Trang phục thanh tra: 26 triệu đồng; Tiền thưởng theo Nghị định số 73/2024/NĐ-CP ngày 30/6/2024: 155 triệu đồng</t>
  </si>
  <si>
    <t>Hỗ trợ tiền công, chi khác lao động hợp đồng theo Nghị định số 111/2022/NĐ-CP ngày 30/12/2022: 706 triệu đồng; Kinh phí thi đua khen thưởng: 50 triệu đồng; Kiểm soát thủ tục hành chính: 25 triệu đồng; Kinh phí đảm bảo chi thu lệ phí: 1.830 triệu đồng; Xây dựng văn bản quy phạm phát luật: 40 triệu đồng; Kinh phí phục vụ Trạm quản lý vận tải cửa khẩu: 451 triệu đồng; Chi đoàn ra, đoàn vào: 50 triệu đồng; Kinh phí khen thưởng Giao thông nông thôn: 60 triệu đồng; Tiền thưởng theo Nghị định số 73/2024/NĐ-CP ngày 30/6/2024: 473 triệu đồng</t>
  </si>
  <si>
    <t>Bồi dưỡng cập nhật kiến thức lĩnh vực đất đai, tài nguyên nước, khoáng sản, môi trường theo Kế hoạch số 116/KH-UBND ngày 25/9/2024 của UBND tỉnh</t>
  </si>
  <si>
    <t>Dự án Kiểm kê tài nguyên nước trên địa bàn tỉnh Lạng Sơn theo Quyết định số 1200/QĐ- UBND ngày 08/7/2024 của UBND tỉnh phê duyệt đề cương và dự toán kinh phí thực hiện dự án Kiểm kê tài nguyên nước trên địa bàn tỉnh Lạng Sơn</t>
  </si>
  <si>
    <t>Xây dựng khung kiến trúc ứng dụng công nghệ thông tin ngành tài nguyên và môi trường tỉnh Lạng Sơn theo Quyết định số 1161/QĐ-UBND ngày 11/7/2022 của Chủ tịch UBND tỉnh</t>
  </si>
  <si>
    <t>Lĩnh vực công nghệ thông tin</t>
  </si>
  <si>
    <t>Lấy mẫu kiểm tra phân tích ô nhiễm môi trường theo kiến nghị của nhân dân tại đường dây nóng, ý kiến cử tri, qua phản ánh của báo, đài, và lấy mẫu kiểm tra giám sát tại các cơ sở gây ô nhiễm theo quy định tại điểm d khoản 9 và khoản 4 Điều 152 Nghị định số 08/2022/NĐ-CP ngày 10/01/2022 của Chính phủ: 100 triệu đồng; Lấy mẫu thử nghiệm vận hành dự án sau cấp phép môi trường theo quy định tại Điểm b khoản 10 Điều 31 Nghị định số 08/2022/NĐ-CP ngày 10/01/2022 của Chính phủ: 300 triệu đồng; Thực hiện Luật bảo vệ môi trường số 72/2020/QH14: 150 triệu đồng; Lắp đặt thay 03 biển báo tuyên truyền ngoài trời: 150 triệu đồng; Công tác tuyên truyền về phòng chống rác thải nhựa giai đoạn 2021-2025 trên địa bàn tỉnh Lạng Sơn theo Kế hoạch số 100/KH-UBND ngày 15/5/2021 của UBND tỉnh: 175 triệu đồng; Tổ chức ngày môi trường thế giới hằng năm: 175 triệu đồng; Tổ chức ngày "Chiến dịch làm cho thế giới sạch hơn": 50 triệu đồng; Lập báo cáo hiện trạng môi trường theo chuyên đề của Bộ Tài nguyên và Môi trường hằng năm theo điểm b, khoản 2 Điều 120 Luật Bảo vệ môi trường số 72/2020/QH14 ngày 17 tháng 11 năm 2020: 200 triệu đồng; Rà soát lại Bộ đơn giá sản phẩm quan trắc và phân tích môi trường trên địa bàn tỉnh Lạng Sơn: 250 triệu đồng; Vận hành trạm quan trắc môi trường tự động theo Thông báo số 239/TB-UBND ngày 22/5/2023 của UBND tỉnh: 330 triệu đồng; Tuyên truyền, phổ biến, nâng cao nhận thức, trách nhiệm và hành động về bảo vệ môi trường, phân loại chất thải tại nguồn theo Quyết định số 26/2023/QĐ-UBND ngày 19/12/2023 của UBND tỉnh: 84 triệu đồng; Đề án, triển khai thí điểm mô hình thu gom, phân loại chất rắn thải sinh hoạt: 282 triệu đồng</t>
  </si>
  <si>
    <t>Kinh phí thi đua khen thưởng: 29 triệu đồng; Tổ chức cho hoạt động đấu giá tài sản: 400 triệu đồng; Thuê 03 bảo vệ trông coi, quản lý bảo vệ khu đất và tài sản trên đất khu chợ Bờ Sông: 196 triệu đồng; Chương trình quan trắc chất lượng môi trường trên địa bàn tỉnh Lạng Sơn : 947 triệu đồng; Tiền thưởng theo Nghị định số 73/2024/NĐ-CP ngày 30/6/2024 của Chính phủ: 127 triệu đồng</t>
  </si>
  <si>
    <t>Kinh phí thi đua khen thưởng: 234 triệu đồng; đảm bảo chi thu lệ phí: 300 triệu đồng; tổ chức lựa chọn triển khai phần mềm, hạ tầng kỹ thuật công nghệ thông tin phục vụ quản lý, vận hành, khai thác sử dụng cơ sở dữ liệu đất đai theo Công văn số 4737/VP-KT ngày 25/9/2023 của UBND tỉnh và Công văn số 1055/CĐKDLTTĐĐ-CNDLTTĐĐ ngày 21/9/2023 của Cục Đăng ký và Dữ liệu thông tin đất đai: 1.000 triệu đồng; Phần mềm diệt virus cho phòng máy chủ: 25 triệu đồng; Hoạt động trang Website vận hành cơ sở dữ liệu đất đai và quan trắc môi trường tự động toàn sở: 50 triệu đồng; Cấp Giấy chứng nhận quyền sử dụng đất: 1.000 triệu đồng; Dự án Chỉnh lý, sắp xếp hồ sơ địa chính, tài liệu đất đai lưu trữ tại Chi nhánh Văn phòng đăng ký đất đai các huyện, thành phố trên địa bàn tỉnh Lạng Sơn: 4.000 triệu đồng; Tiền thưởng theo Nghị định số 73/2024/NĐ-CP ngày 30/6/2024 của Chính phủ: 716 triệu đồng</t>
  </si>
  <si>
    <t>Văn phòng đăng ký đất đai</t>
  </si>
  <si>
    <t>Hỗ trợ tiền công, chi khác lao động hợp đồng theo Nghị định số 111/2022/NĐ-CP ngày 30/12/2022: 843 triệu đồng; kinh phí thi đua khen thưởng: 81 triệu đồng; Kiểm soát thủ tục hành chính: 29 triệu đồng; Sửa chữa xe ô tô: 120 triệu đồng; Đảm bảo chi thu lệ phí: 15 triệu đồng; Xây dựng văn bản quy phạm pháp luật: 300 Triệu đồng; Hoạt động thanh tra chuyên ngành: 80 triệu đồng; tiếp dân và xử lý đơn thư: 95 triệu đồng; tư vấn giá đất cụ thể: 800 triệu đồng; Xây dựng bảng giá đất trên địa bàn tỉnh Lạng Sơn giai đoạn 2025-2029: 2.000 triệu đồng; Trang phục thanh tra: 22 triệu đồng; kiểm kê đất đai, lập bản đồ hiện trạng sử dụng đất tỉnh Lạng Sơn: 500 triệu đồng; tiền thưởng theo Nghị định số 73/2024/NĐ-CP ngày 30/6/2024 của Chính phủ: 572 triệu đồng</t>
  </si>
  <si>
    <t>Kinh phí tổ chức lớp Bồi dưỡng cập nhật kiến thức, nghiệp vụ đối với công chức phụ trách lĩnh vực nông nghiệp</t>
  </si>
  <si>
    <t>Xây dựng hệ thống Quan trắc và giám sát cảnh báo thông tin hồ chứa thủy lợi, tích hợp với cơ sở dữ liệu công trình, hạ tầng thủy lợi trên địa bàn tỉnh</t>
  </si>
  <si>
    <t>Kinh phí thực hiện nhiệm vụ “Xây dựng cơ sở dữ liệu tài liệu lưu trữ ngành Nông nghiệp và Phát triển nông thôn”</t>
  </si>
  <si>
    <t>Sửa chữa các công trình thủy lợi thuộc Đề án nâng cao năng lực quản lý, đảm bảo an toàn và hiệu quả các công trình thủy lợi trên địa bàn tỉnh Lạng Sơn giai đoạn 2021-2030 theo Quyết định số 1922/QĐ-UBND ngày 02/10/2020 của UBND tỉnh: 13.000 triệu đồng; đào tạo, tập huấn chuyên môn: 420 triệu đồng; kinh phí xử lý chống mối đảm bảo an toàn các công trình hồ chứa thủy lợi trên địa bàn tỉnh Lạng Sơn: 4.241 triệu đồng</t>
  </si>
  <si>
    <t xml:space="preserve"> Cập nhật diễn biến tài nguyên rừng: 950 triệu đồng; Trồng cây phân tán: 3.000 triệu đồng; Hội nghị tập huấn phòng chống chữa cháy rừng tại các xã: 360 triệu đồng; tuyên truyền lưu động về phòng chống chữa cháy rừng: 138 triệu đồng; diễn tập phòng chống cháy rừng: 45 triệu đồng; sửa chữa biển báo tuyên truyền quản lý bảo vệ rừng, phòng cháy chữa cháy rừng, sửa chữa biển báo cháy rừng: 250 triệu đồng; dự án trồng đào cảnh quan và phát triển đào thương phẩm theo Quyết định số 2167/QĐ-UBND ngày 31/10/2018 phê duyệt Đề án bảo tồn, phát triển giá trị cây Đào và tổ chức lễ hội hoa đào Xứ Lạng: 387 triệu đồng; Xây mới biển báo cấp cháy rừng: 260 triệu đồng; mô hình trồng cây dược liệu dưới tán rừng tại các thôn bản vùng đệm rừng đặc dụng Mẫu Sơn: 1.000 triệu đồng; Điều tra rừng: 4.000 triệu đồng</t>
  </si>
  <si>
    <t>c3</t>
  </si>
  <si>
    <t>Hỗ trợ cộng đồng dân cư vùng đệm: 300 triệu đồng; điều tra thành phần loài và kinh nghiệm sử dụng cây thuốc của cộng đồng người Dao Khu vực rừng đặc dụng Mẫu Sơn và đề xuất biện pháp sự dụng hợp lý nguồn tài nguyên cây thuốc: 1.417,3 triệu đồng; Lập hồ sơ ranh giới sử dụng đất, đo đạc chỉnh lý bản đồ địa chính và cấp Giấy chứng nhận quyền sử dụng đất rừng đặc dụng Mẫu Sơn: 370,4 triệu đồng</t>
  </si>
  <si>
    <t>Hỗ trợ cộng đồng dân cư vùng đệm: 750 triệu đồng; Kinh phí bảo vệ rừng đặc dụng: 393,1 triệu đồng; Thu thập mẫu vật (xử lý tiêu bản động, thực vật): 200 triệu đồng</t>
  </si>
  <si>
    <t xml:space="preserve">Kinh phí thực hiện Đề án Trồng 1 tỷ cây xanh: 2.451 triệu đồng; Ứng dụng công nghệ tiên tiến, hiện đại trong quản lý, điều tra, giám sát tài nguyên rừng: 921 triệu đồng; Xây dựng danh mục thành phần các loài động, thực vật rừng quý hiểm trên địa bàn tỉnh; lâp bản đồ phân bố một số loài quan trọng có giá trị cao bảo tồn nguồn gen: 1.834 triệu đồng; Bảo vệ rừng đặc dụng: 99,2 triệu đồng; Hỗ trợ cộng đồng dân cư vùng đệm: 200 triệu đồng </t>
  </si>
  <si>
    <t>Chi cục Kiểm lâm</t>
  </si>
  <si>
    <t>Chương trình Phát triển lâm nghiệp bền vững</t>
  </si>
  <si>
    <t>Kinh phí Trung ương bổ sung có mục tiêu (Chương trình Phát triển lâm nghiệp bền vững)</t>
  </si>
  <si>
    <t>Hỗ trợ 50% tiền công lao động hợp đồng theo Nghị định số 111/2022/NĐ-CP ngày 30/12/2022: 70 triệu đồng; kinh phí đua khen thưởng: 30 triệu đồng; trang phục bảo vệ rừng theo Thông tư số 08/2018/TT-BNNPTNT ngày 28/3/2018: 50 triệu đồng; sửa chữa xe ô tô: 20 triệu đồng; tập huấn, tuyên truyền quản lý bảo vệ rừng và phòng cháy chữa cháy rừng đặc dụng: 60 triệu đồng; Tiền thưởng theo Nghị định số 73/2024/NĐ-CP ngày 30/6/2024 của Chính phủ: 114 triệu đồng; Sửa chữa đường điện, hệ thống thoát nước nhà vệ sinh: 50 triệu đồng</t>
  </si>
  <si>
    <t>Hỗ trợ 50% tiền công lao động hợp đồng theo Nghị định số 111/2022/NĐ-CP ngày 30/12/2022: 98 triệu đồng; kinh phí thi đua khen thưởng: 65 triệu đồng; trang phục bảo vệ rừng theo Thông tư số 08/2018/TT-BNNPTNT ngày 28/3/2018: 85 triệu đồng; thuê nhà trạm Bảo vệ rừng: 19 triệu đồng; thuê tuyên truyền bảo vệ rừng trên hệ thống truyền thanh: 15 triệu đồng; sửa chữa xe ô tô: 35 triệu đồng; tiền thưởng theo Nghị định số 73/2024/NĐ-CP ngày 30/6/2024 của Chính phủ: 203 triệu đồng</t>
  </si>
  <si>
    <t>Phòng chống dịch bệnh gia súc, gia cầm: 12.685 triệu đồng; kinh phí cấp mã số vùng trồng: 287 triệu đồng; phòng chống sâu bệnh thực vật: 2.056 triệu đồng; Chương trình Khuyến nông giai đoạn 2021-2025 theo Quyết định 2119/QĐ-UBND ngày 20/10/2020 của UBND tỉnh: 1.683 triệu đồng (trong đó bao gồm: xây dựng mô hình cải tạo đàn bò bằng kỹ thuật TTNT 675 triệu đồng; Mô hình phát triển chăn nuôi gà bản địa theo hướng an toàn sinh học 495 triệu đồng; Chương trình thông tin tuyên truyền khuyến nông phiên chợ 117 triệu đồng; Mô hình thâm canh sản xuất hạt Dẻ gắn với trải nghiệm du lịch: 303 triệu đồng; Tập huấn chuyên môn nghiệp vụ cho cán bộ nông nghiệp, khuyến nông viên, cộng tác viên khuyến nông: 93triệu đồng); Kế hoạch nâng cao chất lượng, năng lực, hiệu quả hoạt động của hợp tác xã nông nghiệp trên địa bàn tỉnh Lạng Sơn giai đoạn 2021-2025 theo Kế hoạch số 174/KH-UBND ngày 21/10/2020 của UBND tỉnh: 600 triệu đồng; Đề án đổi mới hình thức tổ chức sản xuất, liên kết theo chuỗi giá trị sản phẩm nông lâm nghiệp tỉnh Lạng Sơn giai đoạn 2020-2025 định hướng đến năm 2030 theo Quyết định số 1029/QĐ-UBND ngày 25/5/2021 của UBND tỉnh: 1.800 triệu đồng; kinh phí hoạt động kiểm tra, giám sát thanh tra chuyên ngành an toàn thực phẩm nông, lâm, thủy sản theo Kế hoạch số 57/KH-UBND ngày 06/3/2021 của UBND tỉnh: 1.100 triệu đồng; Kế hoạch thực hiện chiến lược quốc gia cấp nước sạch và vệ sinh nông thôn đến năm 2030, tầm nhìn đến 2045 trên địa bàn tỉnh Lạng Sơn theo Kế hoạch số 51 /KH-UBND ngày 02 tháng 3 năm 2023 của UBND tỉnh: 7.000 triệu đồng; tập huấn truyền thông nâng cao năng lực cán bộ và người dân tham gia công tác nước sạch và vệ sinh môi trường: 100 triệu đồng; giám sát đánh giá chất lượng nước phục vụ đánh giá bộ chỉ số nước sạch và vệ sinh môi trường nông thôn tỉnh Lạng Sơn: 900 triệu đồng.</t>
  </si>
  <si>
    <t>Hỗ trợ 50% tiền công lao động hợp đồng theo Nghị định số 111/2022/NĐ-CP ngày 30/12/2022: 67 triệu đồng; kinh phí thi đua khen thưởng: 17 triệu đồng; tiền thưởng theo Nghị định số 73/2024/NĐ-CP ngày 30/6/2024 của Chính phủ: 92 triệu đồng</t>
  </si>
  <si>
    <t>Trung tâm Nước sạch và Vệ sinh môi trường nông thôn</t>
  </si>
  <si>
    <t>Hỗ trợ 50% tiền công lao động hợp đồng theo Nghị định số 111/2022/NĐ-CP ngày 30/12/2022: 70 triệu đồng; kinh phí thi đua khen thưởng: 36 triệu đồng; sửa chữa xe ô tô: 30 triệu đồng; tiền thưởng theo Nghị định số 73/2024/NĐ-CP ngày 30/6/2024 của Chính phủ: 249 triệu đồng</t>
  </si>
  <si>
    <t xml:space="preserve"> Kinh phí thi đua khen thưởng: 30 triệu đồng; Kiểm tra các cơ sở kinh doanh và lấy mẫu phân tích phân bón, thuốc bảo vệ thực vật theo Kế hoạch số 242/KH-UBND ngày 29/12/2023: 41 triệu đồng; tiền thưởng theo Nghị định số 73/2024/NĐ-CP ngày 30/6/2024 của Chính phủ: 128 triệu đồng</t>
  </si>
  <si>
    <t xml:space="preserve"> Kinh phí thi đua khen thưởng: 55 triệu đồng; trang phục thanh tra và trang phục kiểm dịch: 39 triệu đồng; tiền thưởng theo Nghị định số 73/2024/NĐ-CP ngày 30/6/2024 của Chính phủ: 281 triệu đồng</t>
  </si>
  <si>
    <t>Sự nghiệp Nông nghiệp</t>
  </si>
  <si>
    <t>Hỗ trợ tiền công, chi khác lao động hợp đồng theo Nghị định số 111/2022/NĐ-CP ngày 30/12/2022: 361 triệu đồng; tiền thưởng theo Nghị định số 73/2024/NĐ-CP ngày 30/6/2024 của Chính phủ: 85 triệu đồng</t>
  </si>
  <si>
    <t>Hỗ trợ tiền công, chi khác lao động hợp đồng theo Nghị định số 111/2022/NĐ-CP ngày 30/12/2022: 530 triệu đồng; tiền thưởng theo Nghị định số 73/2024/NĐ-CP ngày 30/6/2024 của Chính phủ: 90 triệu đồng</t>
  </si>
  <si>
    <t>Hỗ trợ tiền công, chi khác lao động hợp đồng theo Nghị định số 111/2022/NĐ-CP ngày 30/12/2022: 103 triệu đồng; kinh phí thi đua khen thưởng: 30 triệu đồng; hoá chất test thử an toàn thực phẩm: 50 triệu đồng; tiền thưởng theo Nghị định số 73/2024/NĐ-CP ngày 30/6/2024 của Chính phủ: 134 triệu đồng</t>
  </si>
  <si>
    <t>Chi cục quản lý chất lượng Nông lâm sản và Thủy sản</t>
  </si>
  <si>
    <t>Hỗ trợ tiền công, chi khác lao động hợp đồng theo Nghị định số 111/2022/NĐ-CP ngày 30/12/2022: 134 triệu đồng; kinh phí thi đua khen thưởng: 25 triệu đồng; sửa chữa xe ô tô: 50 triệu đồng; tiền thưởng theo Nghị định số 73/2024/NĐ-CP ngày 30/6/2024 của Chính phủ: 129 triệu đồng</t>
  </si>
  <si>
    <t>Chi cục Phát triển Nông thôn</t>
  </si>
  <si>
    <t>Hỗ trợ tiền công, chi khác lao động hợp đồng theo Nghị định số 111/2022/NĐ-CP ngày 30/12/2022: 381 triệu đồng; kinh phí thi đua khen thưởng: 15 triệu đồng; Ban Chỉ huy phòng, chống thiên tai và tìm kiếm cứu nạn tỉnh: 600 triệu đồng; tập huấn lái xuồng: 100 triệu đồng; trang bị trang phục cho Ban Chỉ đạo PCTT: 50 triệu đồng; tiền thưởng theo Nghị định số 73/2024/NĐ-CP ngày 30/6/2024 của Chính phủ: 129 triệu đồng</t>
  </si>
  <si>
    <t>Hỗ trợ tiền công, chi khác lao động hợp đồng theo Nghị định số 111/2022/NĐ-CP ngày 30/12/2022: 3.543 triệu đồng; kinh phí thi đua khen thưởng: 366 triệu đồng; trang phục ngành Kiểm lâm: 855 triệu đồng; sửa chữa xe ô tô: 330 triệu đồng; Kinh phí chi hoạt động cho lực lượng xử phạt vi phạm hành chính: 342 triệu đồng; Sửa chữa nhà vệ sinh Hạt Kiểm lâm huyện Văn Lãng: 50 triệu đồng; Kinh phí sửa đường điện Trạm Kiểm lâm Mỏ Rẹ thuộc Hạt Kiểm lâm huyện Bắc Sơn: 20 triệu đồng; tiền thưởng theo Nghị định số 73/2024/NĐ-CP ngày 30/6/2024 của Chính phủ: 2.129 triệu đồng</t>
  </si>
  <si>
    <t>Hỗ trợ tiền công, chi khác lao động hợp đồng theo Nghị định số 111/2022/NĐ-CP ngày 30/12/2022: 640 triệu đồng; kinh phí thi đua khen thưởng: 100 triệu đồng; kiểm soát thủ tục hành chính: 30 triệu đồng; trang phục thanh tra: 39 triệu đồng; sửa chữa xe ô tô: 100 triệu đồng; kinh phí Bản tin Nông nghiệp và nông thôn Lạng Sơn: 200 triệu đồng; công tác thông tin truyền thông, đối ngoại: 103 triệu đồng; xây dựng văn bản quy phạm pháp luật: 96 triệu đồng; tiền thưởng theo Nghị định số 73/2024/NĐ-CP ngày 30/6/2024 của Chính phủ: 477 triệu đồng.</t>
  </si>
  <si>
    <t>Chế độ thù lao Chủ tịch, Phó Chủ tịch Hội theo Quyết định số 1259/QĐ-UBND ngày 31/8/2012 của UBND tỉnh</t>
  </si>
  <si>
    <t>Chế độ thù lao chủ tịch, phó chủ tịch theo Quyết định số 1259/QĐ-UBND ngày 31/8/2012 của UBND tỉnh: 197 triệu đồng; Kinh phí mua tạp chí Da cam phục vụ công tác tuyên truyền theo Công văn số 4688/VP-KGVX ngày 22/9/2023: 29 triệu đồng</t>
  </si>
  <si>
    <t>Hội Nạn nhân chất độc Da cam/dioxin tỉnh</t>
  </si>
  <si>
    <t>Hội Người cao tuổi tỉnh</t>
  </si>
  <si>
    <t>Hỗ trợ Hội Nhà báo địa phương theo Quyết định số 558/QĐ-TTg ngày 08/4/2021 của Thủ tướng Chính phủ</t>
  </si>
  <si>
    <t>Hỗ trợ tiền công, chi khác lao động hợp đồng theo Nghị định số 111/2022/NĐ-CP ngày 30/12/2022: 105 triệu đồng; Kinh phí thi đua khen thưởng: 5 triệu đồng; Tổ chức Hội Báo xuân Xứ Lạng và triển lãm trưng bày, giới thiệu thành tựu 100 năm báo chí Cách mạng Việt Nam: 130 triệu đồng; Tham gia trưng bày Hội Báo toàn quốc hằng năm: 30 triệu đồng; Khen thưởng hội viên Hội Nhà báo: 12 triệu đồng; Xuất bản Bản tin người làm báo Lạng Sơn hằng năm (6 kỳ/năm): 470 triệu đồng; Tổ chức Kỷ niệm 100 năm ngày báo chí Cách mạng Việt Nam, gặp mặt biểu dương người làm báo tiêu biểu và trao Giải báo chí tỉnh Lạng Sơn lần thứ V: 609 triệu đồng; Đại hội Hội Nhà báo tỉnh Lạng Sơn khóa VIII, nhiệm kỳ 2025 - 2030: 110 triệu đồng; Tiền thưởng theo Nghị định số 73/2024/NĐ-CP ngày 30/6/2024 của Chính phủ: 46 triệu đồng</t>
  </si>
  <si>
    <t xml:space="preserve"> Kinh phí thi đua khen thưởng: 6 triệu đồng; Tiền thưởng theo Nghị định số 73/2024/NĐ-CP ngày 30/6/2024 của Chính phủ: 37 triệu đồng</t>
  </si>
  <si>
    <t>Hội Làm vườn tỉnh</t>
  </si>
  <si>
    <t>Hỗ trợ tiền công lao động hợp đồng theo Nghị định số 111/2022/NĐ-CP ngày 30/12/2022: 228 triệu đồng; kinh phí thi đua khen thưởng: 10 triệu đồng; Sửa chữa xe ô tô: 30 triệu đồng; Tiền thưởng theo Nghị định số 73/2024/NĐ-CP ngày 30/6/2024 của Chính phủ: 76 triệu đồng; Tổ chức Đại hội Hội Đông y tỉnh Lạng Sơn nhiệm kỳ 2025 - 2030: 200 triệu đồng</t>
  </si>
  <si>
    <t>Hỗ trợ tiền công lao động hợp đồng theo Nghị định số 111/2022/NĐ-CP ngày 30/12/2022: 176 triệu đồng; kinh phí thi đua khen thưởng: 25 triệu đồng; Sửa chữa xe ô tô: 50 triệu đồng;; Tuyên truyền trên đài truyền hình chuyên mục "Truyền hình nhân đạo Xứ Lạng": 20 triệu đồng; Tổ chức các cuộc vận động hiến máu tình nguyện: 250 triệu đồng; Vận chuyển hàng cứu trợ: 100 triệu đồng; Tổ chức vận động xây dựng các quỹ: 50 triệu đồng; Hỗ trợ tiếp các đoàn tài trợ, ủng hộ trong và ngoài tỉnh: 100 triệu đồng; Tổ chức "Hành trình đỏ": 250 triệu đồng; Kinh phí hoạt động chuyên môn: 120 triệu đồng; Kế hoạch số 183/KH-UBND ngày 18/11/2020 của UBND tỉnh về Kế hoạch đảm bảo tài chính thực hiện chiến lược quốc gia chấm dứt dịch bệnh AIDS vào năm 2030 trên địa bàn tỉnh Lạng Sơn giai đoạn 2021-2025: 20 triệu đồng; Tiền thưởng theo Nghị định số 73/2024/NĐ-CP ngày 30/6/2024 của Chính phủ: 162 triệu đồng.</t>
  </si>
  <si>
    <t>Hỗ trợ tiền công, chi khác lao động hợp đồng theo Nghị định số 111/2022/NĐ-CP ngày 30/12/2022: 172 triệu đồng; Kinh phí thi đua khen thưởng: 15 triệu đồng; Kinh phí thực hiện Chương trình số 19/Ctr-UBND ngày 23/5/2021 của UBND tỉnh Lạng Sơn: 439 triệu đồng; Tổ chức hội nghị sơ kết, tổng kết BCH LMHTX tỉnh Lạng Sơn: 59 triệu đồng; Xây dựng bản tin hợp tác xã (450 quyển/1 kỳ, 2 kỳ/1 năm): 93 triệu đồng; Xây dựng 01 phóng sự về mô hình hợp tác xã: 30 triệu đồng; Tổ chức Hội nghị đối thoại Hợp tác xã theo Kế hoạch số 430/KH-LMHTX ngày 24/6/2022 của Liên minh Hợp tác xã Việt Nam: 19 triệu đồng; Tổ chức Đại hội LMHTX tỉnh lần thứ VII, nhiệm kỳ 2025-2030: 300 triệu đồng; Tiền thưởng theo Nghị định số 73/2024/NĐ-CP ngày 30/6/2024: 139 triệu đồng</t>
  </si>
  <si>
    <t>Hỗ trợ Hội Văn học nghệ thuật địa phương theo Quyết định số 558/QĐ-TTg ngày 08/4/2021 của Thủ tướng Chính phủ</t>
  </si>
  <si>
    <t>Nhuận bút Tạp chí Xứ Lạng.</t>
  </si>
  <si>
    <t>Kinh phí in xuất bản sách và chi phí Hội đồng thẩm định tác phẩm xuất bản sách (10 đầu sách): 390 triệu đồng; Hỗ trợ hoạt động triển lãm mỹ thuật, nhiếp ảnh: 120 triệu đồng; Trợ giá in Tạp chí Văn nghệ Xứ lạng: 384 triệu đồng; Cước gửi tạp chí, sách: 42 triệu đồng; Hỗ trợ sưu tầm, sáng tác và công bố tác phẩm văn học dân gian năm 2025 theo Kế hoạch số 84/KH-UBND ngày 05/4/2023 của UBND tỉnh: 750 triệu đồng.</t>
  </si>
  <si>
    <t>Hỗ trợ tiền công, chi khác lao động hợp đồng các cơ quan khối đảng theo Nghị định số 111/2022/NĐ-CP: 212 triệu đồng; kinh phí thi đua khen thưởng: 25 triệu đồng; Sửa chữa ô tô: 30 triệu đồng; Tổ chức Ngày thơ Việt Nam lần thứ XXII năm 2025: 120 triệu đồng; Tổ chức cuộc thi vẽ tranh Hoa Đào Xứ Lạng năm 2025: 500 triệu đồng; Tổ chức các hoạt động tổng kết 50 năm nền văn học, nghệ thuật Việt Nam sau ngày đất nước thống nhất (30/4/1975 - 30/4/2025): 750 triệu đồng; Hỗ trợ tiền thuê xe các Chi hội chuyên ngành Trung ương tham dự Đại hội toàn quốc nhiệm kỳ 2025-2030: 25 triệu đồng; Đề án thiết lập Tạp chí Văn nghệ Xứ Lạng điện tử theo Công văn số 5019/VP-KGVX ngày 19/9/2024 của Văn phòng UBND tỉnh: 500 triệu đồng; Tổ chức xét tặng Giải thưởng văn học nghệ thuật tỉnh Lạng Sơn năm 2025 theo Nghị quyết số 12/2024/NQ-HĐND ngày 23/7/2024 của HĐND tỉnh và Quyết định số 1624/QĐ-UBND ngày 17/9/2024 của UBND tỉnh: 1.700 triệu đồng; Tiền thưởng theo Nghị định số 73/2024/NĐ-CP ngày 30/6/2024 của Chính phủ: 200 triệu đồng.</t>
  </si>
  <si>
    <t>Hỗ trợ tiền công, chi khác lao động hợp đồng các cơ quan khối đảng theo Nghị định số 111/2022/NĐ-CP: 329 triệu đồng; Kinh phí thi đua khen thưởng: 24 triệu đồng;; Sửa chữa ô tô: 100 triệu đồng;; tổ chức gặp mặt đưa đón đoàn Cựu chiến binh, CTNXP bị nhiễm chất độc da cam đi nghỉ điều dưỡng tại làng hữu nghị theo quy định: 20 triệu đồng;; Giám sát phản biện xã hội theo Nghị quyết số 12/2018/NQ-HĐND ngày 30/01/2018 của Hội đồng nhân dân tỉnh: 15 triệu đồng; Hội nghị bồi dưỡng cán bộ Ban chấp hành nhiệm kỳ 2022-2027 triển khai nghị quyết chuyên đề " xây dựng CCB Việt Nam vững mạnh về chính trị tư tưởng trong giai đoạn mới": 25 triệu đồng;; Tổng kết 5 năm cuộc vận động CCB tham gia giữ gìn trật tự, an toàn giao thông: 25 triệu đồng; Hỗ trợ hoạt động thực hiện nhiệm vụ công tác Cựu chiến binh: 70 triệu đồng; Tổ chức tổ chức Đoàn cán bộ Hội Cựu chiến binh các cấp hăm lại chiến trường xưa nhân dịp kỷ niệm 50 năm ngày giải phóng miền nam thống nhất đất nước (30/4/1975 - 30/4/2025)theo Công văn số 1224/UBND-NC ngày 27/8/2024 của UBND tỉnh: 163 triệu đồng; Tiền thưởng theo Nghị định số 73/2024/NĐ-CP ngày 30/6/2024 của Chính phủ: 144 triệu đồng.</t>
  </si>
  <si>
    <t xml:space="preserve">Quản lý hành chính </t>
  </si>
  <si>
    <t>Kinh phí đào tạo bồi dưỡng theo Kế hoạch số 189-KH/TU ngày 30/9/2024</t>
  </si>
  <si>
    <t>Hỗ trợ tiền công, chi khác lao động hợp đồng theo Nghị định số 111/2022/NĐ-CP ngày 30/12/2022: 610 triệu đồng; Kinh phí thi đua khen thưởng: 30 triệu đồng; Sửa chữa ô tô: 100 triệu đồng; Kinh phí thực hiện Kế hoạch hằng năm của Ban chỉ đạo 81 UBND tỉnh về triển khai thực hiện Quyết định số 81/2014/QĐ-TTg trong việc tiếp công dân, giải quyết khiếu nại tố cáo: 180 triệu đồng; Kinh phí thực hiện Chương trình phối hợp giám sát phản biện xã hội theo Quyết định số 217-QĐ/TW ngày 12/12/2013 của Bộ Chính trị ban hành Quy chế giám sát và phản biện xã hội của Mặt trận Tổ quốc Việt Nam và các đoàn thể chính trị - xã hội: 23 triệu đồng; Kinh phí thực hiện Đề án nâng cao vai trò trách nhiệm của Hội Nông dân Việt Nam trong phát triển nông nghiệp, xây dựng nông thôn mới và xây dựng giai cấp nông dân Việt Nam giai đoạn 2010-2020 theo kết luận 61-KL/TW và Quyết định số 673/QĐ-TTg ngày 10/5/2011 của Thủ tướng Chính phủ: 215 triệu đồng; Tiền thuê bảo vệ và chi trả tiền điện tại Trung tâm Dạy nghề và hỗ trợ nông dân: 130 triệu đồng; tiền thưởng theo Nghị định số 73/2024/NĐ-CP ngày 30/6/2024: 242 triệu đồng</t>
  </si>
  <si>
    <t>Kinh phí thi đua khen thưởng: 13 triệu đồng; Liên hoan các Cung, Trung tâm Thanh thiếu nhi khu vực phía Bắc: 150 triệu đồng; Liên hoan Tiếng kèn Đội ta các Cung, Nhà Thiếu nhi, Trung tâm hoạt động Thanh Thiếu nhi khu vực phía Bắc: 130 triệu đồng; Liên hoan Nghệ thuật thiếu nhi các Cung, Nhà Thiếu nhi, Trung tâm hoạt động Thanh Thiếu nhi khu vực phía Bắc: 130 triệu đồng; Xuất bản cuốn bản tin “Măng non Xứ Lạng” 1.500 cuốn x 4 số: 100 triệu đồng; Tổ chức Liên hoan "Nhịp điệu trẻ Xứ Lạng": 60 triệu đồng; Tổ chức Trại huấn luyện Chỉ huy đội tỉnh Lạng Sơn: 85 triệu đồng; Tổ chức Liên hoan Đội tuyên truyền măng non về “Phòng, tránh tai nạn thương tích cho trẻ em”: 70 triệu đồng; Tổ chức Giải bơi "Đường đua xanh" thiếu nhi tỉnh Lạng Sơn: 80 triệu đồng; Mua đồ dùng phục vụ Liên hoan Tiếng kèn Đội ta các Cung, Nhà Thiếu nhi, Trung tâm hoạt động Thanh Thiếu nhi khu vực phía Bắc: 70 triệu đồng; Tiền thưởng theo Nghị định số 73/2024/NĐ-CP ngày 30/6/2024 của Chính phủ: 92 triệu đồng.</t>
  </si>
  <si>
    <t>Kinh phí Bồi dưỡng kiến thức Đoàn, Hội, Đội cho Bí thư Đoàn cơ sở trên địa bàn tỉnh (01 lớp, 250 người, 4 ngày/lớp) theo Kế hoạch số 189-KH/TU ngày 30/9/2024 của Tỉnh uỷ</t>
  </si>
  <si>
    <t>Kinh phí thực hiện Đề án bồi dưỡng cán bộ, công chức Hội Liên hiệp phụ nữ các cấp và Chi hội trưởng Phụ nữ giai đoạn 2019-2025</t>
  </si>
  <si>
    <t>Bồi dưỡng nghiệp vụ công tác Hội cho Chủ tịch, Phó chủ tịch Hội LHPN cấp xã, chi hội truỏng, chi hội phó, cán bộ chuyên trách cấp tỉnh, huyện, đơn vị trực thuộc (trong đó: lớp Chủ tịch: 167 triệu đồng; lớp Phó Chủ tịch: 129 triệu đồng; lớp Chi hội trưởng chi hội phó: 320 triệu đồng; lớp cán bộ chuyên trách: 16 triệu đồng) theo Kế hoạch số 189-KH/TU ngày 30/9/2024 của Tỉnh uỷ</t>
  </si>
  <si>
    <t>Hỗ trợ tiền công, chi khác lao động hợp đồng theo Nghị định số 111/2022/NĐ-CP ngày 30/12/2022: 610 triệu đồng; Kinh phí thi đua khen thưởng: 40 triệu đồng; Sửa chữa xe ô tô: 100 triệu đồng; Tổ chức hoạt động Ngày Quốc tế hạnh phúc 20/3: 83 triệu đồng; Tổ chức Ngày Gia đình Việt Nam 28/6: 50 triệu đồng; Thực hiện Đề án 938 "Tuyên truyền giáo dục, vận động, hỗ trợ phụ nữ tham gia một số vấn đề xã hội" theo Kế hoạch số 192/KH-UBND ngày 21/11/2017 của UBND tỉnh: 130 triệu đồng; Hỗ trợ phụ nữ khởi nghiệp theo Đề án 939 giai đoạn 2017-2025 theo Kế hoạch số 157/KH-UBND ngày 12/9/2017: 277 triệu đồng; Đảm bảo tài chính thực hiện chiến lược quốc gia chấm dứt dịch bệnh AIDS vào năm 2030 trên địa bàn tỉnh Lạng Sơn giai đoạn 2021-2025 theo Kế hoạch số 183/KH-UBND ngày 18/11/2020 của UBND tỉnh: 20 triệu đồng; Chương trình trợ giúp phụ nữ khuyết tật giai đoạn 2021-2030 theo Kế hoạch số 179/KH-UBND ngày 09/11/2020 của UBND tỉnh: 67 triệu đồng; Giám sát phản biện xã hội theo Quyết định số 217-QĐ/TW, 218-QĐ/TW của Bộ Chính trị: 50 triệu đồng; Chương trình Phòng chống mua bán người giai đoạn 2021-2025 theo Kế hoạch số 61/KH-BCĐ, ngày 18/4/2021 của Ban Chỉ đạo 138 tỉnh Lạng Sơn: 50 triệu đồng; Đề án “Hỗ trợ Hợp tác xã do phụ nữ tham gia quản lý, tạo việc làm cho lao động nữ đến năm 2030” trên địa bàn tỉnh Lạng Sơn: 261 triệu đồng; Chuyên mục Phụ nữ Xứ Lạng: 35 triệu đồng.; Tổ chức Hội thi nấu ăn với chủ đề: "Phụ nữ với ẩm thực xứ Lạng" gắn với phát động hưởng ứng Tuần lễ Áo dài và đồng diễn dân vũ nhân kỷ niệm 115 Ngày Quốc tế phụ nữ 8/3 và 60 năm phong trào phụ nữ Ba đảm đang (1965-2025): 76 triệu đồng; Tổ chức gặp mặt các cựu nữ tù cách mạng, cựu thanh niên xung phong, cựu nữ chiến binh tiêu biểu, nữ Lãnh đạo Hội qua các thời kỳ nhân dịp kỷ niệm 95 năm ngày thành lập Hội LHPN Việt Nam 20/10: 48 triệu đồng; Tổ chức Hội nghị Sơ kết 5 năm thực hiện Kết luận số 01-KL/TW; biểu dương điển hình tiên tiến trong học tập và làm theo tư tưởng, đạo đức, phong cách Hồ Chí Minh giai đoạn 2021-2025 gắn với hoạt động về nguồn thăm các địa chỉ cách mạng nhân kỷ niệm 135 năm ngày sinh Chủ tịch Hồ Chí Minh: 122 triệu đồng; Hội nghị tổng kết 05 thực hiện Chương trình đồng hành cùng phụ nữ biên cương giai đoạn 2021-2025: 78 triệu đồng; tiền thưởng theo Nghị định số 73/2024/NĐ-CP ngày 30/6/2024 của Chính phủ: 292 triệu đồng</t>
  </si>
  <si>
    <t>Hội liên hiệp phụ nữ tỉnh</t>
  </si>
  <si>
    <t>Bồi dưỡng nghiệp vụ công tác Mặt trận Tổ quốc theo Kế hoạch số 189-KH/TU ngày 30/9/2024 của Tỉnh uỷ</t>
  </si>
  <si>
    <t>Hỗ trợ tiền công, chi khác lao động hợp đồng theo Nghị định số 111/2022/NĐ-CP ngày 30/12/2022: 447 triệu đồng; Kinh phí thi đua khen thưởng: 66 triệu đồng; Ban Chỉ đạo cuộc vận động người Việt Nam ưu tiên dùng hàng Việt Nam: 105 tiệu đồng; chuyên mục đại đoàn kết trên báo Lạng Sơn và trên Đài Truyền hình: 60 triệu đồng; Khen thưởng công tác Mặt trận Tổ quốc Việt Nam: 345 triệu đồng; Phụ cấp ủy viên Ủy ban MTTQ tỉnh: 91 triệu đồng; Công tác đối ngoại nhân dân: 89 triệu đồng; Cuộc vân động toàn dân đoàn kết xây dựng nông thôn mới, đô thị văn minh: 270 triệu đồng; Công tác Thanh tra nhân dân: 50 triệu đồng; Hoạt động của 04 hội đồng tư vấn thuộc Ủy ban MTTQ các cấp: 226 triệu đồng; Chi đón tiếp, thăm hỏi, chúc mừng đối với một số đối tượng do Uỷ ban Mặt trận Tổ quốc Việt Nam các cấp thực hiện: 333 triệu đồng; Hoạt động dân tộc, tôn giáo: 80 triệu đồng; Hoạt động chuyên môn: 500 triệu đồng; Giám sát phản biện xã hội: 150 triệu đồng; Giám sát đầu tư cộng đồng: 100 triệu đồng; Đảm bảo tài chính thực hiện chiến lược quốc gia chấm dứt dịch bệnh AIDS vào năm 2030 trên địa bàn tỉnh Lạng Sơn giai đoạn 2021-2025 theo Kế hoạch số 183/KH-UBND ngày 18/11/2020 của UBND tỉnh: 20 triệu đồng; tiền thưởng theo Nghị định số 73/2024/NĐ-CP ngày 30/6/2024 của Chính phủ: 317 triệu đồng; Sửa chữa ô tô: 78 triệu đồng.</t>
  </si>
  <si>
    <t>Ủy ban Mặt trận Tổ quốc Việt Nam tỉnh Lạng Sơn</t>
  </si>
  <si>
    <t>Ủy ban Mặt trận Tổ quốc Việt Nam và các Tổ chức chính trị - Xã hội</t>
  </si>
  <si>
    <t>Kinh phí (thăm hỏi, phúng viếng)</t>
  </si>
  <si>
    <t>Quỹ nhuận bút báo in thời sự và trang tin báo điện tử</t>
  </si>
  <si>
    <t>Ứng dụng công nghệ thông tin và chuyển đổi số trong các cơ quan Đảng giai đoạn 2022-2025 (Quyết định số 1250-QĐ/TU, ngày 31/5/2023 của Tỉnh ủy)</t>
  </si>
  <si>
    <t>Hỗ trợ tiền công, chi khác lao động hợp đồng các cơ quan khối đảng theo Nghị định số 111/2022/NĐ-CP: 5.650,9 triệu đồng; kinh phí thi đua khen thưởng theo Nghị định số 98/2023/NĐ-CP: 615,5 triệu đồng; sửa chữa ô tô các cơ quan khối đảng: 729 triệu đồng; kinh phí thực hiện nhiệm vụ được giao theo lĩnh vực gồm: Hoạt động cấp ủy: 7.844 triệu đồng; Huy hiệu đảng theo Hướng dẫn số 56-HD/ VPTW ngày 27/10/2015 của Văn phòng Trung ương Đảng: 15.000 triệu đồng; đảm bảo thực hiện nhiệm vụ chuyên môn được giao các đơn vị trực thuộc, cụ thể: Văn phòng Tỉnh ủy: 1.626,4 triệu đồng, Ban Tổ chức Tỉnh ủy: 1.390 triệu đồng, Ủy ban Kiểm tra Tỉnh ủy: 640 triệu đồng, Ban Tuyên giáo Tỉnh ủy: 6.568 triệu đồng, Ban Dân vận Tỉnh ủy: 788 triệu đồng, Ban Nội chính Tỉnh ủy: 1.400 triệu đồng, Đảng ủy Khối các cơ quan tỉnh: 4.709 triệu đồng, Báo Lạng Sơn: 4.525 triệu đồng. Hoạt động Ban bảo vệ chăm sóc sức khỏe cán bộ tỉnh theo Quy định số 1859-QĐ/TU ngày 21/6/2019 của Tỉnh ủy Lạng Sơn: 7.900 triệu đồng; kinh phí thực hiện các nhiệm vụ khối đảng phát sinh đột xuất trong năm (trừ sửa chữa, mua trang sắm thiết bị): 3.000 triệu đồng; Đại hội Đảng bộ tỉnh nhiệm kỳ 2025-2030: 10.000 triệu đồng; tiền thưởng theo Nghị định số 73/2024/NĐ-CP ngày 30/6/2024 của Chính phủ: 3.042 triệu đồng; Sơn toàn bộ toà nhà Tỉnh uỷ và tường rào xung quanh Tỉnh uỷ và Trung tâm hội nghị tỉnh: 1.200 triệu đồng</t>
  </si>
  <si>
    <t>11=5+10-(6+9)</t>
  </si>
  <si>
    <t>6=7+8</t>
  </si>
  <si>
    <t>Tiết kiệm 10% chi TX để lại 
Ngân sách tỉnh</t>
  </si>
  <si>
    <t xml:space="preserve">Kinh phí Trung ương bổ sung có mục tiêu và Chế độ chính sách, chương trình, đề án nguồn kinh phí Trung ương </t>
  </si>
  <si>
    <t xml:space="preserve"> Thuyết minh dự toán chi tiết</t>
  </si>
  <si>
    <t xml:space="preserve">Dự toán chi năm 2025 giao đơn vị </t>
  </si>
  <si>
    <t>Dự toán Chi các chương trình, kế hoạch, đề án, chính sách, chế độ, nhiệm vụ đặc thù và các nhiệm vụ chuyên môn được giao cho các lĩnh vực, ngành</t>
  </si>
  <si>
    <r>
      <t xml:space="preserve">Số thu sự nghiệp để lại đơn vị bổ sung nguồn kinh phí hoạt động TX </t>
    </r>
    <r>
      <rPr>
        <sz val="15"/>
        <rFont val="Times New Roman"/>
        <family val="1"/>
      </rPr>
      <t>(tính giảm trừ vào định mức)</t>
    </r>
  </si>
  <si>
    <t>Hợp đồng theo Nghị định 111</t>
  </si>
  <si>
    <t>Biên chế giao hưởng lương từ NSNN</t>
  </si>
  <si>
    <t>Biên chế được cấp có thẩm quyền giao</t>
  </si>
  <si>
    <t xml:space="preserve">  Đơn vị tính: Triệu đồng</t>
  </si>
  <si>
    <t>Trung tâm Giám định chất lượng và Quy hoạch xây dựng</t>
  </si>
  <si>
    <t>Nhà khách Văn phòng Ủy ban nhân dân tỉnh</t>
  </si>
  <si>
    <t>BIỂU 4: DỰ TOÁN THU ĐƠN VỊ SỰ NGHIỆP CÔNG LẬP TỰ ĐẢM BẢO CHI THƯỜNG XUYÊN VÀ CHI ĐẦU TƯ VÀ ĐƠN VỊ SỰ NGHIỆP CÔNG LẬP TỰ ĐẢM BẢO CHI THƯỜNG XUYÊN NĂM 2025</t>
  </si>
  <si>
    <t>Thu phí tuyển sinh viên chức</t>
  </si>
  <si>
    <t>QLNN</t>
  </si>
  <si>
    <t>Thu ký túc xá</t>
  </si>
  <si>
    <t>Thu liên kết đào tạo</t>
  </si>
  <si>
    <t>Đào tạo</t>
  </si>
  <si>
    <t>Thu dịch vụ trông xe</t>
  </si>
  <si>
    <t>Trung tâm GDTX 2</t>
  </si>
  <si>
    <t>Liên kết đào tạo</t>
  </si>
  <si>
    <t>Khối Trung tâm GDTX</t>
  </si>
  <si>
    <t>Thu xe đạp</t>
  </si>
  <si>
    <t>Thu họcphí</t>
  </si>
  <si>
    <t>THPT Văn Quan</t>
  </si>
  <si>
    <t>THPT Lộc Bình</t>
  </si>
  <si>
    <t>THPT Na Dương</t>
  </si>
  <si>
    <t>THPT Đình Lập</t>
  </si>
  <si>
    <t>THPT Tràng Định</t>
  </si>
  <si>
    <t>Trường THPT  Hòa Bình</t>
  </si>
  <si>
    <t>Trường THPT  Đồng Bành</t>
  </si>
  <si>
    <t>Trường THPT  Chi Lăng</t>
  </si>
  <si>
    <t>Khối THPT</t>
  </si>
  <si>
    <t>Chi tiết các khoản thu của đơn vị</t>
  </si>
  <si>
    <t>*)</t>
  </si>
  <si>
    <t xml:space="preserve">  Lệ phí cấp phép hoạt động khoáng sản</t>
  </si>
  <si>
    <t xml:space="preserve">Phí thẩm định cấp, cấp lại, điều chỉnh Giấy phép môi trường trên địa bàn tỉnh Lạng Sơn </t>
  </si>
  <si>
    <t>Phí thẩm định phương án cải tạo phục hồi môi trường và phương án cải tạo phục hồi môi trường bổ sung trên địa bàn tỉnh Lạng Sơn</t>
  </si>
  <si>
    <t xml:space="preserve">Phí thẩm định báo cáo, đánh giá tác động môi trường </t>
  </si>
  <si>
    <t>Phí bảo vệ môi trường đối với nước thải công nghiệp (Thu theo Nghị định số 53/2020 NĐ-CP ngày 05/5/2020)</t>
  </si>
  <si>
    <t xml:space="preserve">  Phí tuyển dụng viên chức</t>
  </si>
  <si>
    <t xml:space="preserve"> Phí thẩm định hồ sơ, điều kiện hành nghề khoan nước dưới đất</t>
  </si>
  <si>
    <t xml:space="preserve">  Phí thẩm định đánh giá trữ lượng khoáng sản, Phí thẩm định hồ sơ thăm dò khoáng sản, Phí cấp phép thăm dò khoáng sản</t>
  </si>
  <si>
    <t>Cho thuê nhà ăn, căng tin</t>
  </si>
  <si>
    <t>Thu dịch vụ tư vấn lâp hồ sơ tư vấn giám sát điện</t>
  </si>
  <si>
    <t>Thu dịch vụ tư vấn dự án lập hồ sơ tư vấn dự án</t>
  </si>
  <si>
    <t xml:space="preserve">Trung tâm Xúc tiến Đầu tư, Thương mại và Du lịch </t>
  </si>
  <si>
    <t>Phí thẩm định nội dung tài liệu không kinh doanh để cấp giấy phép xuất bản</t>
  </si>
  <si>
    <t>Sở Thông tin và Truyền thông (Văn phòng Sở)</t>
  </si>
  <si>
    <t>Sở Giao thông vận tải (Văn phòng Sở)</t>
  </si>
  <si>
    <t>Thu tiền cho thuê địa điểm</t>
  </si>
  <si>
    <t>Nguồn thu khác (Vệ sinh môi trường, An ninh trật tự)</t>
  </si>
  <si>
    <t>Thu năng khiếu hè</t>
  </si>
  <si>
    <t>Tỉnh đoàn Lạng Sơn (Cung Thanh Thiếu nhi Lạng Sơn)</t>
  </si>
  <si>
    <t>Lệ phí Đăng ký công bố hợp chuẩn, hợp qui</t>
  </si>
  <si>
    <t>Phí thẩm định dự án đầu tư xây dựng (thiết kế kỹ thuật &amp; dự toán xây dựng, thiết kế cơ sở, đồ án quy hoạch)</t>
  </si>
  <si>
    <t>Thu hoạt động cung ứng cá giống</t>
  </si>
  <si>
    <t>Phí thẩm định đủ điều kiện kinh doanh thuốc Bảo vệ thực vật</t>
  </si>
  <si>
    <t>Phí An toàn thực phẩm</t>
  </si>
  <si>
    <t>Chi cục Quản lý chất lượng nông lâm sản và thủy sản</t>
  </si>
  <si>
    <t>Phí bình tuyển, công nhận cây mẹ, cây đầu dòng, vườn cây đầu dòng, vườn giống cây lâm nghiệp, rừng giống</t>
  </si>
  <si>
    <t>KP cho các đơn vị thuê cột Anten</t>
  </si>
  <si>
    <t>KP dịch vụ Tuyên truyền</t>
  </si>
  <si>
    <t>Tiếp phát sóng số</t>
  </si>
  <si>
    <t>Tiếp sóng VOV</t>
  </si>
  <si>
    <t xml:space="preserve"> Sở Công Thương</t>
  </si>
  <si>
    <t>Thu lệ phí thi tuyển, dự tuyển</t>
  </si>
  <si>
    <t>Thu dịch vụ thù lao đấu giá</t>
  </si>
  <si>
    <t>Phí cung cấp thông tin lý lịch tư pháp</t>
  </si>
  <si>
    <t xml:space="preserve">Thu dịch vụ </t>
  </si>
  <si>
    <t>Thu Lệ phí cấp giấy phép tiến hành công việc bức xạ</t>
  </si>
  <si>
    <t>Thu phí thẩm định để cấp phép sử dụng thiết bị phóng xạ</t>
  </si>
  <si>
    <t>Văn  phòng Sở</t>
  </si>
  <si>
    <t>Thu dịch vụ</t>
  </si>
  <si>
    <t>Thu ki ốt, dịch vụ</t>
  </si>
  <si>
    <t>Trung tâm Huấn luyện và Thi đấu thể thao</t>
  </si>
  <si>
    <t>Thu phí, lệ phí</t>
  </si>
  <si>
    <t>Thu dịch vụ kiểm nghiệm</t>
  </si>
  <si>
    <t>Trung tâm Kiểm nghiệm thuốc, Thực phẩm, mỹ phẩm</t>
  </si>
  <si>
    <t>Thu dịch vụ  khám giám định Pháp y</t>
  </si>
  <si>
    <t>Phí thẩm định cấp giấy giám định y khoa</t>
  </si>
  <si>
    <t>Thu từ dịch vụ Y tế dự phòng</t>
  </si>
  <si>
    <t>Thu từ khám chữa bệnh Bảo hiểm y tế</t>
  </si>
  <si>
    <t>Bệnh viện Y học cổ truyền</t>
  </si>
  <si>
    <t>Thu từ nguồn thu sự nghiệp khác</t>
  </si>
  <si>
    <t>Thu cho thuê đặt trạm thu phát sóng của VNPT</t>
  </si>
  <si>
    <t>Thu đào tạo liên tục</t>
  </si>
  <si>
    <t>Trường Cao đẳng y tế</t>
  </si>
  <si>
    <t>Phí công tác An toàn thực phẩm</t>
  </si>
  <si>
    <t>Phí hành nghề Dược</t>
  </si>
  <si>
    <t>Phí hành nghề Y</t>
  </si>
  <si>
    <t>Văn phòng Tỉnh uỷ</t>
  </si>
  <si>
    <t>Đơn vị: triệu đồng</t>
  </si>
  <si>
    <t>BIỂU 5. DỰ TOÁN THU, CHI CÁC KHOẢN THU PHÍ, LỆ PHÍ, THU DỊCH VỤ VÀ THU KHÁC NĂM 2025 CÁC ĐƠN VỊ HCSN - NGÂN SÁCH CẤP TỈNH</t>
  </si>
  <si>
    <t xml:space="preserve">BIỂU 3: DỰ TOÁN THU - CHI NGÂN SÁCH NHÀ NƯỚC NĂM 2025 CÁC ĐƠN VỊ DỰ TOÁN - NGÂN SÁCH CẤP TỈNH </t>
  </si>
  <si>
    <t xml:space="preserve">BIỂU 8: DỰ TOÁN THU NSNN CÁC DOANH NGHIỆP, ĐƠN VỊ SỰ NGHIỆP CÓ THU TRÊN ĐỊA BÀN TỈNH LẠNG SƠN NĂM 2025 </t>
  </si>
  <si>
    <t xml:space="preserve"> Thuê dịch vụ truyền dẫn phát sóng kênh Truyền hình Lạng Sơn tiêu chuẩn HD trên vệ tinh giai đoạn 2021-2025: 3.900 triệu đồng; thuê dịch vụ truyền hình quốc gia VTVCab: 670 triệu đồng; tiền điện Trạm phát sóng 345 Bắc Sơn: 300 triệu đồng; tiền điện Trạm phát sóng Mẫu Sơn: 500 tiền điện, phí sử dụng tần số và trang miền: 100 triệu đồng; mua bản quyền phim truyện: 500 triệu đồng; mua bản quyền bản tin tiếng Trung: 96 triệu đồng; mua bản quyền Chương trình thời sự tổng hợp: 144 triệu đồng; trang thông tin điện tử và phát triển hệ thống truyền hình Internet của Đài Phát thanh và Truyền hình Lạng Sơn theo Quyết định số 1608/QĐ-UBND ngày 20/8/2020 của UBND tỉnh: 1.160 triệu đồng; dịch vụ truyền dẫn phát sóng kênh LSTV tiêu chuẩn HD (chuyển sang số hóa mặt đất theo lộ trình của Chính phủ): 800 triệu đồng; Hỗ trợ trang phục và chuyên môn cho phát thanh viên: 220 triệu đồng; </t>
  </si>
  <si>
    <t>Hỗ trợ tiền công, chi khác lao động hợp đồng theo Nghị định số 111/2022/NĐ-CP: 566 triệu đồng; kinh phí thi đua khen thưởng: 100 triệu đồng; kiểm soát thủ tục hành chính: 35 triệu đồng; trang phục thanh tra: 33 triệu đồng; trích từ các khoản xử phạt, thu hồi phát hiện qua công tác thanh tra: 150 triệu đồng; hoạt động phục vụ công tác thu lệ phí: 50 triệu đồng; hoạt động Ban Chỉ đạo chính sách hỗ trợ hộ nghèo về nhà ở: 20 triệu đồng; hoạt động Ban Chỉ đạo chính sách hỗ trợ về nhà ở và thị trường bất động sản: 20 triệu đồng; Xây dựng văn bản quy phạm pháp luật: 80 triệu đồng; sửa chữa xe ô tô: 50 triệu đồng; Tiền thưởng theo Nghị định số 73/2024/NĐ-CP ngày 30/6/2024 của Chính phủ: 438 triệu đồng</t>
  </si>
  <si>
    <t>Trung tâm Văn hóa tỉnh</t>
  </si>
  <si>
    <t>Đoàn nghệ thuật dân tộc tỉnh</t>
  </si>
  <si>
    <t>Trung tâm văn hóa tỉnh</t>
  </si>
  <si>
    <t>717,12 km</t>
  </si>
  <si>
    <t>Kinh phí thi đua khen thưởng: 86 triệu đồng; Kinh phí thuê dịch vụ công nghệ thông tin: Xây dựng và phát triển Hệ thống du lịch thông minh tỉnh Lạng Sơn giai đoạn 2022-2026 theo Quyết định số 345/QĐ-UBND ngày 25/02/2022 của Chủ tịch UBND tỉnh Lạng Sơn: 771 triệu đồng; Kinh phí Chương trình Xúc tiến Du lịch: 2.500 triệu đồng; Kinh phí Chương trình Xúc tiến Đầu tư: 1.200 triệu đồng; Tiền thưởng theo Nghị định số 73/2024/NĐ-CP ngày 30/6/2024 của Chính phủ: 403 triệu đồng; Kinh phí Chương trình tiết kiệm năng lượng theo Quyết định số 389/QĐ-UBND ngày 06/3/2020 của Chủ tịch UBND tỉnh Ban hành Kế hoạch thực hiện Chương trình quốc gia về sử dụng năng lượng tiết kiệm và hiệu quả giải đoạn 2021-2030 trên địa bàn tỉnh Lạng Sơn: 1.900 triệu đồng; Kinh phí xây dựng đề án phát triển điện mặt trời trên mái nhà tại các cơ quan, trường học, bệnh viện trên địa bàn tỉnh Lạng Sơn theo Công văn số 1261/UBND-KT ngày 04/9/2024 của UBND tỉnh Lạng Sơn về điều chỉnh, bổ sung nội dung Kế hoạch số 148/KH-UBND ngày 04/7/2023 của UBND tỉnh: 570 triệu đồng: Kinh phí Chương trình khuyến công theo Quyết định số 977/QĐ-UBND ngày 13/5/2021 của UBND tỉnh về phê duyệt Chương trình khuyến công tỉnh Lạng Sơn giai đoạn 2021-2025: 2.169 triệu đồng; Kinh phí Chương trình Xúc tiến thương mại theo Quyết định số 11/QĐ-UBND ngày 06/01/2021 của Chủ tịch UBND tỉnh về phê duyệt Kế hoạch xúc tiến thương mại tỉnh Lạng Sơn giai đoạn 2021-2025: 1.407 triệu đồng; Đề án Xây dựng và phát triển Công viên địa chất Lạng Sơn theo Quyết định số 2386/QĐ-UBND ngày 08/12/2021 của Chủ tịch UBND tỉnh; Quyết định số 1091/QĐ-UBND ngày 17/7/2023 của UBND tỉnh về việc sửa đổi, bổ sung một số nội dung Đề án: 4.671 triệu đồng; Hỗ trợ hoạt động chuyên môn của Ban: 200 triệu đồng; Thu gom, vận chuyển, xử lý rác thải trên Mẫu Sơn: 200 triệu đông</t>
  </si>
  <si>
    <t>Hỗ trợ tiền công lao động hợp đồng theo Nghị định số 111/2022/NĐ-CP ngày 30/12/2022 (50% tiền lương): 125 triệu đồng; kinh phí thi đua khen thưởng: 81,4 triệu đồng; Tiền thưởng theo Nghị định số 73/2024/NĐ-CP ngày 30/6/2024 của Chính phủ: 212 triệu đồng; Tuyên truyền hỗ trợ các hoạt động nghệ thuật kỷ niệm các ngày lễ trong năm: 250 triệu đồng; Hỗ trợ hoạt động chuyên môn nghệ thuật chuyên nghiệp và hoạt động văn hóa cơ sở:100 triệu đồng; Hoạt động các câu lạc bộ: 120 triệu đồng; Hoạt động của Đội Tuyên truyền lưu động: 340 triệu đồng; Tham gia 03 cuộc hội thi, dội diễn liên hoan do khu vực và Trung ương tổ chức theo Công văn số 3886/VP-KGVX ngày 26/7/2024 của UBND tỉnh; Công văn số 531/VHCS ngày 20/6/2024 của Cục Nghệ thuật biểu diễn: 800 triệu đồng; Sửa chữa xe ô tô: 50 triệu đồng; Kinh phí sản xuất clip chuyên đề phóng sự phục vụ công tác tuyên truyền tại các điểm chiếu phim: 120 triệu đồng; Kinh phí chiếu phim lưu động do Trung tâm Phát hành phim và Chiếu bóng tỉnh thực hiện theo Quyết định số 1608/QĐ-UBND ngày 17/9/2024 của UBND tỉnh: 9.374 triệu đồng</t>
  </si>
  <si>
    <t>Hỗ trợ tiền công lao động hợp đồng theo Nghị định số 111/2022/NĐ-CP ngày 30/12/2022 (50% tiền lương): 124 triệu đồng; kinh phí thi đua khen thưởng: 44 triệu đồng; Tiền thưởng theo Nghị định số 73/2024/NĐ-CP ngày 30/6/2024 của Chính phủ: 398 triệu đồng; Hỗ trợ hoạt động nghiệp vụ chuyên môn của Đoàn nghệ thuật dân tộc tỉnh: 600 triệu đồng; Xây dựng 03 chương trình nghệ thuật đặc biệt biểu diễn chào mừng theo Kế hoạch số 244/KH-UBND ngày 02/12/2022 của UBND tỉnh: 900 triệu đồng; Sửa chữa xe ô tô: 50 triệu đồng</t>
  </si>
  <si>
    <t>Hỗ trợ tiền công lao động hợp đồng theo Nghị định số 111/2022/NĐ-CP ngày 30/12/2022 (50% tiền lương): 111 triệu đồng; kinh phí thi đua khen thưởng: 30 triệu đồng; Tiền thưởng theo Nghị định số 73/2024/NĐ-CP ngày 30/6/2024 của Chính phủ: 212 triệu đồng; Sửa chữa xe ô tô: 30 triệu đồng; Mua sách nghiệp vụ: 300 triệu đồng; Sách kho luân chuyển về cơ sở: 100 triệu đồng; Hoạt động xe thư viện lưu động đa phương tiện đưa sách đi xuống cơ sở: 60 triệu đồng; Phòng trừ mối, mọt các kho lưu trữ sách hàng năm theo định kỳ: 40 triệu đồng; Chi mua báo, tạp chí phục vụ công tác đọc và nghiên cứu của tỉnh: 50 triệu đồng; Tổ chức sự kiện các ngày lễ lớn trong năm: 90 triệu đồng; Đóng báo, tạp chí thành quyển để phục vụ công tác lưu trữ: 30 triệu đồng; Mua bổ sung Sách theo xe thư viện lưu động đa phương tiện: 80 triệu đồng; Tổ chức các hoạt động hè cho độc giả, ngày hội đọc sách: 90 triệu đồng; Tổ chức Cuộc thi đại sứ Văn hóa đọc: 250 triệu đồng; Liên Hoan tiếng hát cán bộ Thư viện toàn quốc lần thứ IV năm 2025 tại Thành phố Hồ Chí Minh theo Công văn số 3866/VP-KGVX ngày 26/7/2024 của Văn phòng UBND tỉnh: 250 triệu đồng; Tổ chức Hội thi Thiếu nhi tuyên truyền, giới thiệu sách tỉnh Lạng Sơn năm 2025 theo Công văn số 3866/VP-KGVX ngày 26/7/2024 của UBND tỉnh: 250 triệu đồng; Bảo dưỡng, sửa chữa điều hòa: 30 triệu đồng</t>
  </si>
  <si>
    <t>Hỗ trợ tiền công lao động hợp đồng theo Nghị định số 111/2022/NĐ-CP ngày 30/12/2022 (50% tiền lương): 67 triệu đồng; kinh phí thi đua khen thưởng: 32 triệu đồng; Tiền thưởng theo Nghị định số 73/2024/NĐ-CP ngày 30/6/2024 của Chính phủ: 236 triệu đồng; Kiểm kê bảo quản hiện vật (chi phí mua dụng cụ, vật tư, kiểm kê bảo quản): 50 triệu đồng; Công tác giám định, tiếp nhận cổ vật: 35 triệu đồng; Bổ sung kho tư liệu (bổ sung tài liệu, trang thiết bị, công cụ phục vụ lưu trữ tại kho): 60 triệu đồng; Bảo quản trị liệu hiện vật: 200 triệu đồng; Hướng dẫn kiểm tra công tác quản lý di sản văn hóa: 30 triệu đồng; Xây dựng Hồ sơ 09 điểm di tích, 07 di tích huyện đã dược xếp hạng cấp tỉnh: 120 triệu đồng; Lập 01 hồ sơ di tích Quốc gia trình Bộ Văn hóa, Thể thao và Du lịch: 130 triệu đồng; Sưu tầm tài liệu, hiện vật theo kế hoạch thường xuyên trong và ngoài tỉnh: 200 triệu đồng; Hoạt động triển lãm chuyên đề, triển lãm lưu động tại một số trường học trên địa bàn huyện: 200 triệu đồng; Triển lãm giới thiệu Di sản văn hóa và Nghề thủ công truyền thống tỉnh Lạng Sơn tại các tỉnh do Bộ VHTTDL tổ chức tại thành phố Huế theo Công văn số 3866/VP-KGVX ngày 26/7/2024 của Văn phòng UBND tỉnh: 200 triệu đồng; Xây dựng kế hoạch khảo sát một số di chỉ khảo cổ và phối hợp khai quật khảo cổ trên địa bàn tỉnh: 100 triệu đồng; Chỉnh lý tài liệu hiện vật nhà trưng bày, thiết kế hệ thống đai phòng trưng bày chuyên đề: 200 triệu đồng; Bảo tồn, phát huy giá trị văn hóa Lễ hội truyền thống Háng Pỉnh: 400 triệu đồng; Đề án “Bảo tồn, phát huy trang phục truyền thống các dân tộc thiểu số Việt Nam trong giai đoạn hiện nay” trên địa bàn tỉnh Lạng Sơn: 400 triệu đồng</t>
  </si>
  <si>
    <t>Hỗ trợ tiền công, chi khác lao động hợp đồng theo Nghị định số 111/2022/NĐ-CP: 598 triệu đồng; Kinh phí thi đua khen thưởng: 40 triệu đồng; Lễ thắp nến tri ân ngày thương binh liệt sỹ 27/7: 80 triệu đồng; Chương trình “Đêm hội trăng rằm” cấp tỉnh - Tết Trung thu: 100 triệu đồng; Thực hiện kế hoạch giám sát theo Quyết định số 217-QĐ/TW: 15 triệu đồng; Cuốn bản tin Tuổi trẻ Xứ Lạng (3.100 quyển x 6 số/năm): 250 triệu đồng; Tổ chức học tập, quán triệt, tuyên truyền 02 chuyên đề học tập và làm theo tư tưởng, đạo đức, phong cách Hồ Chí Minh dành cho cán bộ đoàn và đoàn viên, thanh niên theo hướng dẫn của Ban Bí thư Trung ương Đoàn: 20 triệu đồng; Giải bóng đá thanh niên tỉnh Lạng Sơn lần thứ VII: 80 triệu đồng; Tổ chức chiến dịch hè năm 2024: 100 triệu đồng; Các hoạt động chuyên môn theo Chương trình số 4054-CTr/TWĐTN-VP ngày 30/7/2024 của Trung ương Đoàn (24 hoạt động): 800 triệu đồng; Chương trình số 29/CTr-UBND ngày 02/6/2022 của UBND tỉnh Thực hiện “Giáo dục lý tưởng cách mạng, đạo đức, lối sống văn hóa cho thanh niên, thiếu niên, nhi đồng trên không gian mạng giai đoạn 2022 - 2030” trên địa bàn tỉnh Lạng Sơn: 35 triệu đồng; Các hoạt động tổ chức theo Chương trình số 16-CTr/TWĐTN-TNTH ngày 29/8/2024 của Ban Chấp hành Trung ương về Chương trình Công tác Đoàn và phong trào thanh niên trường học năm học 2024-2025: 120 triệu đồng; Chương trình công tác Hội đồng đội - Các hoạt động tổ chức theo Chương trình số 205-CTr/HĐĐTW ngày 31/7/2024 của Hội đồng Đội Trung ương về Chương trình công tác Đội và phong trào thiếu nhi năm học 2024-2025 (15 hoạt động): 500 triệu đồng; Tổ chức Đại hội Cháu ngoan Bác Hồ tỉnh Lạng Sơn lần thứ X năm 2025 và đưa đoàn tham gia Đại hội Cháu ngoan Bác Hồ toàn quốc năm 2025: 600 triệu đồng; Chuyên mục Tuổi trẻ Xứ Lạng năm 2025 theo Kế hoạch số 407-KH/TWĐTN-BTG ngày 30/7/2021 của Trung ương Đoàn: 99 triệu đồng; Các hoạt động theo Bộ tiêu chí đánh giá công tác Đoàn và phong trào thanh thiếu nhi theo Quyết định số 425-QĐ/TWĐTN-BKT ngày 29/01/2024 của Ban Chấp hành Trung ương Đoàn (09 hoạt động): 270 triệu đồng; Đảm bảo tài chính thực hiện chiến lược quốc gia chấm dứt dịch bệnh AIDS vào năm 2030 trên địa bàn tỉnh Lạng Sơn giai đoạn 2021-2025 theo Kế hoạch số 183/KH-UBND ngày 18/11/2020 của UBND tỉnh: 20 triệu đồng; Sửa chữa xe ô tô: 50 triệu đồng; Tiền thưởng theo Nghị định số 73/2024/NĐ-CP: 227 triệu đồng.</t>
  </si>
  <si>
    <t>Hỗ trợ tiền công, chi khác lao động hợp đồng theo Nghị định số 111/2022/NĐ-CP: 670 triệu đồng; Kinh phí thi đua khen thưởng: 130 triệu đồng; Kiểm soát thủ tục hành chính: 30 triệu đồng; Sửa chữa xe ô tô: 120 triệu đồng; Trang phục thanh tra: 30 triệu đồng; Tháng hành động An toàn vệ sinh lao động - Phòng chống cháy nổ theo Thông tư số 02/2017/TT-BLĐTBXH, Quyết định số 87/QĐ-TTg ngày 12/01/2016 của Thủ tướng Chính phủ: 50 triệu đồng; Phòng ngừa và ứng phó với bạo lực trên cơ sở giới năm 2024 theo Kế hoạch số 48/KH-UBND ngày 01/3/2021 của UBND tỉnh: 169 triệu đồng; Hoạt động Ban vì sự tiến bộ của phụ nữ theo Quyết định số 1855/QĐ-TTg ngày 11/11/2009 của Thủ tướng Chính phủ: 70 triệu đồng; Hội đồng thẩm định xét duyệt hồ sơ cho người nghỉ chờ việc trước ngày 1/1/1995 theo Quyết định số 1888/QĐ-UBND ngày 13/10/2017 của UBND tỉnh: 10 triệu đồng; Tuyên truyền định hướng, phân luồng Giáo dục nghề nghiệp Kế hoạch số 119/KH-UBND ngày 12/7/2019 của UBND tỉnh: 50 triệu đồng; Chương trình trợ giúp người khuyết tật giai đoạn 2021-2030 theo Kế hoạch số 179/KH-UBND ngày 09/11/2020 của UBND tỉnh: 80 triệu đồng; Thực hiện công tác Bình đẳng giới theo Kế hoạch số 120/KH-UBND ngày 26/5/2021 và Kế hoạch số 47/KH-UBND ngày 02/3/2022 của UBND tỉnh: 216 triệu đồng; Đảm bảo tài chính thực hiện chiến lược quốc gia chấm dứt dịch bệnh AIDS vào năm 2030 trên địa bàn tỉnh Lạng Sơn giai đoạn 2021-2025 theo Kế hoạch số 183/KH-UBND ngày 18/11/2020 của UBND tỉnh: 20 triệu đồng; Triển khai ứng dụng công nghệ thông tin về cung cấp dịch vụ cai nghiện và tư vấn về cai nghiện ma túy, dạy nghề, tạo việc làm cho người sau cai nghiện; cập nhật và quản lý dữ liệu về cai nghiện ma túy, cung cấp thông tin và đường dây nóng tư vấn cai nghiện ma túy theo Kế hoạch số 80/KH-UBND ngày 09/4/2022 của UBND tỉnh (Xây dựng hệ thống cơ sở dữ liệu đối tượng cai nghiện ma tuý và quản lý sau cai nghiện ma tuý trên địa bàn tỉnh Lạng Sơn): 500 triệu đồng; Tuyên truyền Luật Bảo hiểm xã hội cho các cơ quan, đơn vị, doanh nghiệp trên địa bàn tỉnh theo Kế hoạch số 119/KH-UBND ngày 26/5/2021 của UBND tỉnh: 60 triệu đồng; Công tác Thanh tra năm 2025: 80 triệu đồng; Tuyên truyền pháp luật lao động theo Kế hoạch số 84/KH-UBND ngày 08/4/2024 của UBND tỉnh: 132 triệu đồng; Triển khai thực hiện Kế hoạch số 191/KH-UBND thực hiện Nghị quyết số 68/NQ-CP và Chương trình hành động số 126-CTr/TU ngày 02/8/2024 của Ban Thường vụ Tỉnh ủy về thực hiện Nghị quyết số 42-NQ/TW ngày 24/11/2023 của Ban Chấp hành Trung ương Đảng khoá XIII: 175 triệu đồng; Tiền thưởng theo Nghị định số 73/2024/NĐ-CP: 582 triệu đồng</t>
  </si>
  <si>
    <t>- Kinh phí thực hiện chế độ trợ cấp các đối tượng bảo trợ xã hội theo Nghị định số 20/2021/NĐ-CP ngày 15/3/2021 của Chính phủ; Nghị định số 76/2024/NĐ-CP ngày 01/7/2024 của Chính phủ</t>
  </si>
  <si>
    <t>- Kinh phí thực hiện chính sách đối với người có uy tín theo Quyết định số 12/2018/QĐ-TTg ngày 6/3/2018 của Thủ tướng Chính phủ; Quyết định số 28/2023/QĐ-TTg ngày 23/11/2023</t>
  </si>
  <si>
    <t>Chế độ học bổng học sinh dân tộc nội trú: 13.433 triệu đồng.</t>
  </si>
  <si>
    <t xml:space="preserve">Kinh phí thi đua khen thưởng: 2.650 triệu đồng; Hỗ trợ theo Nghị định số 76/2019/NĐ-CP ngày 08/10/2019: 351 triệu đồng; Hỗ trợ hoạt động chuyên môn của trường chuyên Chu Văn An: 500 triệu đồng; Hỗ trợ 50% tiền công lao động hợp đồng theo Nghị định số 111/2022/NĐ-CP ngày 30/12/2022 cho các trường phổ thông DTNT khối tỉnh: 440 triệu đồng; Tiền thưởng theo Nghị định số 73/2024/NĐ-CP ngày 30/6/2024 của Chính phủ: 17.226 triệu đồng; (trong  đó: dự toán chi theo định mức gồm chế độ học sinh Trường THPT Chuyên Chu Văn An (Chính sách theo Nghị quyết số 18/2021/NQ-HĐND ngày 09/12/2021 và Chính sách đặc thù cho học sinh theo Nghị quyết số 14/2024/ NQ-HĐND ngày 30/9/2024): 8.979 triệu đồng. </t>
  </si>
  <si>
    <t>- Hỗ trợ chi phí học tập và miễn giảm học phí theo Nghị định số 81/2021/NĐ-CP ngày 27/8/2021 của Chính phủ; Nghị định số 97/2023/NĐ-CP ngày 31/12/2023 của Chính phủ</t>
  </si>
  <si>
    <t>(Kèm theo Quyết định số: 2255/QĐ-UBND ngày 15 tháng 12 năm 2024 của UBND tỉnh Lạng Sơn)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</si>
</sst>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8">
    <numFmt numFmtId="5" formatCode="&quot;$&quot;#,##0_);\(&quot;$&quot;#,##0\)"/>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 &quot;₫&quot;;\-#,##0\ &quot;₫&quot;"/>
    <numFmt numFmtId="165" formatCode="_-* #,##0_-;\-* #,##0_-;_-* &quot;-&quot;_-;_-@_-"/>
    <numFmt numFmtId="166" formatCode="_-* #,##0.00\ &quot;₫&quot;_-;\-* #,##0.00\ &quot;₫&quot;_-;_-* &quot;-&quot;??\ &quot;₫&quot;_-;_-@_-"/>
    <numFmt numFmtId="167" formatCode="_-* #,##0.00_-;\-* #,##0.00_-;_-* &quot;-&quot;??_-;_-@_-"/>
    <numFmt numFmtId="168" formatCode="_-* #,##0\ _₫_-;\-* #,##0\ _₫_-;_-* &quot;-&quot;\ _₫_-;_-@_-"/>
    <numFmt numFmtId="169" formatCode="_-* #,##0.00\ _₫_-;\-* #,##0.00\ _₫_-;_-* &quot;-&quot;??\ _₫_-;_-@_-"/>
    <numFmt numFmtId="170" formatCode="###\ ###\ ###\ ###\ ###"/>
    <numFmt numFmtId="171" formatCode="_(* #,##0_);_(* \(#,##0\);_(* &quot;-&quot;??_);_(@_)"/>
    <numFmt numFmtId="172" formatCode="0_)"/>
    <numFmt numFmtId="173" formatCode="_-* #,##0_-;\-* #,##0_-;_-* &quot;-&quot;??_-;_-@_-"/>
    <numFmt numFmtId="174" formatCode="#,###.0;[Red]\-#,###.0"/>
    <numFmt numFmtId="175" formatCode="#,###;[Red]\-#,###"/>
    <numFmt numFmtId="176" formatCode="0.0"/>
    <numFmt numFmtId="177" formatCode="#.##0"/>
    <numFmt numFmtId="178" formatCode="_(* #,##0.0_);_(* \(#,##0.0\);_(* &quot;-&quot;??_);_(@_)"/>
    <numFmt numFmtId="179" formatCode="_-* #,##0.0\ _₫_-;\-* #,##0.0\ _₫_-;_-* &quot;-&quot;??\ _₫_-;_-@_-"/>
    <numFmt numFmtId="180" formatCode="_-* #,##0\ _₫_-;\-* #,##0\ _₫_-;_-* &quot;-&quot;??\ _₫_-;_-@_-"/>
    <numFmt numFmtId="181" formatCode="#,##0;[Red]#,##0"/>
    <numFmt numFmtId="182" formatCode="_(* #,##0.0_);_(* \(#,##0.0\);_(* &quot;-&quot;?_);_(@_)"/>
    <numFmt numFmtId="183" formatCode="#,##0.0;[Red]#,##0.0"/>
    <numFmt numFmtId="184" formatCode="#,##0.0"/>
    <numFmt numFmtId="185" formatCode="#,##0.00;[Red]#,##0.00"/>
    <numFmt numFmtId="186" formatCode="_-* #,##0.0\ _₫_-;\-* #,##0.0\ _₫_-;_-* &quot;-&quot;?\ _₫_-;_-@_-"/>
    <numFmt numFmtId="187" formatCode="_-* #,##0.0_-;\-* #,##0.0_-;_-* &quot;-&quot;??_-;_-@_-"/>
    <numFmt numFmtId="188" formatCode="0.000"/>
    <numFmt numFmtId="189" formatCode="_-&quot;€&quot;* #,##0_-;\-&quot;€&quot;* #,##0_-;_-&quot;€&quot;* &quot;-&quot;_-;_-@_-"/>
    <numFmt numFmtId="190" formatCode="&quot;\&quot;#,##0.00;[Red]&quot;\&quot;&quot;\&quot;&quot;\&quot;&quot;\&quot;&quot;\&quot;&quot;\&quot;\-#,##0.00"/>
    <numFmt numFmtId="191" formatCode="&quot;\&quot;#,##0;[Red]&quot;\&quot;&quot;\&quot;\-#,##0"/>
    <numFmt numFmtId="192" formatCode="#.##00"/>
    <numFmt numFmtId="193" formatCode="_-* #,##0\ &quot;€&quot;_-;\-* #,##0\ &quot;€&quot;_-;_-* &quot;-&quot;\ &quot;€&quot;_-;_-@_-"/>
    <numFmt numFmtId="194" formatCode="_-* #,##0\ _F_-;\-* #,##0\ _F_-;_-* &quot;-&quot;\ _F_-;_-@_-"/>
    <numFmt numFmtId="195" formatCode="_ &quot;\&quot;* #,##0_ ;_ &quot;\&quot;* \-#,##0_ ;_ &quot;\&quot;* &quot;-&quot;_ ;_ @_ "/>
    <numFmt numFmtId="196" formatCode="_ * #,##0_)\ &quot;F&quot;_ ;_ * \(#,##0\)\ &quot;F&quot;_ ;_ * &quot;-&quot;_)\ &quot;F&quot;_ ;_ @_ "/>
    <numFmt numFmtId="197" formatCode="_ * #,##0_)\ _$_ ;_ * \(#,##0\)\ _$_ ;_ * &quot;-&quot;_)\ _$_ ;_ @_ "/>
    <numFmt numFmtId="198" formatCode="_ &quot;\&quot;* #,##0.00_ ;_ &quot;\&quot;* \-#,##0.00_ ;_ &quot;\&quot;* &quot;-&quot;??_ ;_ @_ "/>
    <numFmt numFmtId="199" formatCode="_ * #,##0_ ;_ * \-#,##0_ ;_ * &quot;-&quot;_ ;_ @_ "/>
    <numFmt numFmtId="200" formatCode="_ * #,##0.00_ ;_ * \-#,##0.00_ ;_ * &quot;-&quot;??_ ;_ @_ "/>
    <numFmt numFmtId="201" formatCode="#,##0.0_);\(#,##0.0\)"/>
    <numFmt numFmtId="202" formatCode="_(* #,##0.0000_);_(* \(#,##0.0000\);_(* &quot;-&quot;??_);_(@_)"/>
    <numFmt numFmtId="203" formatCode="0.0%;[Red]\(0.0%\)"/>
    <numFmt numFmtId="204" formatCode="_ * #,##0.00_)&quot;£&quot;_ ;_ * \(#,##0.00\)&quot;£&quot;_ ;_ * &quot;-&quot;??_)&quot;£&quot;_ ;_ @_ "/>
    <numFmt numFmtId="205" formatCode="_-&quot;$&quot;* #,##0.00_-;\-&quot;$&quot;* #,##0.00_-;_-&quot;$&quot;* &quot;-&quot;??_-;_-@_-"/>
    <numFmt numFmtId="206" formatCode="0.0%;\(0.0%\)"/>
    <numFmt numFmtId="207" formatCode="0.000_)"/>
    <numFmt numFmtId="208" formatCode="_-* #,##0.00\ _€_-;\-* #,##0.00\ _€_-;_-* &quot;-&quot;??\ _€_-;_-@_-"/>
    <numFmt numFmtId="209" formatCode="_-* #,##0.00\ _V_N_D_-;\-* #,##0.00\ _V_N_D_-;_-* &quot;-&quot;??\ _V_N_D_-;_-@_-"/>
    <numFmt numFmtId="210" formatCode="&quot;C&quot;#,##0.00_);\(&quot;C&quot;#,##0.00\)"/>
    <numFmt numFmtId="211" formatCode="_ &quot;\&quot;* #,##0.00_ ;_ &quot;\&quot;* &quot;\&quot;&quot;\&quot;&quot;\&quot;&quot;\&quot;&quot;\&quot;&quot;\&quot;&quot;\&quot;&quot;\&quot;&quot;\&quot;\-#,##0.00_ ;_ &quot;\&quot;* &quot;-&quot;??_ ;_ @_ "/>
    <numFmt numFmtId="212" formatCode="&quot;C&quot;#,##0_);\(&quot;C&quot;#,##0\)"/>
    <numFmt numFmtId="213" formatCode="&quot;$&quot;\ \ \ \ #,##0_);\(&quot;$&quot;\ \ \ #,##0\)"/>
    <numFmt numFmtId="214" formatCode="&quot;$&quot;\ \ \ \ \ #,##0_);\(&quot;$&quot;\ \ \ \ \ #,##0\)"/>
    <numFmt numFmtId="215" formatCode="&quot;C&quot;#,##0_);[Red]\(&quot;C&quot;#,##0\)"/>
    <numFmt numFmtId="216" formatCode="_-[$€-2]* #,##0.00_-;\-[$€-2]* #,##0.00_-;_-[$€-2]* &quot;-&quot;??_-"/>
    <numFmt numFmtId="217" formatCode="#,###;\-#,###;&quot;&quot;;_(@_)"/>
    <numFmt numFmtId="218" formatCode="#,##0_ ;[Red]\-#,##0\ "/>
    <numFmt numFmtId="219" formatCode="#,##0\ &quot;$&quot;_);[Red]\(#,##0\ &quot;$&quot;\)"/>
    <numFmt numFmtId="220" formatCode="&quot;$&quot;###,0&quot;.&quot;00_);[Red]\(&quot;$&quot;###,0&quot;.&quot;00\)"/>
    <numFmt numFmtId="221" formatCode="&quot;\&quot;#,##0;[Red]\-&quot;\&quot;#,##0"/>
    <numFmt numFmtId="222" formatCode="&quot;\&quot;#,##0.00;\-&quot;\&quot;#,##0.00"/>
    <numFmt numFmtId="223" formatCode="#,##0.000_);\(#,##0.000\)"/>
    <numFmt numFmtId="224" formatCode="#,##0.00\ &quot;F&quot;;[Red]\-#,##0.00\ &quot;F&quot;"/>
    <numFmt numFmtId="225" formatCode="#,##0\ &quot;F&quot;;\-#,##0\ &quot;F&quot;"/>
    <numFmt numFmtId="226" formatCode="#,##0\ &quot;F&quot;;[Red]\-#,##0\ &quot;F&quot;"/>
    <numFmt numFmtId="227" formatCode="_-* #,##0\ &quot;F&quot;_-;\-* #,##0\ &quot;F&quot;_-;_-* &quot;-&quot;\ &quot;F&quot;_-;_-@_-"/>
    <numFmt numFmtId="228" formatCode="0.000\ "/>
    <numFmt numFmtId="229" formatCode="#,##0\ &quot;Lt&quot;;[Red]\-#,##0\ &quot;Lt&quot;"/>
    <numFmt numFmtId="230" formatCode="#,##0.00\ &quot;F&quot;;\-#,##0.00\ &quot;F&quot;"/>
    <numFmt numFmtId="231" formatCode="_-* #,##0\ &quot;DM&quot;_-;\-* #,##0\ &quot;DM&quot;_-;_-* &quot;-&quot;\ &quot;DM&quot;_-;_-@_-"/>
    <numFmt numFmtId="232" formatCode="_-* #,##0.00\ &quot;DM&quot;_-;\-* #,##0.00\ &quot;DM&quot;_-;_-* &quot;-&quot;??\ &quot;DM&quot;_-;_-@_-"/>
    <numFmt numFmtId="233" formatCode="_-&quot;$&quot;* #,##0_-;\-&quot;$&quot;* #,##0_-;_-&quot;$&quot;* &quot;-&quot;_-;_-@_-"/>
    <numFmt numFmtId="234" formatCode="_(* #,##0_);_(* \(#,##0\);_(* &quot;-&quot;???_);_(@_)"/>
    <numFmt numFmtId="235" formatCode="0000000000"/>
  </numFmts>
  <fonts count="211">
    <font>
      <sz val="11"/>
      <color theme="1"/>
      <name val="Calibri"/>
      <family val="2"/>
      <scheme val="minor"/>
    </font>
    <font>
      <sz val="11"/>
      <color theme="1"/>
      <name val="Calibri"/>
      <family val="2"/>
      <charset val="163"/>
      <scheme val="minor"/>
    </font>
    <font>
      <sz val="11"/>
      <color indexed="8"/>
      <name val="Calibri"/>
      <family val="2"/>
    </font>
    <font>
      <b/>
      <sz val="14"/>
      <name val="Times New Roman"/>
      <family val="1"/>
    </font>
    <font>
      <i/>
      <sz val="13"/>
      <name val="Times New Roman"/>
      <family val="1"/>
    </font>
    <font>
      <sz val="10"/>
      <name val="Times New Roman"/>
      <family val="1"/>
    </font>
    <font>
      <i/>
      <sz val="12"/>
      <name val="Times New Roman"/>
      <family val="1"/>
    </font>
    <font>
      <sz val="12"/>
      <name val=".VnTime"/>
      <family val="2"/>
    </font>
    <font>
      <sz val="12"/>
      <name val="Times New Roman"/>
      <family val="1"/>
    </font>
    <font>
      <b/>
      <sz val="13"/>
      <name val="Times New Roman"/>
      <family val="1"/>
    </font>
    <font>
      <sz val="11"/>
      <color indexed="8"/>
      <name val="Calibri"/>
      <family val="2"/>
    </font>
    <font>
      <sz val="13"/>
      <name val="Times New Roman"/>
      <family val="1"/>
    </font>
    <font>
      <b/>
      <sz val="12"/>
      <name val="Times New Roman"/>
      <family val="1"/>
    </font>
    <font>
      <i/>
      <sz val="10"/>
      <name val="Times New Roman"/>
      <family val="1"/>
    </font>
    <font>
      <sz val="8"/>
      <name val=".VnTime"/>
      <family val="2"/>
    </font>
    <font>
      <b/>
      <sz val="10"/>
      <name val="Times New Roman"/>
      <family val="1"/>
    </font>
    <font>
      <b/>
      <sz val="8"/>
      <name val="Times New Roman"/>
      <family val="1"/>
    </font>
    <font>
      <sz val="10"/>
      <name val="Arial"/>
      <family val="2"/>
    </font>
    <font>
      <sz val="10"/>
      <name val=".VnTime"/>
      <family val="2"/>
    </font>
    <font>
      <i/>
      <sz val="8"/>
      <name val="Times New Roman"/>
      <family val="1"/>
    </font>
    <font>
      <b/>
      <u val="singleAccounting"/>
      <sz val="10"/>
      <name val="Times New Roman"/>
      <family val="1"/>
    </font>
    <font>
      <b/>
      <u/>
      <sz val="8"/>
      <name val=".VnTime"/>
      <family val="2"/>
    </font>
    <font>
      <u/>
      <sz val="8"/>
      <name val=".VnTime"/>
      <family val="2"/>
    </font>
    <font>
      <b/>
      <sz val="9"/>
      <name val="Times New Roman"/>
      <family val="1"/>
    </font>
    <font>
      <b/>
      <u/>
      <sz val="10"/>
      <name val="Times New Roman"/>
      <family val="1"/>
    </font>
    <font>
      <b/>
      <sz val="8"/>
      <name val=".VnTime"/>
      <family val="2"/>
    </font>
    <font>
      <b/>
      <i/>
      <sz val="10"/>
      <name val="Times New Roman"/>
      <family val="1"/>
    </font>
    <font>
      <b/>
      <i/>
      <sz val="8"/>
      <name val=".VnTime"/>
      <family val="2"/>
    </font>
    <font>
      <i/>
      <sz val="9"/>
      <name val="Times New Roman"/>
      <family val="1"/>
    </font>
    <font>
      <i/>
      <u/>
      <sz val="8"/>
      <name val=".VnTime"/>
      <family val="2"/>
    </font>
    <font>
      <b/>
      <sz val="17"/>
      <name val="Times New Roman"/>
      <family val="1"/>
    </font>
    <font>
      <i/>
      <sz val="14"/>
      <name val="Times New Roman"/>
      <family val="1"/>
    </font>
    <font>
      <b/>
      <i/>
      <sz val="12"/>
      <name val="Times New Roman"/>
      <family val="1"/>
    </font>
    <font>
      <b/>
      <sz val="11"/>
      <name val="Times New Roman"/>
      <family val="1"/>
    </font>
    <font>
      <sz val="11"/>
      <name val="Times New Roman"/>
      <family val="1"/>
    </font>
    <font>
      <b/>
      <i/>
      <sz val="11"/>
      <name val="Times New Roman"/>
      <family val="1"/>
    </font>
    <font>
      <sz val="12"/>
      <name val=".VnArial Narrow"/>
      <family val="2"/>
    </font>
    <font>
      <sz val="9"/>
      <name val="Times New Roman"/>
      <family val="1"/>
    </font>
    <font>
      <sz val="14"/>
      <name val="Times New Roman"/>
      <family val="1"/>
    </font>
    <font>
      <sz val="15"/>
      <name val="Times New Roman"/>
      <family val="1"/>
    </font>
    <font>
      <b/>
      <sz val="15"/>
      <name val="Times New Roman"/>
      <family val="1"/>
    </font>
    <font>
      <sz val="12"/>
      <name val="Times New Roman"/>
      <family val="1"/>
      <charset val="163"/>
    </font>
    <font>
      <sz val="11"/>
      <color indexed="8"/>
      <name val="Calibri"/>
      <family val="2"/>
      <charset val="163"/>
    </font>
    <font>
      <b/>
      <u/>
      <sz val="15"/>
      <name val="Times New Roman"/>
      <family val="1"/>
    </font>
    <font>
      <u/>
      <sz val="9"/>
      <name val="Times New Roman"/>
      <family val="1"/>
    </font>
    <font>
      <i/>
      <sz val="12"/>
      <name val="Times New Roman"/>
      <family val="1"/>
      <charset val="163"/>
    </font>
    <font>
      <b/>
      <sz val="12"/>
      <name val="Times New Roman"/>
      <family val="1"/>
      <charset val="163"/>
    </font>
    <font>
      <i/>
      <sz val="10"/>
      <name val="Times New Roman"/>
      <family val="1"/>
      <charset val="163"/>
    </font>
    <font>
      <sz val="10"/>
      <name val="Times New Roman"/>
      <family val="1"/>
      <charset val="163"/>
    </font>
    <font>
      <i/>
      <sz val="11"/>
      <name val="Times New Roman"/>
      <family val="1"/>
    </font>
    <font>
      <sz val="12"/>
      <name val="Arial Narrow"/>
      <family val="2"/>
      <charset val="163"/>
    </font>
    <font>
      <sz val="14"/>
      <name val="Times New Roman"/>
      <family val="1"/>
      <charset val="163"/>
    </font>
    <font>
      <sz val="14"/>
      <name val="Calibri"/>
      <family val="2"/>
    </font>
    <font>
      <sz val="10"/>
      <color indexed="8"/>
      <name val="Arial"/>
      <family val="2"/>
    </font>
    <font>
      <sz val="12"/>
      <name val="VNI-Times"/>
    </font>
    <font>
      <sz val="12"/>
      <color indexed="8"/>
      <name val="Times New Roman"/>
      <family val="2"/>
      <charset val="163"/>
    </font>
    <font>
      <sz val="11"/>
      <color indexed="8"/>
      <name val="times new roman"/>
      <family val="2"/>
      <charset val="163"/>
    </font>
    <font>
      <sz val="11"/>
      <color indexed="8"/>
      <name val="Calibri"/>
      <family val="2"/>
    </font>
    <font>
      <sz val="12"/>
      <color indexed="8"/>
      <name val="Times New Roman"/>
      <family val="2"/>
      <charset val="163"/>
    </font>
    <font>
      <sz val="14"/>
      <color indexed="8"/>
      <name val="Times New Roman"/>
      <family val="2"/>
    </font>
    <font>
      <sz val="14"/>
      <color indexed="8"/>
      <name val="Times New Roman"/>
      <family val="2"/>
    </font>
    <font>
      <sz val="14"/>
      <color indexed="9"/>
      <name val="Times New Roman"/>
      <family val="2"/>
    </font>
    <font>
      <sz val="14"/>
      <color indexed="20"/>
      <name val="Times New Roman"/>
      <family val="2"/>
    </font>
    <font>
      <b/>
      <sz val="14"/>
      <color indexed="52"/>
      <name val="Times New Roman"/>
      <family val="2"/>
    </font>
    <font>
      <b/>
      <sz val="14"/>
      <color indexed="9"/>
      <name val="Times New Roman"/>
      <family val="2"/>
    </font>
    <font>
      <sz val="14"/>
      <name val=".VnTime"/>
      <family val="2"/>
    </font>
    <font>
      <i/>
      <sz val="14"/>
      <color indexed="23"/>
      <name val="Times New Roman"/>
      <family val="2"/>
    </font>
    <font>
      <sz val="14"/>
      <color indexed="17"/>
      <name val="Times New Roman"/>
      <family val="2"/>
    </font>
    <font>
      <b/>
      <sz val="15"/>
      <color indexed="56"/>
      <name val="Times New Roman"/>
      <family val="2"/>
    </font>
    <font>
      <b/>
      <sz val="13"/>
      <color indexed="56"/>
      <name val="Times New Roman"/>
      <family val="2"/>
    </font>
    <font>
      <b/>
      <sz val="11"/>
      <color indexed="56"/>
      <name val="Times New Roman"/>
      <family val="2"/>
    </font>
    <font>
      <sz val="14"/>
      <color indexed="62"/>
      <name val="Times New Roman"/>
      <family val="2"/>
    </font>
    <font>
      <sz val="14"/>
      <color indexed="52"/>
      <name val="Times New Roman"/>
      <family val="2"/>
    </font>
    <font>
      <sz val="14"/>
      <color indexed="60"/>
      <name val="Times New Roman"/>
      <family val="2"/>
    </font>
    <font>
      <sz val="13"/>
      <name val=".VnTime"/>
      <family val="2"/>
    </font>
    <font>
      <sz val="11"/>
      <color indexed="8"/>
      <name val="Arial"/>
      <family val="2"/>
    </font>
    <font>
      <b/>
      <sz val="14"/>
      <color indexed="63"/>
      <name val="Times New Roman"/>
      <family val="2"/>
    </font>
    <font>
      <b/>
      <sz val="14"/>
      <color indexed="8"/>
      <name val="Times New Roman"/>
      <family val="2"/>
    </font>
    <font>
      <sz val="14"/>
      <color indexed="10"/>
      <name val="Times New Roman"/>
      <family val="2"/>
    </font>
    <font>
      <sz val="8"/>
      <name val="Times New Roman"/>
      <family val="1"/>
    </font>
    <font>
      <u/>
      <sz val="10"/>
      <color indexed="12"/>
      <name val="Arial"/>
      <family val="2"/>
    </font>
    <font>
      <sz val="12"/>
      <name val="돋움체"/>
      <family val="3"/>
      <charset val="129"/>
    </font>
    <font>
      <sz val="10"/>
      <name val="?? ??"/>
      <family val="1"/>
      <charset val="136"/>
    </font>
    <font>
      <sz val="12"/>
      <name val=".VnArial"/>
      <family val="2"/>
    </font>
    <font>
      <sz val="12"/>
      <name val="????"/>
      <family val="1"/>
      <charset val="136"/>
    </font>
    <font>
      <sz val="12"/>
      <name val="Courier"/>
      <family val="3"/>
    </font>
    <font>
      <sz val="10"/>
      <name val="AngsanaUPC"/>
      <family val="1"/>
    </font>
    <font>
      <sz val="12"/>
      <name val="|??¢¥¢¬¨Ï"/>
      <family val="1"/>
      <charset val="129"/>
    </font>
    <font>
      <sz val="10"/>
      <name val="VNI-Times"/>
    </font>
    <font>
      <sz val="10"/>
      <name val="MS Sans Serif"/>
      <family val="2"/>
    </font>
    <font>
      <sz val="10"/>
      <name val="Helv"/>
      <family val="2"/>
    </font>
    <font>
      <sz val="11"/>
      <name val="VNI-Aptima"/>
    </font>
    <font>
      <sz val="12"/>
      <name val="???"/>
    </font>
    <font>
      <sz val="9"/>
      <name val="‚l‚r –¾’©"/>
      <family val="1"/>
      <charset val="128"/>
    </font>
    <font>
      <sz val="14"/>
      <name val="VnTime"/>
    </font>
    <font>
      <b/>
      <u/>
      <sz val="14"/>
      <color indexed="8"/>
      <name val=".VnBook-AntiquaH"/>
      <family val="2"/>
    </font>
    <font>
      <sz val="11"/>
      <name val=".VnTime"/>
      <family val="2"/>
    </font>
    <font>
      <sz val="12"/>
      <color indexed="8"/>
      <name val="¹ÙÅÁÃ¼"/>
      <family val="1"/>
      <charset val="129"/>
    </font>
    <font>
      <i/>
      <sz val="12"/>
      <color indexed="8"/>
      <name val=".VnBook-AntiquaH"/>
      <family val="2"/>
    </font>
    <font>
      <b/>
      <sz val="12"/>
      <color indexed="8"/>
      <name val=".VnBook-Antiqua"/>
      <family val="2"/>
    </font>
    <font>
      <i/>
      <sz val="12"/>
      <color indexed="8"/>
      <name val=".VnBook-Antiqua"/>
      <family val="2"/>
    </font>
    <font>
      <sz val="14"/>
      <name val="VNI-Times"/>
    </font>
    <font>
      <sz val="12"/>
      <name val="¹UAAA¼"/>
      <family val="3"/>
      <charset val="129"/>
    </font>
    <font>
      <sz val="11"/>
      <name val="±¼¸²Ã¼"/>
      <family val="3"/>
      <charset val="129"/>
    </font>
    <font>
      <sz val="12"/>
      <name val="¹ÙÅÁÃ¼"/>
      <charset val="129"/>
    </font>
    <font>
      <sz val="12"/>
      <name val="Tms Rmn"/>
    </font>
    <font>
      <sz val="12"/>
      <name val="µ¸¿òÃ¼"/>
      <family val="3"/>
      <charset val="129"/>
    </font>
    <font>
      <sz val="10"/>
      <name val="±¼¸²A¼"/>
      <family val="3"/>
      <charset val="129"/>
    </font>
    <font>
      <sz val="12"/>
      <name val="¹ÙÅÁÃ¼"/>
      <family val="1"/>
      <charset val="129"/>
    </font>
    <font>
      <sz val="10"/>
      <name val="Arial"/>
      <family val="2"/>
      <charset val="163"/>
    </font>
    <font>
      <sz val="10"/>
      <name val="Helv"/>
    </font>
    <font>
      <b/>
      <sz val="10"/>
      <name val="Helv"/>
    </font>
    <font>
      <sz val="11"/>
      <name val="Tms Rmn"/>
    </font>
    <font>
      <sz val="12"/>
      <color indexed="8"/>
      <name val="Times New Roman"/>
      <family val="2"/>
    </font>
    <font>
      <sz val="10"/>
      <name val="MS Serif"/>
      <family val="1"/>
    </font>
    <font>
      <sz val="10"/>
      <name val=".VnArial"/>
      <family val="2"/>
    </font>
    <font>
      <sz val="10"/>
      <name val="Arial CE"/>
      <charset val="238"/>
    </font>
    <font>
      <sz val="10"/>
      <color indexed="16"/>
      <name val="MS Serif"/>
      <family val="1"/>
    </font>
    <font>
      <sz val="10"/>
      <color indexed="8"/>
      <name val="Arial"/>
      <family val="2"/>
      <charset val="1"/>
    </font>
    <font>
      <sz val="8"/>
      <name val="Arial"/>
      <family val="2"/>
      <charset val="163"/>
    </font>
    <font>
      <b/>
      <u/>
      <sz val="13"/>
      <name val="VnTime"/>
    </font>
    <font>
      <b/>
      <sz val="12"/>
      <color indexed="9"/>
      <name val="Tms Rmn"/>
    </font>
    <font>
      <b/>
      <sz val="12"/>
      <name val="Helv"/>
    </font>
    <font>
      <b/>
      <sz val="12"/>
      <name val="Arial"/>
      <family val="2"/>
    </font>
    <font>
      <b/>
      <sz val="18"/>
      <name val="Arial"/>
      <family val="2"/>
    </font>
    <font>
      <b/>
      <sz val="8"/>
      <name val="MS Sans Serif"/>
      <family val="2"/>
    </font>
    <font>
      <b/>
      <sz val="10"/>
      <name val=".VnTime"/>
      <family val="2"/>
    </font>
    <font>
      <b/>
      <sz val="14"/>
      <name val=".VnTimeH"/>
      <family val="2"/>
    </font>
    <font>
      <u/>
      <sz val="12"/>
      <color indexed="12"/>
      <name val=".VnTime"/>
      <family val="2"/>
    </font>
    <font>
      <sz val="12"/>
      <name val="Arial"/>
      <family val="2"/>
    </font>
    <font>
      <b/>
      <sz val="11"/>
      <name val="Helv"/>
    </font>
    <font>
      <sz val="7"/>
      <name val="Small Fonts"/>
      <family val="2"/>
    </font>
    <font>
      <sz val="9"/>
      <name val="Arial"/>
      <family val="2"/>
    </font>
    <font>
      <sz val="14"/>
      <color indexed="8"/>
      <name val="Times New Roman"/>
      <family val="2"/>
      <charset val="163"/>
    </font>
    <font>
      <sz val="11"/>
      <name val="–¾’©"/>
      <family val="1"/>
      <charset val="128"/>
    </font>
    <font>
      <b/>
      <sz val="11"/>
      <name val="Arial"/>
      <family val="2"/>
    </font>
    <font>
      <sz val="12"/>
      <name val="Helv"/>
    </font>
    <font>
      <b/>
      <sz val="10"/>
      <name val="MS Sans Serif"/>
      <family val="2"/>
    </font>
    <font>
      <sz val="8"/>
      <name val="Wingdings"/>
      <charset val="2"/>
    </font>
    <font>
      <sz val="8"/>
      <name val="Helv"/>
    </font>
    <font>
      <b/>
      <sz val="12"/>
      <color indexed="8"/>
      <name val="Arial"/>
      <family val="2"/>
    </font>
    <font>
      <b/>
      <i/>
      <sz val="12"/>
      <color indexed="8"/>
      <name val="Arial"/>
      <family val="2"/>
    </font>
    <font>
      <sz val="12"/>
      <color indexed="8"/>
      <name val="Arial"/>
      <family val="2"/>
    </font>
    <font>
      <i/>
      <sz val="12"/>
      <color indexed="8"/>
      <name val="Arial"/>
      <family val="2"/>
    </font>
    <font>
      <sz val="19"/>
      <color indexed="48"/>
      <name val="Arial"/>
      <family val="2"/>
    </font>
    <font>
      <sz val="12"/>
      <color indexed="14"/>
      <name val="Arial"/>
      <family val="2"/>
    </font>
    <font>
      <sz val="8"/>
      <name val="MS Sans Serif"/>
      <family val="2"/>
    </font>
    <font>
      <sz val="8"/>
      <name val="Tms Rmn"/>
    </font>
    <font>
      <b/>
      <sz val="8"/>
      <color indexed="8"/>
      <name val="Helv"/>
    </font>
    <font>
      <b/>
      <sz val="13"/>
      <color indexed="8"/>
      <name val=".VnTimeH"/>
      <family val="2"/>
    </font>
    <font>
      <sz val="10"/>
      <name val=".VnAvant"/>
      <family val="2"/>
    </font>
    <font>
      <sz val="14"/>
      <name val="VnTime"/>
      <family val="2"/>
    </font>
    <font>
      <b/>
      <sz val="8"/>
      <name val="VN Helvetica"/>
    </font>
    <font>
      <sz val="9"/>
      <name val=".VnTime"/>
      <family val="2"/>
    </font>
    <font>
      <b/>
      <sz val="12"/>
      <name val=".VnTime"/>
      <family val="2"/>
    </font>
    <font>
      <b/>
      <sz val="10"/>
      <name val="VN AvantGBook"/>
    </font>
    <font>
      <b/>
      <sz val="16"/>
      <name val=".VnTime"/>
      <family val="2"/>
    </font>
    <font>
      <sz val="14"/>
      <name val=".VnArial"/>
      <family val="2"/>
    </font>
    <font>
      <sz val="10"/>
      <name val=" "/>
      <family val="1"/>
      <charset val="136"/>
    </font>
    <font>
      <sz val="14"/>
      <name val="뼻뮝"/>
      <family val="3"/>
      <charset val="129"/>
    </font>
    <font>
      <sz val="12"/>
      <color indexed="8"/>
      <name val="바탕체"/>
      <family val="3"/>
    </font>
    <font>
      <sz val="12"/>
      <name val="뼻뮝"/>
      <family val="1"/>
      <charset val="129"/>
    </font>
    <font>
      <sz val="10"/>
      <name val="명조"/>
      <family val="3"/>
      <charset val="129"/>
    </font>
    <font>
      <sz val="12"/>
      <name val="바탕체"/>
      <family val="1"/>
      <charset val="129"/>
    </font>
    <font>
      <sz val="10"/>
      <name val="굴림체"/>
      <family val="3"/>
      <charset val="129"/>
    </font>
    <font>
      <sz val="11"/>
      <color indexed="8"/>
      <name val="Arial"/>
      <family val="2"/>
      <charset val="163"/>
    </font>
    <font>
      <sz val="10"/>
      <color indexed="8"/>
      <name val="Times New Roman"/>
      <family val="2"/>
      <charset val="163"/>
    </font>
    <font>
      <sz val="11"/>
      <color theme="1"/>
      <name val="Calibri"/>
      <family val="2"/>
      <scheme val="minor"/>
    </font>
    <font>
      <sz val="11"/>
      <color theme="1"/>
      <name val="Calibri"/>
      <family val="2"/>
      <charset val="163"/>
      <scheme val="minor"/>
    </font>
    <font>
      <sz val="11"/>
      <color theme="1"/>
      <name val="times new roman"/>
      <family val="2"/>
      <charset val="163"/>
    </font>
    <font>
      <sz val="14"/>
      <color theme="1"/>
      <name val="Times New Roman"/>
      <family val="2"/>
    </font>
    <font>
      <sz val="11"/>
      <color theme="1"/>
      <name val="Calibri"/>
      <family val="2"/>
    </font>
    <font>
      <i/>
      <sz val="10"/>
      <color rgb="FFFF0000"/>
      <name val="Times New Roman"/>
      <family val="1"/>
    </font>
    <font>
      <i/>
      <sz val="9"/>
      <color rgb="FFFF0000"/>
      <name val="Times New Roman"/>
      <family val="1"/>
    </font>
    <font>
      <i/>
      <u/>
      <sz val="8"/>
      <color rgb="FFFF0000"/>
      <name val=".VnTime"/>
      <family val="2"/>
    </font>
    <font>
      <b/>
      <u/>
      <sz val="8"/>
      <name val="Times New Roman"/>
      <family val="1"/>
    </font>
    <font>
      <u/>
      <sz val="8"/>
      <name val="Times New Roman"/>
      <family val="1"/>
    </font>
    <font>
      <b/>
      <i/>
      <u/>
      <sz val="8"/>
      <name val="Times New Roman"/>
      <family val="1"/>
    </font>
    <font>
      <b/>
      <i/>
      <sz val="8"/>
      <name val="Times New Roman"/>
      <family val="1"/>
    </font>
    <font>
      <i/>
      <u/>
      <sz val="8"/>
      <name val="Times New Roman"/>
      <family val="1"/>
    </font>
    <font>
      <b/>
      <sz val="10"/>
      <color rgb="FF0000FF"/>
      <name val="Times New Roman"/>
      <family val="1"/>
    </font>
    <font>
      <i/>
      <sz val="10"/>
      <color rgb="FF0000FF"/>
      <name val="Times New Roman"/>
      <family val="1"/>
    </font>
    <font>
      <sz val="11"/>
      <name val="Calibri"/>
      <family val="2"/>
      <scheme val="minor"/>
    </font>
    <font>
      <b/>
      <sz val="11"/>
      <name val="Calibri"/>
      <family val="2"/>
      <scheme val="minor"/>
    </font>
    <font>
      <sz val="13"/>
      <name val="Calibri"/>
      <family val="2"/>
      <scheme val="minor"/>
    </font>
    <font>
      <sz val="12"/>
      <name val=".VnArial Narrow"/>
      <family val="2"/>
    </font>
    <font>
      <sz val="15"/>
      <color indexed="10"/>
      <name val="Times New Roman"/>
      <family val="1"/>
    </font>
    <font>
      <i/>
      <sz val="15"/>
      <name val="Times New Roman"/>
      <family val="1"/>
    </font>
    <font>
      <sz val="16"/>
      <name val="Times New Roman"/>
      <family val="1"/>
    </font>
    <font>
      <b/>
      <sz val="16"/>
      <name val="Times New Roman"/>
      <family val="1"/>
    </font>
    <font>
      <sz val="12"/>
      <name val=".VnArial Narrow"/>
      <family val="2"/>
      <charset val="163"/>
    </font>
    <font>
      <b/>
      <sz val="14"/>
      <name val="Times New Roman"/>
      <family val="1"/>
      <charset val="163"/>
    </font>
    <font>
      <sz val="14"/>
      <name val=".VnArial Narrow"/>
      <family val="2"/>
      <charset val="163"/>
    </font>
    <font>
      <sz val="14"/>
      <name val="&quot;Times New Roman&quot;"/>
      <charset val="163"/>
    </font>
    <font>
      <b/>
      <sz val="14"/>
      <name val="&quot;Times New Roman&quot;"/>
      <charset val="163"/>
    </font>
    <font>
      <b/>
      <sz val="14"/>
      <name val="Times New Roman&quot;"/>
      <charset val="163"/>
    </font>
    <font>
      <sz val="14"/>
      <name val="Times New Roman&quot;"/>
      <charset val="163"/>
    </font>
    <font>
      <sz val="14"/>
      <name val="Arial Narrow"/>
      <family val="2"/>
      <charset val="163"/>
    </font>
    <font>
      <sz val="14"/>
      <name val="Calibri"/>
      <family val="2"/>
      <charset val="163"/>
    </font>
    <font>
      <i/>
      <sz val="14"/>
      <name val="Times New Roman"/>
      <family val="1"/>
      <charset val="163"/>
    </font>
    <font>
      <sz val="13"/>
      <name val=".VnArial Narrow"/>
      <family val="2"/>
      <charset val="163"/>
    </font>
    <font>
      <i/>
      <sz val="13"/>
      <name val="Times New Roman"/>
      <family val="1"/>
      <charset val="163"/>
    </font>
    <font>
      <b/>
      <i/>
      <sz val="11"/>
      <name val="Calibri"/>
      <family val="2"/>
      <scheme val="minor"/>
    </font>
    <font>
      <sz val="9"/>
      <name val="Times New Roman"/>
      <family val="1"/>
      <charset val="163"/>
    </font>
    <font>
      <sz val="11"/>
      <name val="Calibri"/>
      <family val="2"/>
      <charset val="163"/>
    </font>
    <font>
      <b/>
      <sz val="9"/>
      <name val="Times New Roman"/>
      <family val="1"/>
      <charset val="163"/>
    </font>
    <font>
      <b/>
      <sz val="13"/>
      <name val="Times New Roman"/>
      <family val="1"/>
      <charset val="163"/>
    </font>
    <font>
      <sz val="13"/>
      <name val="Times New Roman"/>
      <family val="1"/>
      <charset val="163"/>
    </font>
    <font>
      <b/>
      <sz val="11"/>
      <name val="Calibri"/>
      <family val="2"/>
      <charset val="163"/>
    </font>
    <font>
      <u/>
      <sz val="13"/>
      <name val="Times New Roman"/>
      <family val="1"/>
      <charset val="163"/>
    </font>
    <font>
      <sz val="11"/>
      <name val="Times New Roman"/>
      <family val="1"/>
      <charset val="163"/>
    </font>
  </fonts>
  <fills count="50">
    <fill>
      <patternFill patternType="none"/>
    </fill>
    <fill>
      <patternFill patternType="gray125"/>
    </fill>
    <fill>
      <patternFill patternType="solid">
        <fgColor indexed="2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65"/>
        <bgColor indexed="64"/>
      </patternFill>
    </fill>
    <fill>
      <patternFill patternType="solid">
        <fgColor indexed="40"/>
        <bgColor indexed="64"/>
      </patternFill>
    </fill>
    <fill>
      <patternFill patternType="solid">
        <fgColor indexed="43"/>
      </patternFill>
    </fill>
    <fill>
      <patternFill patternType="solid">
        <fgColor indexed="26"/>
      </patternFill>
    </fill>
    <fill>
      <patternFill patternType="darkVertical"/>
    </fill>
    <fill>
      <patternFill patternType="solid">
        <fgColor indexed="43"/>
        <bgColor indexed="64"/>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42"/>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44"/>
      </patternFill>
    </fill>
    <fill>
      <patternFill patternType="solid">
        <fgColor indexed="44"/>
        <bgColor indexed="64"/>
      </patternFill>
    </fill>
    <fill>
      <patternFill patternType="solid">
        <fgColor indexed="41"/>
        <bgColor indexed="64"/>
      </patternFill>
    </fill>
    <fill>
      <patternFill patternType="solid">
        <fgColor indexed="35"/>
        <bgColor indexed="64"/>
      </patternFill>
    </fill>
    <fill>
      <patternFill patternType="gray125">
        <fgColor indexed="35"/>
      </patternFill>
    </fill>
    <fill>
      <patternFill patternType="solid">
        <fgColor indexed="26"/>
        <bgColor indexed="9"/>
      </patternFill>
    </fill>
    <fill>
      <patternFill patternType="solid">
        <fgColor indexed="9"/>
        <bgColor indexed="10"/>
      </patternFill>
    </fill>
    <fill>
      <patternFill patternType="solid">
        <fgColor indexed="13"/>
        <bgColor indexed="64"/>
      </patternFill>
    </fill>
    <fill>
      <patternFill patternType="solid">
        <fgColor rgb="FFFFFF00"/>
        <bgColor indexed="64"/>
      </patternFill>
    </fill>
    <fill>
      <patternFill patternType="solid">
        <fgColor theme="0"/>
        <bgColor indexed="64"/>
      </patternFill>
    </fill>
  </fills>
  <borders count="116">
    <border>
      <left/>
      <right/>
      <top/>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64"/>
      </right>
      <top/>
      <bottom style="hair">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right/>
      <top/>
      <bottom style="double">
        <color indexed="52"/>
      </bottom>
      <diagonal/>
    </border>
    <border>
      <left style="thin">
        <color indexed="64"/>
      </left>
      <right style="thin">
        <color indexed="64"/>
      </right>
      <top style="thin">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thin">
        <color indexed="48"/>
      </bottom>
      <diagonal/>
    </border>
    <border>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bottom style="hair">
        <color indexed="64"/>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right/>
      <top/>
      <bottom style="hair">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8"/>
      </left>
      <right style="thin">
        <color indexed="8"/>
      </right>
      <top style="hair">
        <color indexed="8"/>
      </top>
      <bottom style="hair">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hair">
        <color indexed="8"/>
      </bottom>
      <diagonal/>
    </border>
    <border>
      <left style="thin">
        <color indexed="8"/>
      </left>
      <right style="thin">
        <color indexed="8"/>
      </right>
      <top style="hair">
        <color indexed="8"/>
      </top>
      <bottom style="thin">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hair">
        <color indexed="64"/>
      </bottom>
      <diagonal/>
    </border>
    <border>
      <left style="thin">
        <color indexed="64"/>
      </left>
      <right style="thin">
        <color indexed="64"/>
      </right>
      <top/>
      <bottom style="dotted">
        <color indexed="64"/>
      </bottom>
      <diagonal/>
    </border>
    <border>
      <left style="thin">
        <color indexed="64"/>
      </left>
      <right style="thin">
        <color indexed="64"/>
      </right>
      <top style="hair">
        <color indexed="64"/>
      </top>
      <bottom/>
      <diagonal/>
    </border>
    <border>
      <left style="thin">
        <color indexed="64"/>
      </left>
      <right style="thin">
        <color indexed="64"/>
      </right>
      <top style="dotted">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right/>
      <top/>
      <bottom style="thin">
        <color indexed="8"/>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auto="1"/>
      </left>
      <right style="thin">
        <color auto="1"/>
      </right>
      <top style="thin">
        <color auto="1"/>
      </top>
      <bottom style="hair">
        <color auto="1"/>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auto="1"/>
      </left>
      <right style="thin">
        <color auto="1"/>
      </right>
      <top style="thin">
        <color auto="1"/>
      </top>
      <bottom style="hair">
        <color auto="1"/>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auto="1"/>
      </left>
      <right style="thin">
        <color auto="1"/>
      </right>
      <top style="thin">
        <color auto="1"/>
      </top>
      <bottom style="hair">
        <color auto="1"/>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48"/>
      </left>
      <right style="thin">
        <color indexed="48"/>
      </right>
      <top style="thin">
        <color indexed="48"/>
      </top>
      <bottom style="thin">
        <color indexed="48"/>
      </bottom>
      <diagonal/>
    </border>
    <border>
      <left/>
      <right/>
      <top style="thin">
        <color indexed="48"/>
      </top>
      <bottom style="thin">
        <color indexed="48"/>
      </bottom>
      <diagonal/>
    </border>
    <border>
      <left style="thin">
        <color indexed="64"/>
      </left>
      <right/>
      <top style="thin">
        <color indexed="64"/>
      </top>
      <bottom style="thin">
        <color indexed="64"/>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thin">
        <color auto="1"/>
      </left>
      <right style="thin">
        <color auto="1"/>
      </right>
      <top style="thin">
        <color auto="1"/>
      </top>
      <bottom style="thin">
        <color auto="1"/>
      </bottom>
      <diagonal/>
    </border>
  </borders>
  <cellStyleXfs count="13418">
    <xf numFmtId="0" fontId="0" fillId="0" borderId="0"/>
    <xf numFmtId="189" fontId="54" fillId="0" borderId="0" applyFon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Protection="0"/>
    <xf numFmtId="3" fontId="81" fillId="0" borderId="1"/>
    <xf numFmtId="190" fontId="17" fillId="0" borderId="0" applyFont="0" applyFill="0" applyBorder="0" applyAlignment="0" applyProtection="0"/>
    <xf numFmtId="0" fontId="82" fillId="0" borderId="0" applyFont="0" applyFill="0" applyBorder="0" applyAlignment="0" applyProtection="0"/>
    <xf numFmtId="191" fontId="17" fillId="0" borderId="0" applyFont="0" applyFill="0" applyBorder="0" applyAlignment="0" applyProtection="0"/>
    <xf numFmtId="0" fontId="17" fillId="0" borderId="0" applyNumberFormat="0" applyFill="0" applyBorder="0" applyAlignment="0" applyProtection="0"/>
    <xf numFmtId="0" fontId="83" fillId="0" borderId="0" applyFont="0" applyFill="0" applyBorder="0" applyAlignment="0" applyProtection="0"/>
    <xf numFmtId="192" fontId="18" fillId="0" borderId="0" applyFont="0" applyFill="0" applyBorder="0" applyAlignment="0" applyProtection="0"/>
    <xf numFmtId="165" fontId="84" fillId="0" borderId="0" applyFont="0" applyFill="0" applyBorder="0" applyAlignment="0" applyProtection="0"/>
    <xf numFmtId="167" fontId="84" fillId="0" borderId="0" applyFont="0" applyFill="0" applyBorder="0" applyAlignment="0" applyProtection="0"/>
    <xf numFmtId="6" fontId="85" fillId="0" borderId="0" applyFont="0" applyFill="0" applyBorder="0" applyAlignment="0" applyProtection="0"/>
    <xf numFmtId="0" fontId="86" fillId="0" borderId="0" applyFont="0" applyFill="0" applyBorder="0" applyAlignment="0" applyProtection="0"/>
    <xf numFmtId="0" fontId="17" fillId="0" borderId="0" applyFont="0" applyFill="0" applyBorder="0" applyAlignment="0" applyProtection="0"/>
    <xf numFmtId="0" fontId="17" fillId="0" borderId="0" applyFont="0" applyFill="0" applyBorder="0" applyAlignment="0" applyProtection="0"/>
    <xf numFmtId="0" fontId="87" fillId="0" borderId="0"/>
    <xf numFmtId="0" fontId="17" fillId="0" borderId="0" applyNumberFormat="0" applyFill="0" applyBorder="0" applyAlignment="0" applyProtection="0"/>
    <xf numFmtId="193" fontId="88" fillId="0" borderId="0" applyFont="0" applyFill="0" applyBorder="0" applyAlignment="0" applyProtection="0"/>
    <xf numFmtId="193" fontId="88" fillId="0" borderId="0" applyFont="0" applyFill="0" applyBorder="0" applyAlignment="0" applyProtection="0"/>
    <xf numFmtId="0" fontId="89" fillId="0" borderId="0"/>
    <xf numFmtId="0" fontId="89" fillId="0" borderId="0"/>
    <xf numFmtId="0" fontId="89" fillId="0" borderId="0"/>
    <xf numFmtId="194" fontId="7"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90" fillId="0" borderId="0"/>
    <xf numFmtId="0" fontId="89" fillId="0" borderId="0"/>
    <xf numFmtId="193" fontId="88" fillId="0" borderId="0" applyFont="0" applyFill="0" applyBorder="0" applyAlignment="0" applyProtection="0"/>
    <xf numFmtId="189" fontId="54" fillId="0" borderId="0" applyFont="0" applyFill="0" applyBorder="0" applyAlignment="0" applyProtection="0"/>
    <xf numFmtId="167" fontId="54" fillId="0" borderId="0" applyFont="0" applyFill="0" applyBorder="0" applyAlignment="0" applyProtection="0"/>
    <xf numFmtId="0" fontId="88" fillId="0" borderId="0" applyFont="0" applyFill="0" applyBorder="0" applyAlignment="0" applyProtection="0"/>
    <xf numFmtId="165" fontId="54" fillId="0" borderId="0" applyFont="0" applyFill="0" applyBorder="0" applyAlignment="0" applyProtection="0"/>
    <xf numFmtId="193" fontId="88" fillId="0" borderId="0" applyFont="0" applyFill="0" applyBorder="0" applyAlignment="0" applyProtection="0"/>
    <xf numFmtId="0" fontId="88" fillId="0" borderId="0" applyFont="0" applyFill="0" applyBorder="0" applyAlignment="0" applyProtection="0"/>
    <xf numFmtId="167" fontId="54" fillId="0" borderId="0" applyFont="0" applyFill="0" applyBorder="0" applyAlignment="0" applyProtection="0"/>
    <xf numFmtId="194" fontId="88" fillId="0" borderId="0" applyFont="0" applyFill="0" applyBorder="0" applyAlignment="0" applyProtection="0"/>
    <xf numFmtId="165" fontId="54" fillId="0" borderId="0" applyFont="0" applyFill="0" applyBorder="0" applyAlignment="0" applyProtection="0"/>
    <xf numFmtId="167" fontId="54" fillId="0" borderId="0" applyFont="0" applyFill="0" applyBorder="0" applyAlignment="0" applyProtection="0"/>
    <xf numFmtId="194" fontId="88" fillId="0" borderId="0" applyFont="0" applyFill="0" applyBorder="0" applyAlignment="0" applyProtection="0"/>
    <xf numFmtId="0" fontId="88" fillId="0" borderId="0" applyFont="0" applyFill="0" applyBorder="0" applyAlignment="0" applyProtection="0"/>
    <xf numFmtId="165" fontId="54" fillId="0" borderId="0" applyFont="0" applyFill="0" applyBorder="0" applyAlignment="0" applyProtection="0"/>
    <xf numFmtId="189" fontId="54" fillId="0" borderId="0" applyFont="0" applyFill="0" applyBorder="0" applyAlignment="0" applyProtection="0"/>
    <xf numFmtId="0" fontId="91" fillId="0" borderId="0"/>
    <xf numFmtId="165" fontId="54" fillId="0" borderId="0" applyFont="0" applyFill="0" applyBorder="0" applyAlignment="0" applyProtection="0"/>
    <xf numFmtId="194" fontId="88" fillId="0" borderId="0" applyFont="0" applyFill="0" applyBorder="0" applyAlignment="0" applyProtection="0"/>
    <xf numFmtId="0" fontId="88" fillId="0" borderId="0" applyFont="0" applyFill="0" applyBorder="0" applyAlignment="0" applyProtection="0"/>
    <xf numFmtId="189" fontId="54" fillId="0" borderId="0" applyFont="0" applyFill="0" applyBorder="0" applyAlignment="0" applyProtection="0"/>
    <xf numFmtId="167" fontId="54" fillId="0" borderId="0" applyFont="0" applyFill="0" applyBorder="0" applyAlignment="0" applyProtection="0"/>
    <xf numFmtId="195" fontId="92" fillId="0" borderId="0" applyFont="0" applyFill="0" applyBorder="0" applyAlignment="0" applyProtection="0"/>
    <xf numFmtId="0" fontId="17" fillId="0" borderId="0"/>
    <xf numFmtId="0" fontId="17" fillId="0" borderId="0"/>
    <xf numFmtId="0" fontId="93" fillId="0" borderId="0"/>
    <xf numFmtId="0" fontId="17" fillId="0" borderId="0"/>
    <xf numFmtId="1" fontId="94" fillId="0" borderId="1" applyBorder="0" applyAlignment="0">
      <alignment horizontal="center"/>
    </xf>
    <xf numFmtId="3" fontId="81" fillId="0" borderId="1"/>
    <xf numFmtId="3" fontId="81" fillId="0" borderId="1"/>
    <xf numFmtId="195" fontId="92" fillId="0" borderId="0" applyFont="0" applyFill="0" applyBorder="0" applyAlignment="0" applyProtection="0"/>
    <xf numFmtId="195" fontId="92" fillId="0" borderId="0" applyFont="0" applyFill="0" applyBorder="0" applyAlignment="0" applyProtection="0"/>
    <xf numFmtId="195" fontId="92" fillId="0" borderId="0" applyFont="0" applyFill="0" applyBorder="0" applyAlignment="0" applyProtection="0"/>
    <xf numFmtId="195" fontId="92" fillId="0" borderId="0" applyFont="0" applyFill="0" applyBorder="0" applyAlignment="0" applyProtection="0"/>
    <xf numFmtId="0" fontId="95" fillId="2" borderId="0"/>
    <xf numFmtId="0" fontId="95" fillId="2" borderId="0"/>
    <xf numFmtId="0" fontId="95" fillId="2" borderId="0"/>
    <xf numFmtId="0" fontId="96" fillId="2" borderId="0"/>
    <xf numFmtId="9" fontId="97" fillId="0" borderId="0" applyBorder="0" applyAlignment="0" applyProtection="0"/>
    <xf numFmtId="0" fontId="98" fillId="2" borderId="0"/>
    <xf numFmtId="0" fontId="96" fillId="2" borderId="0"/>
    <xf numFmtId="0" fontId="7" fillId="0" borderId="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3"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4"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5"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7"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60" fillId="8" borderId="0" applyNumberFormat="0" applyBorder="0" applyAlignment="0" applyProtection="0"/>
    <xf numFmtId="0" fontId="99" fillId="2" borderId="0"/>
    <xf numFmtId="0" fontId="96" fillId="2" borderId="0"/>
    <xf numFmtId="0" fontId="100" fillId="0" borderId="0">
      <alignment wrapText="1"/>
    </xf>
    <xf numFmtId="0" fontId="96" fillId="0" borderId="0">
      <alignment wrapText="1"/>
    </xf>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0"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11"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6"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9"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60" fillId="12" borderId="0" applyNumberFormat="0" applyBorder="0" applyAlignment="0" applyProtection="0"/>
    <xf numFmtId="0" fontId="18" fillId="0" borderId="0"/>
    <xf numFmtId="0" fontId="61" fillId="13" borderId="0" applyNumberFormat="0" applyBorder="0" applyAlignment="0" applyProtection="0"/>
    <xf numFmtId="0" fontId="61" fillId="10" borderId="0" applyNumberFormat="0" applyBorder="0" applyAlignment="0" applyProtection="0"/>
    <xf numFmtId="0" fontId="61" fillId="11"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16" borderId="0" applyNumberFormat="0" applyBorder="0" applyAlignment="0" applyProtection="0"/>
    <xf numFmtId="0" fontId="61" fillId="17" borderId="0" applyNumberFormat="0" applyBorder="0" applyAlignment="0" applyProtection="0"/>
    <xf numFmtId="0" fontId="61" fillId="18" borderId="0" applyNumberFormat="0" applyBorder="0" applyAlignment="0" applyProtection="0"/>
    <xf numFmtId="0" fontId="61" fillId="19" borderId="0" applyNumberFormat="0" applyBorder="0" applyAlignment="0" applyProtection="0"/>
    <xf numFmtId="0" fontId="61" fillId="14" borderId="0" applyNumberFormat="0" applyBorder="0" applyAlignment="0" applyProtection="0"/>
    <xf numFmtId="0" fontId="61" fillId="15" borderId="0" applyNumberFormat="0" applyBorder="0" applyAlignment="0" applyProtection="0"/>
    <xf numFmtId="0" fontId="61" fillId="20" borderId="0" applyNumberFormat="0" applyBorder="0" applyAlignment="0" applyProtection="0"/>
    <xf numFmtId="196" fontId="101" fillId="0" borderId="0" applyFont="0" applyFill="0" applyBorder="0" applyAlignment="0" applyProtection="0"/>
    <xf numFmtId="0" fontId="102" fillId="0" borderId="0" applyFont="0" applyFill="0" applyBorder="0" applyAlignment="0" applyProtection="0"/>
    <xf numFmtId="195" fontId="103" fillId="0" borderId="0" applyFont="0" applyFill="0" applyBorder="0" applyAlignment="0" applyProtection="0"/>
    <xf numFmtId="197" fontId="101" fillId="0" borderId="0" applyFont="0" applyFill="0" applyBorder="0" applyAlignment="0" applyProtection="0"/>
    <xf numFmtId="0" fontId="102" fillId="0" borderId="0" applyFont="0" applyFill="0" applyBorder="0" applyAlignment="0" applyProtection="0"/>
    <xf numFmtId="198" fontId="103" fillId="0" borderId="0" applyFont="0" applyFill="0" applyBorder="0" applyAlignment="0" applyProtection="0"/>
    <xf numFmtId="0" fontId="79" fillId="0" borderId="0">
      <alignment horizontal="center" wrapText="1"/>
      <protection locked="0"/>
    </xf>
    <xf numFmtId="199" fontId="104" fillId="0" borderId="0" applyFont="0" applyFill="0" applyBorder="0" applyAlignment="0" applyProtection="0"/>
    <xf numFmtId="0" fontId="102" fillId="0" borderId="0" applyFont="0" applyFill="0" applyBorder="0" applyAlignment="0" applyProtection="0"/>
    <xf numFmtId="199" fontId="103" fillId="0" borderId="0" applyFont="0" applyFill="0" applyBorder="0" applyAlignment="0" applyProtection="0"/>
    <xf numFmtId="200" fontId="104" fillId="0" borderId="0" applyFont="0" applyFill="0" applyBorder="0" applyAlignment="0" applyProtection="0"/>
    <xf numFmtId="0" fontId="102" fillId="0" borderId="0" applyFont="0" applyFill="0" applyBorder="0" applyAlignment="0" applyProtection="0"/>
    <xf numFmtId="200" fontId="103" fillId="0" borderId="0" applyFont="0" applyFill="0" applyBorder="0" applyAlignment="0" applyProtection="0"/>
    <xf numFmtId="189" fontId="54" fillId="0" borderId="0" applyFont="0" applyFill="0" applyBorder="0" applyAlignment="0" applyProtection="0"/>
    <xf numFmtId="0" fontId="62" fillId="4" borderId="0" applyNumberFormat="0" applyBorder="0" applyAlignment="0" applyProtection="0"/>
    <xf numFmtId="0" fontId="105" fillId="0" borderId="0" applyNumberFormat="0" applyFill="0" applyBorder="0" applyAlignment="0" applyProtection="0"/>
    <xf numFmtId="0" fontId="102" fillId="0" borderId="0"/>
    <xf numFmtId="0" fontId="48" fillId="0" borderId="0"/>
    <xf numFmtId="0" fontId="102" fillId="0" borderId="0"/>
    <xf numFmtId="0" fontId="106" fillId="0" borderId="0"/>
    <xf numFmtId="0" fontId="107" fillId="0" borderId="0"/>
    <xf numFmtId="0" fontId="108" fillId="0" borderId="0"/>
    <xf numFmtId="188" fontId="109" fillId="0" borderId="0" applyFill="0" applyBorder="0" applyAlignment="0"/>
    <xf numFmtId="201" fontId="110" fillId="0" borderId="0" applyFill="0" applyBorder="0" applyAlignment="0"/>
    <xf numFmtId="202" fontId="110" fillId="0" borderId="0" applyFill="0" applyBorder="0" applyAlignment="0"/>
    <xf numFmtId="203" fontId="110" fillId="0" borderId="0" applyFill="0" applyBorder="0" applyAlignment="0"/>
    <xf numFmtId="204" fontId="109" fillId="0" borderId="0" applyFill="0" applyBorder="0" applyAlignment="0"/>
    <xf numFmtId="205" fontId="110" fillId="0" borderId="0" applyFill="0" applyBorder="0" applyAlignment="0"/>
    <xf numFmtId="206" fontId="110" fillId="0" borderId="0" applyFill="0" applyBorder="0" applyAlignment="0"/>
    <xf numFmtId="201" fontId="110" fillId="0" borderId="0" applyFill="0" applyBorder="0" applyAlignment="0"/>
    <xf numFmtId="0" fontId="63" fillId="21" borderId="2" applyNumberFormat="0" applyAlignment="0" applyProtection="0"/>
    <xf numFmtId="0" fontId="111" fillId="0" borderId="0"/>
    <xf numFmtId="0" fontId="64" fillId="22" borderId="3" applyNumberFormat="0" applyAlignment="0" applyProtection="0"/>
    <xf numFmtId="171" fontId="115" fillId="0" borderId="0" applyFont="0" applyFill="0" applyBorder="0" applyAlignment="0" applyProtection="0"/>
    <xf numFmtId="0" fontId="17" fillId="0" borderId="0"/>
    <xf numFmtId="0" fontId="36" fillId="0" borderId="0"/>
    <xf numFmtId="0" fontId="36" fillId="0" borderId="0"/>
    <xf numFmtId="0" fontId="36" fillId="0" borderId="0"/>
    <xf numFmtId="0" fontId="36" fillId="0" borderId="0"/>
    <xf numFmtId="0" fontId="36" fillId="0" borderId="0"/>
    <xf numFmtId="0" fontId="7" fillId="0" borderId="0"/>
    <xf numFmtId="0" fontId="7" fillId="0" borderId="0"/>
    <xf numFmtId="43" fontId="57" fillId="0" borderId="0" applyFont="0" applyFill="0" applyBorder="0" applyAlignment="0" applyProtection="0"/>
    <xf numFmtId="207" fontId="112" fillId="0" borderId="0"/>
    <xf numFmtId="207" fontId="112" fillId="0" borderId="0"/>
    <xf numFmtId="207" fontId="112" fillId="0" borderId="0"/>
    <xf numFmtId="207" fontId="112" fillId="0" borderId="0"/>
    <xf numFmtId="207" fontId="112" fillId="0" borderId="0"/>
    <xf numFmtId="207" fontId="112" fillId="0" borderId="0"/>
    <xf numFmtId="207" fontId="112" fillId="0" borderId="0"/>
    <xf numFmtId="207" fontId="112" fillId="0" borderId="0"/>
    <xf numFmtId="41" fontId="57" fillId="0" borderId="0" applyFont="0" applyFill="0" applyBorder="0" applyAlignment="0" applyProtection="0"/>
    <xf numFmtId="168" fontId="2"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17" fillId="0" borderId="0" applyFont="0" applyFill="0" applyBorder="0" applyAlignment="0" applyProtection="0"/>
    <xf numFmtId="205" fontId="110"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2"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167" fontId="36" fillId="0" borderId="0" applyFont="0" applyFill="0" applyBorder="0" applyAlignment="0" applyProtection="0"/>
    <xf numFmtId="43" fontId="17" fillId="0" borderId="0" applyFont="0" applyFill="0" applyBorder="0" applyAlignment="0" applyProtection="0"/>
    <xf numFmtId="0" fontId="36" fillId="0" borderId="0" applyFont="0" applyFill="0" applyBorder="0" applyAlignment="0" applyProtection="0"/>
    <xf numFmtId="43" fontId="38" fillId="0" borderId="0" applyFont="0" applyFill="0" applyBorder="0" applyAlignment="0" applyProtection="0"/>
    <xf numFmtId="43" fontId="8" fillId="0" borderId="0" applyFont="0" applyFill="0" applyBorder="0" applyAlignment="0" applyProtection="0"/>
    <xf numFmtId="193" fontId="36"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166" fillId="0" borderId="0" applyFont="0" applyFill="0" applyBorder="0" applyAlignment="0" applyProtection="0"/>
    <xf numFmtId="167" fontId="36" fillId="0" borderId="0" applyFont="0" applyFill="0" applyBorder="0" applyAlignment="0" applyProtection="0"/>
    <xf numFmtId="208" fontId="36" fillId="0" borderId="0" applyFont="0" applyFill="0" applyBorder="0" applyAlignment="0" applyProtection="0"/>
    <xf numFmtId="208" fontId="36" fillId="0" borderId="0" applyFont="0" applyFill="0" applyBorder="0" applyAlignment="0" applyProtection="0"/>
    <xf numFmtId="208" fontId="36" fillId="0" borderId="0" applyFont="0" applyFill="0" applyBorder="0" applyAlignment="0" applyProtection="0"/>
    <xf numFmtId="208" fontId="36" fillId="0" borderId="0" applyFont="0" applyFill="0" applyBorder="0" applyAlignment="0" applyProtection="0"/>
    <xf numFmtId="208" fontId="36" fillId="0" borderId="0" applyFont="0" applyFill="0" applyBorder="0" applyAlignment="0" applyProtection="0"/>
    <xf numFmtId="43" fontId="8" fillId="0" borderId="0" applyFont="0" applyFill="0" applyBorder="0" applyAlignment="0" applyProtection="0"/>
    <xf numFmtId="208" fontId="36" fillId="0" borderId="0" applyFont="0" applyFill="0" applyBorder="0" applyAlignment="0" applyProtection="0"/>
    <xf numFmtId="201"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7" fontId="36" fillId="0" borderId="0" applyFont="0" applyFill="0" applyBorder="0" applyAlignment="0" applyProtection="0"/>
    <xf numFmtId="169" fontId="2" fillId="0" borderId="0" applyFont="0" applyFill="0" applyBorder="0" applyAlignment="0" applyProtection="0"/>
    <xf numFmtId="43" fontId="8"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8" fontId="17"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43" fontId="17" fillId="0" borderId="0" applyFont="0" applyFill="0" applyBorder="0" applyAlignment="0" applyProtection="0"/>
    <xf numFmtId="43" fontId="8"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17" fillId="0" borderId="0" applyFont="0" applyFill="0" applyBorder="0" applyAlignment="0" applyProtection="0"/>
    <xf numFmtId="206" fontId="17" fillId="0" borderId="0" applyFont="0" applyFill="0" applyBorder="0" applyAlignment="0" applyProtection="0"/>
    <xf numFmtId="0" fontId="36" fillId="0" borderId="0" applyFont="0" applyFill="0" applyBorder="0" applyAlignment="0" applyProtection="0"/>
    <xf numFmtId="43" fontId="38" fillId="0" borderId="0" applyFont="0" applyFill="0" applyBorder="0" applyAlignment="0" applyProtection="0"/>
    <xf numFmtId="209" fontId="17" fillId="0" borderId="0" applyFont="0" applyFill="0" applyBorder="0" applyAlignment="0" applyProtection="0"/>
    <xf numFmtId="200" fontId="36" fillId="0" borderId="0" applyFont="0" applyFill="0" applyBorder="0" applyAlignment="0" applyProtection="0"/>
    <xf numFmtId="188" fontId="36" fillId="0" borderId="0" applyFont="0" applyFill="0" applyBorder="0" applyAlignment="0" applyProtection="0"/>
    <xf numFmtId="234" fontId="36" fillId="0" borderId="0" applyFont="0" applyFill="0" applyBorder="0" applyAlignment="0" applyProtection="0"/>
    <xf numFmtId="188" fontId="36" fillId="0" borderId="0" applyFont="0" applyFill="0" applyBorder="0" applyAlignment="0" applyProtection="0"/>
    <xf numFmtId="184" fontId="36"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7" fillId="0" borderId="0" applyFont="0" applyFill="0" applyBorder="0" applyAlignment="0" applyProtection="0"/>
    <xf numFmtId="184" fontId="36" fillId="0" borderId="0" applyFont="0" applyFill="0" applyBorder="0" applyAlignment="0" applyProtection="0"/>
    <xf numFmtId="184" fontId="36" fillId="0" borderId="0" applyFont="0" applyFill="0" applyBorder="0" applyAlignment="0" applyProtection="0"/>
    <xf numFmtId="184" fontId="36" fillId="0" borderId="0" applyFont="0" applyFill="0" applyBorder="0" applyAlignment="0" applyProtection="0"/>
    <xf numFmtId="184" fontId="36" fillId="0" borderId="0" applyFont="0" applyFill="0" applyBorder="0" applyAlignment="0" applyProtection="0"/>
    <xf numFmtId="184" fontId="36" fillId="0" borderId="0" applyFont="0" applyFill="0" applyBorder="0" applyAlignment="0" applyProtection="0"/>
    <xf numFmtId="184" fontId="36" fillId="0" borderId="0" applyFont="0" applyFill="0" applyBorder="0" applyAlignment="0" applyProtection="0"/>
    <xf numFmtId="184" fontId="36" fillId="0" borderId="0" applyFont="0" applyFill="0" applyBorder="0" applyAlignment="0" applyProtection="0"/>
    <xf numFmtId="43" fontId="10"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4" fontId="4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43" fontId="6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169" fontId="4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13" fillId="0" borderId="0" applyFont="0" applyFill="0" applyBorder="0" applyAlignment="0" applyProtection="0"/>
    <xf numFmtId="43" fontId="17" fillId="0" borderId="0" applyFont="0" applyFill="0" applyBorder="0" applyAlignment="0" applyProtection="0"/>
    <xf numFmtId="169" fontId="4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09" fillId="0" borderId="0" applyFont="0" applyFill="0" applyBorder="0" applyAlignment="0" applyProtection="0"/>
    <xf numFmtId="0" fontId="36"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56" fillId="0" borderId="0" applyFont="0" applyFill="0" applyBorder="0" applyAlignment="0" applyProtection="0"/>
    <xf numFmtId="0" fontId="8" fillId="0" borderId="0" applyFont="0" applyFill="0" applyBorder="0" applyAlignment="0" applyProtection="0"/>
    <xf numFmtId="200" fontId="36" fillId="0" borderId="0" applyFont="0" applyFill="0" applyBorder="0" applyAlignment="0" applyProtection="0"/>
    <xf numFmtId="210" fontId="89" fillId="0" borderId="0"/>
    <xf numFmtId="3" fontId="17" fillId="0" borderId="0" applyFont="0" applyFill="0" applyBorder="0" applyAlignment="0" applyProtection="0"/>
    <xf numFmtId="0" fontId="114" fillId="0" borderId="0" applyNumberFormat="0" applyAlignment="0">
      <alignment horizontal="left"/>
    </xf>
    <xf numFmtId="201" fontId="110" fillId="0" borderId="0" applyFont="0" applyFill="0" applyBorder="0" applyAlignment="0" applyProtection="0"/>
    <xf numFmtId="44" fontId="17" fillId="0" borderId="0" applyFont="0" applyFill="0" applyBorder="0" applyAlignment="0" applyProtection="0"/>
    <xf numFmtId="178" fontId="17" fillId="0" borderId="0" applyFont="0" applyFill="0" applyBorder="0" applyAlignment="0" applyProtection="0"/>
    <xf numFmtId="178" fontId="17" fillId="0" borderId="0" applyFont="0" applyFill="0" applyBorder="0" applyAlignment="0" applyProtection="0"/>
    <xf numFmtId="166" fontId="7" fillId="0" borderId="0" applyFont="0" applyFill="0" applyBorder="0" applyAlignment="0" applyProtection="0"/>
    <xf numFmtId="211" fontId="54" fillId="0" borderId="0" applyFont="0" applyFill="0" applyBorder="0" applyAlignment="0" applyProtection="0"/>
    <xf numFmtId="212" fontId="89" fillId="0" borderId="0"/>
    <xf numFmtId="0" fontId="17" fillId="0" borderId="0" applyFont="0" applyFill="0" applyBorder="0" applyAlignment="0" applyProtection="0"/>
    <xf numFmtId="14" fontId="53" fillId="0" borderId="0" applyFill="0" applyBorder="0" applyAlignment="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7" fontId="36" fillId="0" borderId="0" applyFont="0" applyFill="0" applyBorder="0" applyAlignment="0" applyProtection="0"/>
    <xf numFmtId="213" fontId="89" fillId="0" borderId="0" applyFont="0" applyFill="0" applyBorder="0" applyAlignment="0" applyProtection="0"/>
    <xf numFmtId="214" fontId="89" fillId="0" borderId="0" applyFont="0" applyFill="0" applyBorder="0" applyAlignment="0" applyProtection="0"/>
    <xf numFmtId="215" fontId="89" fillId="0" borderId="0"/>
    <xf numFmtId="165" fontId="116" fillId="0" borderId="0" applyFont="0" applyFill="0" applyBorder="0" applyAlignment="0" applyProtection="0"/>
    <xf numFmtId="167" fontId="116" fillId="0" borderId="0" applyFont="0" applyFill="0" applyBorder="0" applyAlignment="0" applyProtection="0"/>
    <xf numFmtId="165" fontId="116" fillId="0" borderId="0" applyFont="0" applyFill="0" applyBorder="0" applyAlignment="0" applyProtection="0"/>
    <xf numFmtId="41" fontId="116" fillId="0" borderId="0" applyFont="0" applyFill="0" applyBorder="0" applyAlignment="0" applyProtection="0"/>
    <xf numFmtId="165" fontId="116" fillId="0" borderId="0" applyFont="0" applyFill="0" applyBorder="0" applyAlignment="0" applyProtection="0"/>
    <xf numFmtId="165"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165" fontId="116" fillId="0" borderId="0" applyFont="0" applyFill="0" applyBorder="0" applyAlignment="0" applyProtection="0"/>
    <xf numFmtId="165" fontId="116" fillId="0" borderId="0" applyFont="0" applyFill="0" applyBorder="0" applyAlignment="0" applyProtection="0"/>
    <xf numFmtId="165" fontId="116" fillId="0" borderId="0" applyFont="0" applyFill="0" applyBorder="0" applyAlignment="0" applyProtection="0"/>
    <xf numFmtId="41" fontId="116" fillId="0" borderId="0" applyFont="0" applyFill="0" applyBorder="0" applyAlignment="0" applyProtection="0"/>
    <xf numFmtId="41" fontId="116" fillId="0" borderId="0" applyFont="0" applyFill="0" applyBorder="0" applyAlignment="0" applyProtection="0"/>
    <xf numFmtId="168" fontId="116" fillId="0" borderId="0" applyFont="0" applyFill="0" applyBorder="0" applyAlignment="0" applyProtection="0"/>
    <xf numFmtId="168" fontId="116" fillId="0" borderId="0" applyFont="0" applyFill="0" applyBorder="0" applyAlignment="0" applyProtection="0"/>
    <xf numFmtId="41" fontId="116" fillId="0" borderId="0" applyFont="0" applyFill="0" applyBorder="0" applyAlignment="0" applyProtection="0"/>
    <xf numFmtId="167" fontId="116" fillId="0" borderId="0" applyFont="0" applyFill="0" applyBorder="0" applyAlignment="0" applyProtection="0"/>
    <xf numFmtId="43" fontId="116" fillId="0" borderId="0" applyFont="0" applyFill="0" applyBorder="0" applyAlignment="0" applyProtection="0"/>
    <xf numFmtId="167" fontId="116" fillId="0" borderId="0" applyFont="0" applyFill="0" applyBorder="0" applyAlignment="0" applyProtection="0"/>
    <xf numFmtId="167"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167" fontId="116" fillId="0" borderId="0" applyFont="0" applyFill="0" applyBorder="0" applyAlignment="0" applyProtection="0"/>
    <xf numFmtId="167" fontId="116" fillId="0" borderId="0" applyFont="0" applyFill="0" applyBorder="0" applyAlignment="0" applyProtection="0"/>
    <xf numFmtId="167" fontId="116" fillId="0" borderId="0" applyFont="0" applyFill="0" applyBorder="0" applyAlignment="0" applyProtection="0"/>
    <xf numFmtId="43" fontId="116" fillId="0" borderId="0" applyFont="0" applyFill="0" applyBorder="0" applyAlignment="0" applyProtection="0"/>
    <xf numFmtId="43" fontId="116" fillId="0" borderId="0" applyFont="0" applyFill="0" applyBorder="0" applyAlignment="0" applyProtection="0"/>
    <xf numFmtId="169" fontId="116" fillId="0" borderId="0" applyFont="0" applyFill="0" applyBorder="0" applyAlignment="0" applyProtection="0"/>
    <xf numFmtId="169" fontId="116" fillId="0" borderId="0" applyFont="0" applyFill="0" applyBorder="0" applyAlignment="0" applyProtection="0"/>
    <xf numFmtId="43" fontId="116" fillId="0" borderId="0" applyFont="0" applyFill="0" applyBorder="0" applyAlignment="0" applyProtection="0"/>
    <xf numFmtId="205" fontId="110" fillId="0" borderId="0" applyFill="0" applyBorder="0" applyAlignment="0"/>
    <xf numFmtId="201" fontId="110" fillId="0" borderId="0" applyFill="0" applyBorder="0" applyAlignment="0"/>
    <xf numFmtId="205" fontId="110" fillId="0" borderId="0" applyFill="0" applyBorder="0" applyAlignment="0"/>
    <xf numFmtId="206" fontId="110" fillId="0" borderId="0" applyFill="0" applyBorder="0" applyAlignment="0"/>
    <xf numFmtId="201" fontId="110" fillId="0" borderId="0" applyFill="0" applyBorder="0" applyAlignment="0"/>
    <xf numFmtId="0" fontId="117" fillId="0" borderId="0" applyNumberFormat="0" applyAlignment="0">
      <alignment horizontal="left"/>
    </xf>
    <xf numFmtId="216" fontId="7" fillId="0" borderId="0" applyFont="0" applyFill="0" applyBorder="0" applyAlignment="0" applyProtection="0"/>
    <xf numFmtId="0" fontId="118" fillId="0" borderId="0"/>
    <xf numFmtId="0" fontId="66" fillId="0" borderId="0" applyNumberFormat="0" applyFill="0" applyBorder="0" applyAlignment="0" applyProtection="0"/>
    <xf numFmtId="0" fontId="17" fillId="0" borderId="0"/>
    <xf numFmtId="0" fontId="17" fillId="0" borderId="0"/>
    <xf numFmtId="2" fontId="17" fillId="0" borderId="0" applyFont="0" applyFill="0" applyBorder="0" applyAlignment="0" applyProtection="0"/>
    <xf numFmtId="0" fontId="67" fillId="5" borderId="0" applyNumberFormat="0" applyBorder="0" applyAlignment="0" applyProtection="0"/>
    <xf numFmtId="38" fontId="119" fillId="23" borderId="0" applyNumberFormat="0" applyBorder="0" applyAlignment="0" applyProtection="0"/>
    <xf numFmtId="217" fontId="120" fillId="0" borderId="4" applyFont="0" applyFill="0" applyBorder="0" applyAlignment="0" applyProtection="0">
      <alignment horizontal="right"/>
    </xf>
    <xf numFmtId="0" fontId="121" fillId="24" borderId="0"/>
    <xf numFmtId="0" fontId="122" fillId="0" borderId="0">
      <alignment horizontal="left"/>
    </xf>
    <xf numFmtId="0" fontId="123" fillId="0" borderId="5" applyNumberFormat="0" applyAlignment="0" applyProtection="0">
      <alignment horizontal="left" vertical="center"/>
    </xf>
    <xf numFmtId="0" fontId="123" fillId="0" borderId="6">
      <alignment horizontal="left" vertical="center"/>
    </xf>
    <xf numFmtId="0" fontId="68" fillId="0" borderId="7" applyNumberFormat="0" applyFill="0" applyAlignment="0" applyProtection="0"/>
    <xf numFmtId="0" fontId="69" fillId="0" borderId="8" applyNumberFormat="0" applyFill="0" applyAlignment="0" applyProtection="0"/>
    <xf numFmtId="0" fontId="70" fillId="0" borderId="9" applyNumberFormat="0" applyFill="0" applyAlignment="0" applyProtection="0"/>
    <xf numFmtId="0" fontId="70" fillId="0" borderId="0" applyNumberFormat="0" applyFill="0" applyBorder="0" applyAlignment="0" applyProtection="0"/>
    <xf numFmtId="0" fontId="124" fillId="0" borderId="0" applyProtection="0"/>
    <xf numFmtId="0" fontId="123" fillId="0" borderId="0" applyProtection="0"/>
    <xf numFmtId="0" fontId="125" fillId="0" borderId="10">
      <alignment horizontal="center"/>
    </xf>
    <xf numFmtId="0" fontId="125" fillId="0" borderId="0">
      <alignment horizontal="center"/>
    </xf>
    <xf numFmtId="5" fontId="126" fillId="25" borderId="1" applyNumberFormat="0" applyAlignment="0">
      <alignment horizontal="left" vertical="top"/>
    </xf>
    <xf numFmtId="49" fontId="127" fillId="0" borderId="1">
      <alignment vertical="center"/>
    </xf>
    <xf numFmtId="0" fontId="8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194" fontId="88" fillId="0" borderId="0" applyFont="0" applyFill="0" applyBorder="0" applyAlignment="0" applyProtection="0"/>
    <xf numFmtId="10" fontId="119" fillId="23" borderId="1" applyNumberFormat="0" applyBorder="0" applyAlignment="0" applyProtection="0"/>
    <xf numFmtId="0" fontId="71" fillId="8" borderId="2" applyNumberFormat="0" applyAlignment="0" applyProtection="0"/>
    <xf numFmtId="0" fontId="7" fillId="0" borderId="0"/>
    <xf numFmtId="0" fontId="8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9" fillId="0" borderId="0"/>
    <xf numFmtId="0" fontId="2" fillId="0" borderId="0"/>
    <xf numFmtId="205" fontId="110" fillId="0" borderId="0" applyFill="0" applyBorder="0" applyAlignment="0"/>
    <xf numFmtId="201" fontId="110" fillId="0" borderId="0" applyFill="0" applyBorder="0" applyAlignment="0"/>
    <xf numFmtId="205" fontId="110" fillId="0" borderId="0" applyFill="0" applyBorder="0" applyAlignment="0"/>
    <xf numFmtId="206" fontId="110" fillId="0" borderId="0" applyFill="0" applyBorder="0" applyAlignment="0"/>
    <xf numFmtId="201" fontId="110" fillId="0" borderId="0" applyFill="0" applyBorder="0" applyAlignment="0"/>
    <xf numFmtId="0" fontId="72" fillId="0" borderId="11" applyNumberFormat="0" applyFill="0" applyAlignment="0" applyProtection="0"/>
    <xf numFmtId="38" fontId="89" fillId="0" borderId="0" applyFont="0" applyFill="0" applyBorder="0" applyAlignment="0" applyProtection="0"/>
    <xf numFmtId="4" fontId="110" fillId="0" borderId="0" applyFont="0" applyFill="0" applyBorder="0" applyAlignment="0" applyProtection="0"/>
    <xf numFmtId="38" fontId="89" fillId="0" borderId="0" applyFont="0" applyFill="0" applyBorder="0" applyAlignment="0" applyProtection="0"/>
    <xf numFmtId="40" fontId="89" fillId="0" borderId="0" applyFont="0" applyFill="0" applyBorder="0" applyAlignment="0" applyProtection="0"/>
    <xf numFmtId="165" fontId="109" fillId="0" borderId="0" applyFont="0" applyFill="0" applyBorder="0" applyAlignment="0" applyProtection="0"/>
    <xf numFmtId="167" fontId="109" fillId="0" borderId="0" applyFont="0" applyFill="0" applyBorder="0" applyAlignment="0" applyProtection="0"/>
    <xf numFmtId="0" fontId="130" fillId="0" borderId="10"/>
    <xf numFmtId="218" fontId="18" fillId="0" borderId="12"/>
    <xf numFmtId="219" fontId="89" fillId="0" borderId="0" applyFont="0" applyFill="0" applyBorder="0" applyAlignment="0" applyProtection="0"/>
    <xf numFmtId="220" fontId="89" fillId="0" borderId="0" applyFont="0" applyFill="0" applyBorder="0" applyAlignment="0" applyProtection="0"/>
    <xf numFmtId="221" fontId="109" fillId="0" borderId="0" applyFont="0" applyFill="0" applyBorder="0" applyAlignment="0" applyProtection="0"/>
    <xf numFmtId="222" fontId="109" fillId="0" borderId="0" applyFont="0" applyFill="0" applyBorder="0" applyAlignment="0" applyProtection="0"/>
    <xf numFmtId="0" fontId="129" fillId="0" borderId="0" applyNumberFormat="0" applyFont="0" applyFill="0" applyAlignment="0"/>
    <xf numFmtId="0" fontId="73" fillId="26" borderId="0" applyNumberFormat="0" applyBorder="0" applyAlignment="0" applyProtection="0"/>
    <xf numFmtId="0" fontId="5" fillId="0" borderId="0"/>
    <xf numFmtId="37" fontId="131" fillId="0" borderId="0"/>
    <xf numFmtId="0" fontId="109" fillId="0" borderId="0"/>
    <xf numFmtId="0" fontId="36" fillId="0" borderId="0"/>
    <xf numFmtId="0" fontId="11" fillId="0" borderId="0"/>
    <xf numFmtId="0" fontId="65" fillId="0" borderId="0"/>
    <xf numFmtId="0" fontId="36" fillId="0" borderId="0"/>
    <xf numFmtId="0" fontId="36" fillId="0" borderId="0"/>
    <xf numFmtId="0" fontId="36" fillId="0" borderId="0"/>
    <xf numFmtId="0" fontId="36" fillId="0" borderId="0"/>
    <xf numFmtId="0" fontId="36" fillId="0" borderId="0"/>
    <xf numFmtId="0" fontId="65" fillId="0" borderId="0"/>
    <xf numFmtId="0" fontId="65" fillId="0" borderId="0"/>
    <xf numFmtId="0" fontId="65" fillId="0" borderId="0"/>
    <xf numFmtId="0" fontId="65" fillId="0" borderId="0"/>
    <xf numFmtId="0" fontId="11" fillId="0" borderId="0"/>
    <xf numFmtId="0" fontId="11" fillId="0" borderId="0"/>
    <xf numFmtId="0" fontId="11" fillId="0" borderId="0"/>
    <xf numFmtId="0" fontId="11" fillId="0" borderId="0"/>
    <xf numFmtId="0" fontId="36" fillId="0" borderId="0"/>
    <xf numFmtId="0" fontId="36" fillId="0" borderId="0"/>
    <xf numFmtId="0" fontId="167" fillId="0" borderId="0"/>
    <xf numFmtId="0" fontId="167" fillId="0" borderId="0"/>
    <xf numFmtId="0" fontId="7" fillId="0" borderId="0"/>
    <xf numFmtId="0" fontId="7" fillId="0" borderId="0"/>
    <xf numFmtId="0" fontId="7" fillId="0" borderId="0"/>
    <xf numFmtId="0" fontId="7" fillId="0" borderId="0"/>
    <xf numFmtId="0" fontId="7" fillId="0" borderId="0"/>
    <xf numFmtId="0" fontId="168" fillId="0" borderId="0"/>
    <xf numFmtId="0" fontId="8" fillId="0" borderId="0"/>
    <xf numFmtId="0" fontId="8" fillId="0" borderId="0"/>
    <xf numFmtId="0" fontId="17" fillId="0" borderId="0"/>
    <xf numFmtId="0" fontId="17" fillId="0" borderId="0"/>
    <xf numFmtId="0" fontId="42" fillId="0" borderId="0"/>
    <xf numFmtId="0" fontId="36"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29" fillId="0" borderId="0"/>
    <xf numFmtId="0" fontId="169" fillId="0" borderId="0"/>
    <xf numFmtId="0" fontId="169" fillId="0" borderId="0"/>
    <xf numFmtId="0" fontId="132" fillId="0" borderId="0"/>
    <xf numFmtId="0" fontId="132" fillId="0" borderId="0"/>
    <xf numFmtId="0" fontId="169" fillId="0" borderId="0"/>
    <xf numFmtId="0" fontId="132" fillId="0" borderId="0"/>
    <xf numFmtId="0" fontId="132" fillId="0" borderId="0"/>
    <xf numFmtId="0" fontId="132" fillId="0" borderId="0"/>
    <xf numFmtId="0" fontId="36" fillId="0" borderId="0"/>
    <xf numFmtId="0" fontId="7" fillId="0" borderId="0"/>
    <xf numFmtId="0" fontId="36" fillId="0" borderId="0"/>
    <xf numFmtId="0" fontId="167" fillId="0" borderId="0"/>
    <xf numFmtId="0" fontId="36" fillId="0" borderId="0"/>
    <xf numFmtId="0" fontId="17" fillId="0" borderId="0"/>
    <xf numFmtId="0" fontId="8" fillId="0" borderId="0"/>
    <xf numFmtId="0" fontId="16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4" fillId="0" borderId="0"/>
    <xf numFmtId="0" fontId="8"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38" fillId="0" borderId="0"/>
    <xf numFmtId="0" fontId="36" fillId="0" borderId="0"/>
    <xf numFmtId="0" fontId="36" fillId="0" borderId="0"/>
    <xf numFmtId="0" fontId="36" fillId="0" borderId="0"/>
    <xf numFmtId="0" fontId="36" fillId="0" borderId="0"/>
    <xf numFmtId="0" fontId="36" fillId="0" borderId="0"/>
    <xf numFmtId="0" fontId="38" fillId="0" borderId="0"/>
    <xf numFmtId="0" fontId="38" fillId="0" borderId="0"/>
    <xf numFmtId="0" fontId="38" fillId="0" borderId="0"/>
    <xf numFmtId="0" fontId="38" fillId="0" borderId="0"/>
    <xf numFmtId="0" fontId="17" fillId="0" borderId="0"/>
    <xf numFmtId="0" fontId="17"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4" fillId="0" borderId="0"/>
    <xf numFmtId="0" fontId="74" fillId="0" borderId="0"/>
    <xf numFmtId="0" fontId="74" fillId="0" borderId="0"/>
    <xf numFmtId="0" fontId="17" fillId="0" borderId="0"/>
    <xf numFmtId="0" fontId="7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74" fillId="0" borderId="0"/>
    <xf numFmtId="0" fontId="74" fillId="0" borderId="0"/>
    <xf numFmtId="0" fontId="74" fillId="0" borderId="0"/>
    <xf numFmtId="0" fontId="74" fillId="0" borderId="0"/>
    <xf numFmtId="0" fontId="36" fillId="0" borderId="0"/>
    <xf numFmtId="0" fontId="170" fillId="0" borderId="0"/>
    <xf numFmtId="0" fontId="8"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74" fillId="0" borderId="0"/>
    <xf numFmtId="0" fontId="170"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0" fillId="0" borderId="0"/>
    <xf numFmtId="0" fontId="170" fillId="0" borderId="0"/>
    <xf numFmtId="0" fontId="170" fillId="0" borderId="0"/>
    <xf numFmtId="0" fontId="170" fillId="0" borderId="0"/>
    <xf numFmtId="0" fontId="36" fillId="0" borderId="0"/>
    <xf numFmtId="0" fontId="168" fillId="0" borderId="0"/>
    <xf numFmtId="0" fontId="36" fillId="0" borderId="0"/>
    <xf numFmtId="0" fontId="168" fillId="0" borderId="0"/>
    <xf numFmtId="0" fontId="36" fillId="0" borderId="0"/>
    <xf numFmtId="0" fontId="8" fillId="0" borderId="0"/>
    <xf numFmtId="0" fontId="8" fillId="0" borderId="0"/>
    <xf numFmtId="0" fontId="42" fillId="0" borderId="0"/>
    <xf numFmtId="0" fontId="168" fillId="0" borderId="0"/>
    <xf numFmtId="0" fontId="17" fillId="0" borderId="0"/>
    <xf numFmtId="0" fontId="132" fillId="0" borderId="0"/>
    <xf numFmtId="0" fontId="132" fillId="0" borderId="0" applyProtection="0"/>
    <xf numFmtId="0" fontId="132" fillId="0" borderId="0" applyProtection="0"/>
    <xf numFmtId="0" fontId="132" fillId="0" borderId="0" applyProtection="0"/>
    <xf numFmtId="0" fontId="132" fillId="0" borderId="0" applyProtection="0"/>
    <xf numFmtId="0" fontId="36" fillId="0" borderId="0"/>
    <xf numFmtId="0" fontId="132" fillId="0" borderId="0" applyProtection="0"/>
    <xf numFmtId="0" fontId="132" fillId="0" borderId="0" applyProtection="0"/>
    <xf numFmtId="0" fontId="132" fillId="0" borderId="0" applyProtection="0"/>
    <xf numFmtId="0" fontId="132" fillId="0" borderId="0" applyProtection="0"/>
    <xf numFmtId="0" fontId="132" fillId="0" borderId="0" applyProtection="0"/>
    <xf numFmtId="0" fontId="55" fillId="0" borderId="0"/>
    <xf numFmtId="0" fontId="167" fillId="0" borderId="0"/>
    <xf numFmtId="0" fontId="7" fillId="0" borderId="0"/>
    <xf numFmtId="0" fontId="7" fillId="0" borderId="0"/>
    <xf numFmtId="0" fontId="38" fillId="0" borderId="0"/>
    <xf numFmtId="0" fontId="8" fillId="0" borderId="0"/>
    <xf numFmtId="0" fontId="8" fillId="0" borderId="0"/>
    <xf numFmtId="0" fontId="8" fillId="0" borderId="0"/>
    <xf numFmtId="0" fontId="8" fillId="0" borderId="0"/>
    <xf numFmtId="0" fontId="8" fillId="0" borderId="0"/>
    <xf numFmtId="0" fontId="75" fillId="0" borderId="0"/>
    <xf numFmtId="0" fontId="168" fillId="0" borderId="0"/>
    <xf numFmtId="0" fontId="168" fillId="0" borderId="0"/>
    <xf numFmtId="0" fontId="168" fillId="0" borderId="0"/>
    <xf numFmtId="0" fontId="168" fillId="0" borderId="0"/>
    <xf numFmtId="0" fontId="168" fillId="0" borderId="0"/>
    <xf numFmtId="0" fontId="75" fillId="0" borderId="0"/>
    <xf numFmtId="0" fontId="75" fillId="0" borderId="0"/>
    <xf numFmtId="0" fontId="75" fillId="0" borderId="0"/>
    <xf numFmtId="0" fontId="75" fillId="0" borderId="0"/>
    <xf numFmtId="0" fontId="17" fillId="0" borderId="0"/>
    <xf numFmtId="0" fontId="7" fillId="0" borderId="0"/>
    <xf numFmtId="0" fontId="8" fillId="0" borderId="0"/>
    <xf numFmtId="0" fontId="8" fillId="0" borderId="0"/>
    <xf numFmtId="0" fontId="8" fillId="0" borderId="0"/>
    <xf numFmtId="0" fontId="8" fillId="0" borderId="0"/>
    <xf numFmtId="0" fontId="8" fillId="0" borderId="0"/>
    <xf numFmtId="0" fontId="17" fillId="0" borderId="0"/>
    <xf numFmtId="0" fontId="7" fillId="0" borderId="0"/>
    <xf numFmtId="0" fontId="7" fillId="0" borderId="0"/>
    <xf numFmtId="0" fontId="7" fillId="0" borderId="0"/>
    <xf numFmtId="0" fontId="7" fillId="0" borderId="0"/>
    <xf numFmtId="0" fontId="7" fillId="0" borderId="0"/>
    <xf numFmtId="0" fontId="17" fillId="0" borderId="0"/>
    <xf numFmtId="0" fontId="17" fillId="0" borderId="0"/>
    <xf numFmtId="0" fontId="17" fillId="0" borderId="0"/>
    <xf numFmtId="0" fontId="17" fillId="0" borderId="0"/>
    <xf numFmtId="0" fontId="3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32" fillId="0" borderId="0"/>
    <xf numFmtId="0" fontId="8" fillId="0" borderId="0"/>
    <xf numFmtId="0" fontId="8" fillId="0" borderId="0"/>
    <xf numFmtId="0" fontId="7" fillId="0" borderId="0"/>
    <xf numFmtId="0" fontId="7" fillId="0" borderId="0"/>
    <xf numFmtId="0" fontId="7" fillId="0" borderId="0"/>
    <xf numFmtId="0" fontId="17" fillId="0" borderId="0"/>
    <xf numFmtId="0" fontId="17" fillId="0" borderId="0"/>
    <xf numFmtId="0" fontId="60" fillId="0" borderId="0"/>
    <xf numFmtId="0" fontId="17" fillId="0" borderId="0"/>
    <xf numFmtId="0" fontId="42" fillId="0" borderId="0"/>
    <xf numFmtId="0" fontId="42" fillId="0" borderId="0"/>
    <xf numFmtId="0" fontId="42" fillId="0" borderId="0"/>
    <xf numFmtId="0" fontId="42" fillId="0" borderId="0"/>
    <xf numFmtId="0" fontId="42" fillId="0" borderId="0"/>
    <xf numFmtId="0" fontId="17" fillId="0" borderId="0"/>
    <xf numFmtId="0" fontId="17" fillId="0" borderId="0"/>
    <xf numFmtId="0" fontId="17" fillId="0" borderId="0"/>
    <xf numFmtId="0" fontId="17" fillId="0" borderId="0"/>
    <xf numFmtId="0" fontId="17" fillId="0" borderId="0"/>
    <xf numFmtId="0" fontId="60" fillId="0" borderId="0"/>
    <xf numFmtId="0" fontId="60" fillId="0" borderId="0"/>
    <xf numFmtId="0" fontId="60" fillId="0" borderId="0"/>
    <xf numFmtId="0" fontId="60" fillId="0" borderId="0"/>
    <xf numFmtId="0" fontId="60" fillId="0" borderId="0"/>
    <xf numFmtId="0" fontId="133" fillId="0" borderId="0"/>
    <xf numFmtId="0" fontId="133" fillId="0" borderId="0"/>
    <xf numFmtId="0" fontId="17" fillId="0" borderId="0"/>
    <xf numFmtId="0" fontId="17" fillId="0" borderId="0"/>
    <xf numFmtId="0" fontId="17" fillId="0" borderId="0"/>
    <xf numFmtId="0" fontId="17" fillId="0" borderId="0"/>
    <xf numFmtId="0" fontId="36" fillId="0" borderId="0"/>
    <xf numFmtId="0" fontId="167" fillId="0" borderId="0"/>
    <xf numFmtId="0" fontId="36" fillId="0" borderId="0"/>
    <xf numFmtId="0" fontId="36" fillId="0" borderId="0"/>
    <xf numFmtId="0" fontId="167" fillId="0" borderId="0"/>
    <xf numFmtId="0" fontId="36" fillId="0" borderId="0"/>
    <xf numFmtId="0" fontId="36" fillId="0" borderId="0"/>
    <xf numFmtId="0" fontId="17" fillId="0" borderId="0"/>
    <xf numFmtId="0" fontId="8" fillId="0" borderId="0"/>
    <xf numFmtId="0" fontId="42" fillId="0" borderId="0"/>
    <xf numFmtId="0" fontId="8" fillId="0" borderId="0"/>
    <xf numFmtId="0" fontId="165" fillId="0" borderId="0"/>
    <xf numFmtId="0" fontId="165" fillId="0" borderId="0"/>
    <xf numFmtId="0" fontId="165" fillId="0" borderId="0"/>
    <xf numFmtId="0" fontId="165" fillId="0" borderId="0"/>
    <xf numFmtId="0" fontId="165" fillId="0" borderId="0"/>
    <xf numFmtId="0" fontId="42" fillId="0" borderId="0"/>
    <xf numFmtId="0" fontId="56" fillId="0" borderId="0"/>
    <xf numFmtId="0" fontId="36" fillId="0" borderId="0"/>
    <xf numFmtId="0" fontId="167" fillId="0" borderId="0"/>
    <xf numFmtId="0" fontId="36" fillId="0" borderId="0"/>
    <xf numFmtId="0" fontId="36" fillId="0" borderId="0"/>
    <xf numFmtId="0" fontId="36" fillId="0" borderId="0"/>
    <xf numFmtId="0" fontId="36" fillId="0" borderId="0"/>
    <xf numFmtId="0" fontId="36" fillId="0" borderId="0"/>
    <xf numFmtId="0" fontId="36" fillId="0" borderId="0"/>
    <xf numFmtId="0" fontId="41" fillId="0" borderId="0"/>
    <xf numFmtId="0" fontId="17" fillId="0" borderId="0"/>
    <xf numFmtId="0" fontId="7" fillId="0" borderId="0"/>
    <xf numFmtId="0" fontId="7" fillId="0" borderId="0"/>
    <xf numFmtId="0" fontId="7" fillId="0" borderId="0"/>
    <xf numFmtId="0" fontId="7" fillId="0" borderId="0"/>
    <xf numFmtId="0" fontId="7" fillId="0" borderId="0"/>
    <xf numFmtId="0" fontId="41" fillId="0" borderId="0"/>
    <xf numFmtId="0" fontId="171" fillId="0" borderId="0"/>
    <xf numFmtId="0" fontId="171" fillId="0" borderId="0"/>
    <xf numFmtId="0" fontId="171" fillId="0" borderId="0"/>
    <xf numFmtId="0" fontId="171" fillId="0" borderId="0"/>
    <xf numFmtId="0" fontId="171" fillId="0" borderId="0"/>
    <xf numFmtId="0" fontId="7" fillId="0" borderId="0"/>
    <xf numFmtId="0" fontId="17" fillId="0" borderId="0"/>
    <xf numFmtId="0" fontId="17" fillId="0" borderId="0"/>
    <xf numFmtId="0" fontId="17" fillId="0" borderId="0"/>
    <xf numFmtId="0" fontId="17" fillId="0" borderId="0"/>
    <xf numFmtId="0" fontId="74" fillId="0" borderId="0"/>
    <xf numFmtId="0" fontId="7" fillId="0" borderId="0"/>
    <xf numFmtId="0" fontId="167" fillId="0" borderId="0"/>
    <xf numFmtId="0" fontId="17" fillId="0" borderId="0"/>
    <xf numFmtId="0" fontId="36" fillId="0" borderId="0"/>
    <xf numFmtId="0" fontId="7" fillId="0" borderId="0"/>
    <xf numFmtId="0" fontId="2" fillId="0" borderId="0"/>
    <xf numFmtId="0" fontId="17"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17" fillId="0" borderId="0"/>
    <xf numFmtId="0" fontId="17" fillId="0" borderId="0"/>
    <xf numFmtId="0" fontId="169" fillId="0" borderId="0"/>
    <xf numFmtId="0" fontId="17" fillId="0" borderId="0"/>
    <xf numFmtId="0" fontId="2" fillId="0" borderId="0"/>
    <xf numFmtId="0" fontId="36" fillId="0" borderId="0"/>
    <xf numFmtId="0" fontId="7" fillId="0" borderId="0"/>
    <xf numFmtId="0" fontId="36" fillId="0" borderId="0"/>
    <xf numFmtId="0" fontId="17" fillId="0" borderId="0"/>
    <xf numFmtId="0" fontId="8" fillId="0" borderId="0"/>
    <xf numFmtId="0" fontId="7" fillId="0" borderId="0"/>
    <xf numFmtId="0" fontId="8" fillId="0" borderId="0"/>
    <xf numFmtId="0" fontId="7" fillId="0" borderId="0"/>
    <xf numFmtId="0" fontId="51" fillId="0" borderId="0"/>
    <xf numFmtId="0" fontId="7" fillId="0" borderId="0"/>
    <xf numFmtId="0" fontId="110" fillId="23" borderId="0"/>
    <xf numFmtId="0" fontId="116" fillId="0" borderId="0"/>
    <xf numFmtId="0" fontId="60" fillId="27" borderId="13" applyNumberFormat="0" applyFont="0" applyAlignment="0" applyProtection="0"/>
    <xf numFmtId="0" fontId="60" fillId="27" borderId="13" applyNumberFormat="0" applyFont="0" applyAlignment="0" applyProtection="0"/>
    <xf numFmtId="0" fontId="60" fillId="27" borderId="13" applyNumberFormat="0" applyFont="0" applyAlignment="0" applyProtection="0"/>
    <xf numFmtId="0" fontId="60" fillId="27" borderId="13" applyNumberFormat="0" applyFont="0" applyAlignment="0" applyProtection="0"/>
    <xf numFmtId="0" fontId="60" fillId="27" borderId="13" applyNumberFormat="0" applyFont="0" applyAlignment="0" applyProtection="0"/>
    <xf numFmtId="0" fontId="60" fillId="27" borderId="13" applyNumberFormat="0" applyFont="0" applyAlignment="0" applyProtection="0"/>
    <xf numFmtId="0" fontId="60" fillId="27" borderId="13" applyNumberFormat="0" applyFont="0" applyAlignment="0" applyProtection="0"/>
    <xf numFmtId="167" fontId="134" fillId="0" borderId="0" applyFont="0" applyFill="0" applyBorder="0" applyAlignment="0" applyProtection="0"/>
    <xf numFmtId="165" fontId="134" fillId="0" borderId="0" applyFont="0" applyFill="0" applyBorder="0" applyAlignment="0" applyProtection="0"/>
    <xf numFmtId="0" fontId="135" fillId="0" borderId="0" applyNumberFormat="0" applyFill="0" applyBorder="0" applyAlignment="0" applyProtection="0"/>
    <xf numFmtId="0" fontId="135" fillId="0" borderId="0" applyNumberFormat="0" applyFill="0" applyBorder="0" applyAlignment="0" applyProtection="0"/>
    <xf numFmtId="0" fontId="74" fillId="0" borderId="0" applyNumberFormat="0" applyFill="0" applyBorder="0" applyAlignment="0" applyProtection="0"/>
    <xf numFmtId="0" fontId="7" fillId="0" borderId="0" applyNumberFormat="0" applyFill="0" applyBorder="0" applyAlignment="0" applyProtection="0"/>
    <xf numFmtId="0" fontId="17" fillId="0" borderId="0" applyFont="0" applyFill="0" applyBorder="0" applyAlignment="0" applyProtection="0"/>
    <xf numFmtId="0" fontId="5" fillId="0" borderId="0"/>
    <xf numFmtId="0" fontId="76" fillId="21" borderId="14" applyNumberFormat="0" applyAlignment="0" applyProtection="0"/>
    <xf numFmtId="14" fontId="79" fillId="0" borderId="0">
      <alignment horizontal="center" wrapText="1"/>
      <protection locked="0"/>
    </xf>
    <xf numFmtId="204" fontId="109" fillId="0" borderId="0" applyFont="0" applyFill="0" applyBorder="0" applyAlignment="0" applyProtection="0"/>
    <xf numFmtId="223" fontId="109" fillId="0" borderId="0" applyFont="0" applyFill="0" applyBorder="0" applyAlignment="0" applyProtection="0"/>
    <xf numFmtId="10" fontId="109" fillId="0" borderId="0" applyFont="0" applyFill="0" applyBorder="0" applyAlignment="0" applyProtection="0"/>
    <xf numFmtId="9" fontId="17" fillId="0" borderId="0" applyFont="0" applyFill="0" applyBorder="0" applyAlignment="0" applyProtection="0"/>
    <xf numFmtId="9" fontId="74" fillId="0" borderId="0" applyFont="0" applyFill="0" applyBorder="0" applyAlignment="0" applyProtection="0"/>
    <xf numFmtId="9" fontId="17" fillId="0" borderId="0" applyFont="0" applyFill="0" applyBorder="0" applyAlignment="0" applyProtection="0"/>
    <xf numFmtId="9" fontId="109"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3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89" fillId="0" borderId="15" applyNumberFormat="0" applyBorder="0"/>
    <xf numFmtId="205" fontId="110" fillId="0" borderId="0" applyFill="0" applyBorder="0" applyAlignment="0"/>
    <xf numFmtId="201" fontId="110" fillId="0" borderId="0" applyFill="0" applyBorder="0" applyAlignment="0"/>
    <xf numFmtId="205" fontId="110" fillId="0" borderId="0" applyFill="0" applyBorder="0" applyAlignment="0"/>
    <xf numFmtId="206" fontId="110" fillId="0" borderId="0" applyFill="0" applyBorder="0" applyAlignment="0"/>
    <xf numFmtId="201" fontId="110" fillId="0" borderId="0" applyFill="0" applyBorder="0" applyAlignment="0"/>
    <xf numFmtId="0" fontId="136" fillId="0" borderId="0"/>
    <xf numFmtId="0" fontId="89" fillId="0" borderId="0" applyNumberFormat="0" applyFont="0" applyFill="0" applyBorder="0" applyAlignment="0" applyProtection="0">
      <alignment horizontal="left"/>
    </xf>
    <xf numFmtId="0" fontId="137" fillId="0" borderId="10">
      <alignment horizontal="center"/>
    </xf>
    <xf numFmtId="0" fontId="138" fillId="28" borderId="0" applyNumberFormat="0" applyFont="0" applyBorder="0" applyAlignment="0">
      <alignment horizontal="center"/>
    </xf>
    <xf numFmtId="14" fontId="139" fillId="0" borderId="0" applyNumberFormat="0" applyFill="0" applyBorder="0" applyAlignment="0" applyProtection="0">
      <alignment horizontal="left"/>
    </xf>
    <xf numFmtId="194" fontId="88" fillId="0" borderId="0" applyFont="0" applyFill="0" applyBorder="0" applyAlignment="0" applyProtection="0"/>
    <xf numFmtId="0" fontId="7" fillId="0" borderId="0" applyNumberFormat="0" applyFill="0" applyBorder="0" applyAlignment="0" applyProtection="0"/>
    <xf numFmtId="4" fontId="140" fillId="29" borderId="16" applyNumberFormat="0" applyProtection="0">
      <alignment vertical="center"/>
    </xf>
    <xf numFmtId="4" fontId="141" fillId="29" borderId="16" applyNumberFormat="0" applyProtection="0">
      <alignment vertical="center"/>
    </xf>
    <xf numFmtId="4" fontId="142" fillId="29" borderId="16" applyNumberFormat="0" applyProtection="0">
      <alignment horizontal="left" vertical="center" indent="1"/>
    </xf>
    <xf numFmtId="4" fontId="142" fillId="30" borderId="0" applyNumberFormat="0" applyProtection="0">
      <alignment horizontal="left" vertical="center" indent="1"/>
    </xf>
    <xf numFmtId="4" fontId="142" fillId="31" borderId="16" applyNumberFormat="0" applyProtection="0">
      <alignment horizontal="right" vertical="center"/>
    </xf>
    <xf numFmtId="4" fontId="142" fillId="32" borderId="16" applyNumberFormat="0" applyProtection="0">
      <alignment horizontal="right" vertical="center"/>
    </xf>
    <xf numFmtId="4" fontId="142" fillId="33" borderId="16" applyNumberFormat="0" applyProtection="0">
      <alignment horizontal="right" vertical="center"/>
    </xf>
    <xf numFmtId="4" fontId="142" fillId="34" borderId="16" applyNumberFormat="0" applyProtection="0">
      <alignment horizontal="right" vertical="center"/>
    </xf>
    <xf numFmtId="4" fontId="142" fillId="35" borderId="16" applyNumberFormat="0" applyProtection="0">
      <alignment horizontal="right" vertical="center"/>
    </xf>
    <xf numFmtId="4" fontId="142" fillId="36" borderId="16" applyNumberFormat="0" applyProtection="0">
      <alignment horizontal="right" vertical="center"/>
    </xf>
    <xf numFmtId="4" fontId="142" fillId="37" borderId="16" applyNumberFormat="0" applyProtection="0">
      <alignment horizontal="right" vertical="center"/>
    </xf>
    <xf numFmtId="4" fontId="142" fillId="38" borderId="16" applyNumberFormat="0" applyProtection="0">
      <alignment horizontal="right" vertical="center"/>
    </xf>
    <xf numFmtId="4" fontId="142" fillId="39" borderId="16" applyNumberFormat="0" applyProtection="0">
      <alignment horizontal="right" vertical="center"/>
    </xf>
    <xf numFmtId="4" fontId="140" fillId="40" borderId="17" applyNumberFormat="0" applyProtection="0">
      <alignment horizontal="left" vertical="center" indent="1"/>
    </xf>
    <xf numFmtId="4" fontId="140" fillId="41" borderId="0" applyNumberFormat="0" applyProtection="0">
      <alignment horizontal="left" vertical="center" indent="1"/>
    </xf>
    <xf numFmtId="4" fontId="140" fillId="30" borderId="0" applyNumberFormat="0" applyProtection="0">
      <alignment horizontal="left" vertical="center" indent="1"/>
    </xf>
    <xf numFmtId="4" fontId="142" fillId="41" borderId="16" applyNumberFormat="0" applyProtection="0">
      <alignment horizontal="right" vertical="center"/>
    </xf>
    <xf numFmtId="4" fontId="53" fillId="41" borderId="0" applyNumberFormat="0" applyProtection="0">
      <alignment horizontal="left" vertical="center" indent="1"/>
    </xf>
    <xf numFmtId="4" fontId="53" fillId="30" borderId="0" applyNumberFormat="0" applyProtection="0">
      <alignment horizontal="left" vertical="center" indent="1"/>
    </xf>
    <xf numFmtId="4" fontId="142" fillId="42" borderId="16" applyNumberFormat="0" applyProtection="0">
      <alignment vertical="center"/>
    </xf>
    <xf numFmtId="4" fontId="143" fillId="42" borderId="16" applyNumberFormat="0" applyProtection="0">
      <alignment vertical="center"/>
    </xf>
    <xf numFmtId="4" fontId="140" fillId="41" borderId="18" applyNumberFormat="0" applyProtection="0">
      <alignment horizontal="left" vertical="center" indent="1"/>
    </xf>
    <xf numFmtId="4" fontId="142" fillId="42" borderId="16" applyNumberFormat="0" applyProtection="0">
      <alignment horizontal="right" vertical="center"/>
    </xf>
    <xf numFmtId="4" fontId="143" fillId="42" borderId="16" applyNumberFormat="0" applyProtection="0">
      <alignment horizontal="right" vertical="center"/>
    </xf>
    <xf numFmtId="4" fontId="140" fillId="41" borderId="16" applyNumberFormat="0" applyProtection="0">
      <alignment horizontal="left" vertical="center" indent="1"/>
    </xf>
    <xf numFmtId="4" fontId="144" fillId="25" borderId="18" applyNumberFormat="0" applyProtection="0">
      <alignment horizontal="left" vertical="center" indent="1"/>
    </xf>
    <xf numFmtId="4" fontId="145" fillId="42" borderId="16" applyNumberFormat="0" applyProtection="0">
      <alignment horizontal="right" vertical="center"/>
    </xf>
    <xf numFmtId="0" fontId="138" fillId="1" borderId="6" applyNumberFormat="0" applyFont="0" applyAlignment="0">
      <alignment horizontal="center"/>
    </xf>
    <xf numFmtId="0" fontId="146" fillId="0" borderId="0" applyNumberFormat="0" applyFill="0" applyBorder="0" applyAlignment="0">
      <alignment horizontal="center"/>
    </xf>
    <xf numFmtId="0" fontId="147" fillId="0" borderId="19" applyNumberFormat="0" applyFill="0" applyBorder="0" applyAlignment="0" applyProtection="0"/>
    <xf numFmtId="0" fontId="7" fillId="0" borderId="20">
      <alignment horizontal="center"/>
    </xf>
    <xf numFmtId="193" fontId="88" fillId="0" borderId="0" applyFont="0" applyFill="0" applyBorder="0" applyAlignment="0" applyProtection="0"/>
    <xf numFmtId="194" fontId="88" fillId="0" borderId="0" applyFont="0" applyFill="0" applyBorder="0" applyAlignment="0" applyProtection="0"/>
    <xf numFmtId="194" fontId="88" fillId="0" borderId="0" applyFont="0" applyFill="0" applyBorder="0" applyAlignment="0" applyProtection="0"/>
    <xf numFmtId="193" fontId="88" fillId="0" borderId="0" applyFont="0" applyFill="0" applyBorder="0" applyAlignment="0" applyProtection="0"/>
    <xf numFmtId="193" fontId="88" fillId="0" borderId="0" applyFont="0" applyFill="0" applyBorder="0" applyAlignment="0" applyProtection="0"/>
    <xf numFmtId="193" fontId="88" fillId="0" borderId="0" applyFont="0" applyFill="0" applyBorder="0" applyAlignment="0" applyProtection="0"/>
    <xf numFmtId="0" fontId="130" fillId="0" borderId="0"/>
    <xf numFmtId="40" fontId="148" fillId="0" borderId="0" applyBorder="0">
      <alignment horizontal="right"/>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49" fontId="53" fillId="0" borderId="0" applyFill="0" applyBorder="0" applyAlignment="0"/>
    <xf numFmtId="225" fontId="109" fillId="0" borderId="0" applyFill="0" applyBorder="0" applyAlignment="0"/>
    <xf numFmtId="226" fontId="109" fillId="0" borderId="0" applyFill="0" applyBorder="0" applyAlignment="0"/>
    <xf numFmtId="227" fontId="74" fillId="0" borderId="21">
      <alignment horizontal="center"/>
    </xf>
    <xf numFmtId="0" fontId="74" fillId="0" borderId="0" applyNumberFormat="0" applyFill="0" applyBorder="0" applyAlignment="0" applyProtection="0"/>
    <xf numFmtId="0" fontId="17" fillId="0" borderId="0" applyNumberFormat="0" applyFill="0" applyBorder="0" applyAlignment="0" applyProtection="0"/>
    <xf numFmtId="0" fontId="135" fillId="0" borderId="0" applyNumberFormat="0" applyFill="0" applyBorder="0" applyAlignment="0" applyProtection="0"/>
    <xf numFmtId="3" fontId="149" fillId="0" borderId="22" applyNumberFormat="0" applyBorder="0" applyAlignment="0"/>
    <xf numFmtId="0" fontId="77" fillId="0" borderId="23" applyNumberFormat="0" applyFill="0" applyAlignment="0" applyProtection="0"/>
    <xf numFmtId="228" fontId="150" fillId="0" borderId="0" applyFont="0" applyFill="0" applyBorder="0" applyAlignment="0" applyProtection="0"/>
    <xf numFmtId="229" fontId="115" fillId="0" borderId="0" applyFont="0" applyFill="0" applyBorder="0" applyAlignment="0" applyProtection="0"/>
    <xf numFmtId="226" fontId="74" fillId="0" borderId="0"/>
    <xf numFmtId="230" fontId="74" fillId="0" borderId="1"/>
    <xf numFmtId="3" fontId="74" fillId="0" borderId="0" applyNumberFormat="0" applyBorder="0" applyAlignment="0" applyProtection="0">
      <alignment horizontal="centerContinuous"/>
      <protection locked="0"/>
    </xf>
    <xf numFmtId="3" fontId="151" fillId="0" borderId="0">
      <protection locked="0"/>
    </xf>
    <xf numFmtId="5" fontId="152" fillId="43" borderId="24">
      <alignment vertical="top"/>
    </xf>
    <xf numFmtId="0" fontId="154" fillId="44" borderId="1">
      <alignment horizontal="left" vertical="center"/>
    </xf>
    <xf numFmtId="6" fontId="155" fillId="45" borderId="24"/>
    <xf numFmtId="5" fontId="126" fillId="0" borderId="24">
      <alignment horizontal="left" vertical="top"/>
    </xf>
    <xf numFmtId="0" fontId="156" fillId="46" borderId="0">
      <alignment horizontal="left" vertical="center"/>
    </xf>
    <xf numFmtId="5" fontId="18" fillId="0" borderId="20">
      <alignment horizontal="left" vertical="top"/>
    </xf>
    <xf numFmtId="0" fontId="153" fillId="0" borderId="20">
      <alignment horizontal="left" vertical="center"/>
    </xf>
    <xf numFmtId="231" fontId="17" fillId="0" borderId="0" applyFont="0" applyFill="0" applyBorder="0" applyAlignment="0" applyProtection="0"/>
    <xf numFmtId="232" fontId="17" fillId="0" borderId="0" applyFont="0" applyFill="0" applyBorder="0" applyAlignment="0" applyProtection="0"/>
    <xf numFmtId="42" fontId="116" fillId="0" borderId="0" applyFont="0" applyFill="0" applyBorder="0" applyAlignment="0" applyProtection="0"/>
    <xf numFmtId="44" fontId="116" fillId="0" borderId="0" applyFont="0" applyFill="0" applyBorder="0" applyAlignment="0" applyProtection="0"/>
    <xf numFmtId="0" fontId="78" fillId="0" borderId="0" applyNumberFormat="0" applyFill="0" applyBorder="0" applyAlignment="0" applyProtection="0"/>
    <xf numFmtId="0" fontId="157" fillId="0" borderId="0" applyNumberFormat="0" applyFill="0" applyBorder="0" applyAlignment="0" applyProtection="0"/>
    <xf numFmtId="0" fontId="158" fillId="0" borderId="0" applyFont="0" applyFill="0" applyBorder="0" applyAlignment="0" applyProtection="0"/>
    <xf numFmtId="0" fontId="158" fillId="0" borderId="0" applyFont="0" applyFill="0" applyBorder="0" applyAlignment="0" applyProtection="0"/>
    <xf numFmtId="0" fontId="8" fillId="0" borderId="0">
      <alignment vertical="center"/>
    </xf>
    <xf numFmtId="40" fontId="159" fillId="0" borderId="0" applyFont="0" applyFill="0" applyBorder="0" applyAlignment="0" applyProtection="0"/>
    <xf numFmtId="38"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9" fontId="160" fillId="0" borderId="0" applyBorder="0" applyAlignment="0" applyProtection="0"/>
    <xf numFmtId="0" fontId="161" fillId="0" borderId="0"/>
    <xf numFmtId="0" fontId="162" fillId="0" borderId="25"/>
    <xf numFmtId="0" fontId="163" fillId="0" borderId="0" applyFont="0" applyFill="0" applyBorder="0" applyAlignment="0" applyProtection="0"/>
    <xf numFmtId="0" fontId="163" fillId="0" borderId="0" applyFont="0" applyFill="0" applyBorder="0" applyAlignment="0" applyProtection="0"/>
    <xf numFmtId="233" fontId="17" fillId="0" borderId="0" applyFont="0" applyFill="0" applyBorder="0" applyAlignment="0" applyProtection="0"/>
    <xf numFmtId="205" fontId="17" fillId="0" borderId="0" applyFont="0" applyFill="0" applyBorder="0" applyAlignment="0" applyProtection="0"/>
    <xf numFmtId="0" fontId="164" fillId="0" borderId="0"/>
    <xf numFmtId="0" fontId="129" fillId="0" borderId="0"/>
    <xf numFmtId="165" fontId="132" fillId="0" borderId="0" applyFont="0" applyFill="0" applyBorder="0" applyAlignment="0" applyProtection="0"/>
    <xf numFmtId="167" fontId="132" fillId="0" borderId="0" applyFont="0" applyFill="0" applyBorder="0" applyAlignment="0" applyProtection="0"/>
    <xf numFmtId="168" fontId="17" fillId="0" borderId="0" applyFont="0" applyFill="0" applyBorder="0" applyAlignment="0" applyProtection="0"/>
    <xf numFmtId="0" fontId="17" fillId="0" borderId="0"/>
    <xf numFmtId="233" fontId="132" fillId="0" borderId="0" applyFont="0" applyFill="0" applyBorder="0" applyAlignment="0" applyProtection="0"/>
    <xf numFmtId="6" fontId="85" fillId="0" borderId="0" applyFont="0" applyFill="0" applyBorder="0" applyAlignment="0" applyProtection="0"/>
    <xf numFmtId="205" fontId="132" fillId="0" borderId="0" applyFont="0" applyFill="0" applyBorder="0" applyAlignment="0" applyProtection="0"/>
    <xf numFmtId="167" fontId="89" fillId="0" borderId="0" applyNumberFormat="0" applyFont="0" applyFill="0" applyBorder="0" applyAlignment="0" applyProtection="0"/>
    <xf numFmtId="0" fontId="167" fillId="0" borderId="0"/>
    <xf numFmtId="43" fontId="2" fillId="0" borderId="0" applyFont="0" applyFill="0" applyBorder="0" applyAlignment="0" applyProtection="0"/>
    <xf numFmtId="0" fontId="59" fillId="12"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0" borderId="0"/>
    <xf numFmtId="0" fontId="59" fillId="0" borderId="0"/>
    <xf numFmtId="0" fontId="59" fillId="0" borderId="0"/>
    <xf numFmtId="41" fontId="17" fillId="0" borderId="0" applyFont="0" applyFill="0" applyBorder="0" applyAlignment="0" applyProtection="0"/>
    <xf numFmtId="0" fontId="59" fillId="0" borderId="0"/>
    <xf numFmtId="0" fontId="59" fillId="0" borderId="0"/>
    <xf numFmtId="0" fontId="59" fillId="0" borderId="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5" fontId="55"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5" fontId="55"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9"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43" fontId="2" fillId="0" borderId="0" applyFont="0" applyFill="0" applyBorder="0" applyAlignment="0" applyProtection="0"/>
    <xf numFmtId="43" fontId="167"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1"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1" fontId="1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6" borderId="0" applyNumberFormat="0" applyBorder="0" applyAlignment="0" applyProtection="0"/>
    <xf numFmtId="0" fontId="59" fillId="27" borderId="13" applyNumberFormat="0" applyFont="0" applyAlignment="0" applyProtection="0"/>
    <xf numFmtId="0" fontId="59" fillId="6" borderId="0" applyNumberFormat="0" applyBorder="0" applyAlignment="0" applyProtection="0"/>
    <xf numFmtId="0" fontId="59" fillId="27" borderId="13" applyNumberFormat="0" applyFont="0" applyAlignment="0" applyProtection="0"/>
    <xf numFmtId="0" fontId="59" fillId="6"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27" borderId="13" applyNumberFormat="0" applyFont="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0" borderId="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5" fontId="5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55"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9" borderId="0" applyNumberFormat="0" applyBorder="0" applyAlignment="0" applyProtection="0"/>
    <xf numFmtId="0" fontId="59" fillId="27" borderId="13" applyNumberFormat="0" applyFont="0" applyAlignment="0" applyProtection="0"/>
    <xf numFmtId="0" fontId="59" fillId="9" borderId="0" applyNumberFormat="0" applyBorder="0" applyAlignment="0" applyProtection="0"/>
    <xf numFmtId="0" fontId="59" fillId="9"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9" borderId="0" applyNumberFormat="0" applyBorder="0" applyAlignment="0" applyProtection="0"/>
    <xf numFmtId="0" fontId="59" fillId="27" borderId="13" applyNumberFormat="0" applyFont="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1" fontId="17" fillId="0" borderId="0" applyFont="0" applyFill="0" applyBorder="0" applyAlignment="0" applyProtection="0"/>
    <xf numFmtId="41" fontId="17"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1" fontId="17" fillId="0" borderId="0" applyFont="0" applyFill="0" applyBorder="0" applyAlignment="0" applyProtection="0"/>
    <xf numFmtId="0" fontId="59" fillId="0" borderId="0"/>
    <xf numFmtId="0" fontId="59" fillId="9" borderId="0" applyNumberFormat="0" applyBorder="0" applyAlignment="0" applyProtection="0"/>
    <xf numFmtId="0" fontId="59" fillId="9" borderId="0" applyNumberFormat="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0" fontId="59" fillId="0" borderId="0"/>
    <xf numFmtId="0" fontId="59" fillId="0" borderId="0"/>
    <xf numFmtId="0" fontId="59" fillId="0" borderId="0"/>
    <xf numFmtId="0" fontId="59" fillId="0" borderId="0"/>
    <xf numFmtId="0" fontId="59" fillId="27" borderId="13" applyNumberFormat="0" applyFont="0" applyAlignment="0" applyProtection="0"/>
    <xf numFmtId="0" fontId="59" fillId="27" borderId="13" applyNumberFormat="0" applyFont="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165" fontId="5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165" fontId="5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0" borderId="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6" borderId="0" applyNumberFormat="0" applyBorder="0" applyAlignment="0" applyProtection="0"/>
    <xf numFmtId="0" fontId="59" fillId="0" borderId="0"/>
    <xf numFmtId="0" fontId="59" fillId="0" borderId="0"/>
    <xf numFmtId="0" fontId="59" fillId="6" borderId="0" applyNumberFormat="0" applyBorder="0" applyAlignment="0" applyProtection="0"/>
    <xf numFmtId="0" fontId="59" fillId="0" borderId="0"/>
    <xf numFmtId="0" fontId="59" fillId="6" borderId="0" applyNumberFormat="0" applyBorder="0" applyAlignment="0" applyProtection="0"/>
    <xf numFmtId="0" fontId="59" fillId="0" borderId="0"/>
    <xf numFmtId="0" fontId="59" fillId="0" borderId="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7"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7" borderId="0" applyNumberFormat="0" applyBorder="0" applyAlignment="0" applyProtection="0"/>
    <xf numFmtId="0" fontId="59" fillId="27" borderId="13" applyNumberFormat="0" applyFont="0" applyAlignment="0" applyProtection="0"/>
    <xf numFmtId="0" fontId="59" fillId="7"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7"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7" borderId="0" applyNumberFormat="0" applyBorder="0" applyAlignment="0" applyProtection="0"/>
    <xf numFmtId="0" fontId="59" fillId="7"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1"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1"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165" fontId="55" fillId="0" borderId="0" applyFont="0" applyFill="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43" fontId="59" fillId="0" borderId="0" applyFont="0" applyFill="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165" fontId="55" fillId="0" borderId="0" applyFont="0" applyFill="0" applyBorder="0" applyAlignment="0" applyProtection="0"/>
    <xf numFmtId="43" fontId="2" fillId="0" borderId="0" applyFont="0" applyFill="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9" borderId="0" applyNumberFormat="0" applyBorder="0" applyAlignment="0" applyProtection="0"/>
    <xf numFmtId="0" fontId="59" fillId="0" borderId="0"/>
    <xf numFmtId="0" fontId="59" fillId="9" borderId="0" applyNumberFormat="0" applyBorder="0" applyAlignment="0" applyProtection="0"/>
    <xf numFmtId="0" fontId="59" fillId="9" borderId="0" applyNumberFormat="0" applyBorder="0" applyAlignment="0" applyProtection="0"/>
    <xf numFmtId="0" fontId="59" fillId="0" borderId="0"/>
    <xf numFmtId="0" fontId="59" fillId="9" borderId="0" applyNumberFormat="0" applyBorder="0" applyAlignment="0" applyProtection="0"/>
    <xf numFmtId="0" fontId="59" fillId="0" borderId="0"/>
    <xf numFmtId="0" fontId="59" fillId="9" borderId="0" applyNumberFormat="0" applyBorder="0" applyAlignment="0" applyProtection="0"/>
    <xf numFmtId="0" fontId="59" fillId="9" borderId="0" applyNumberFormat="0" applyBorder="0" applyAlignment="0" applyProtection="0"/>
    <xf numFmtId="0" fontId="59" fillId="0" borderId="0"/>
    <xf numFmtId="0" fontId="59" fillId="0" borderId="0"/>
    <xf numFmtId="0" fontId="59" fillId="8" borderId="0" applyNumberFormat="0" applyBorder="0" applyAlignment="0" applyProtection="0"/>
    <xf numFmtId="0" fontId="59" fillId="0" borderId="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6" borderId="0"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5" borderId="0" applyNumberFormat="0" applyBorder="0" applyAlignment="0" applyProtection="0"/>
    <xf numFmtId="0" fontId="59" fillId="27" borderId="13" applyNumberFormat="0" applyFont="0" applyAlignment="0" applyProtection="0"/>
    <xf numFmtId="0" fontId="59" fillId="5"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43" fontId="65" fillId="0" borderId="0" applyFont="0" applyFill="0" applyBorder="0" applyAlignment="0" applyProtection="0"/>
    <xf numFmtId="43" fontId="16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1"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1" fontId="17"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6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67" fillId="0" borderId="0" applyFont="0" applyFill="0" applyBorder="0" applyAlignment="0" applyProtection="0"/>
    <xf numFmtId="43" fontId="2" fillId="0" borderId="0" applyFont="0" applyFill="0" applyBorder="0" applyAlignment="0" applyProtection="0"/>
    <xf numFmtId="43" fontId="16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6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0" fontId="59" fillId="0" borderId="0"/>
    <xf numFmtId="0" fontId="59" fillId="0" borderId="0"/>
    <xf numFmtId="0" fontId="59" fillId="0" borderId="0"/>
    <xf numFmtId="0" fontId="59" fillId="0" borderId="0"/>
    <xf numFmtId="0" fontId="59" fillId="0" borderId="0"/>
    <xf numFmtId="0" fontId="59" fillId="0" borderId="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59" fillId="0" borderId="0" applyFont="0" applyFill="0" applyBorder="0" applyAlignment="0" applyProtection="0"/>
    <xf numFmtId="169" fontId="2" fillId="0" borderId="0" applyFont="0" applyFill="0" applyBorder="0" applyAlignment="0" applyProtection="0"/>
    <xf numFmtId="43" fontId="167"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2" fillId="0" borderId="0" applyFont="0" applyFill="0" applyBorder="0" applyAlignment="0" applyProtection="0"/>
    <xf numFmtId="0" fontId="17" fillId="0" borderId="0"/>
    <xf numFmtId="43" fontId="16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7" fillId="0" borderId="0" applyFont="0" applyFill="0" applyBorder="0" applyAlignment="0" applyProtection="0"/>
    <xf numFmtId="0" fontId="1" fillId="0" borderId="0"/>
    <xf numFmtId="0" fontId="17" fillId="0" borderId="0"/>
    <xf numFmtId="0" fontId="1" fillId="0" borderId="0"/>
    <xf numFmtId="0" fontId="42" fillId="0" borderId="0"/>
    <xf numFmtId="0" fontId="109" fillId="0" borderId="0"/>
    <xf numFmtId="0" fontId="17" fillId="0" borderId="0"/>
    <xf numFmtId="0" fontId="17" fillId="0" borderId="0"/>
    <xf numFmtId="0" fontId="17" fillId="0" borderId="0"/>
    <xf numFmtId="0" fontId="167" fillId="0" borderId="0"/>
    <xf numFmtId="43" fontId="167" fillId="0" borderId="0" applyFont="0" applyFill="0" applyBorder="0" applyAlignment="0" applyProtection="0"/>
    <xf numFmtId="167" fontId="167" fillId="0" borderId="0" applyFont="0" applyFill="0" applyBorder="0" applyAlignment="0" applyProtection="0"/>
    <xf numFmtId="43"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7"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167" fontId="167" fillId="0" borderId="0" applyFont="0" applyFill="0" applyBorder="0" applyAlignment="0" applyProtection="0"/>
    <xf numFmtId="43" fontId="2" fillId="0" borderId="0" applyFont="0" applyFill="0" applyBorder="0" applyAlignment="0" applyProtection="0"/>
    <xf numFmtId="43" fontId="167" fillId="0" borderId="0" applyFont="0" applyFill="0" applyBorder="0" applyAlignment="0" applyProtection="0"/>
    <xf numFmtId="167" fontId="167" fillId="0" borderId="0" applyFont="0" applyFill="0" applyBorder="0" applyAlignment="0" applyProtection="0"/>
    <xf numFmtId="0" fontId="59" fillId="27" borderId="57" applyNumberFormat="0" applyFont="0" applyAlignment="0" applyProtection="0"/>
    <xf numFmtId="224" fontId="74" fillId="0" borderId="61">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1" fontId="94" fillId="0" borderId="54" applyBorder="0" applyAlignment="0">
      <alignment horizontal="center"/>
    </xf>
    <xf numFmtId="0" fontId="76" fillId="21" borderId="58" applyNumberFormat="0" applyAlignment="0" applyProtection="0"/>
    <xf numFmtId="0" fontId="59" fillId="27" borderId="57" applyNumberFormat="0" applyFont="0" applyAlignment="0" applyProtection="0"/>
    <xf numFmtId="0" fontId="138" fillId="1" borderId="56" applyNumberFormat="0" applyFont="0" applyAlignment="0">
      <alignment horizontal="center"/>
    </xf>
    <xf numFmtId="0" fontId="77" fillId="0" borderId="62" applyNumberFormat="0" applyFill="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63" fillId="21" borderId="55"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224" fontId="74" fillId="0" borderId="61">
      <alignment horizontal="right" vertical="center"/>
    </xf>
    <xf numFmtId="4" fontId="142" fillId="32" borderId="59" applyNumberFormat="0" applyProtection="0">
      <alignment horizontal="right" vertical="center"/>
    </xf>
    <xf numFmtId="0" fontId="123" fillId="0" borderId="56">
      <alignment horizontal="left" vertical="center"/>
    </xf>
    <xf numFmtId="0" fontId="59" fillId="27" borderId="57" applyNumberFormat="0" applyFont="0" applyAlignment="0" applyProtection="0"/>
    <xf numFmtId="0" fontId="59" fillId="27" borderId="57" applyNumberFormat="0" applyFont="0" applyAlignment="0" applyProtection="0"/>
    <xf numFmtId="4" fontId="142" fillId="29" borderId="59" applyNumberFormat="0" applyProtection="0">
      <alignment horizontal="left" vertical="center" indent="1"/>
    </xf>
    <xf numFmtId="4" fontId="143" fillId="42" borderId="59" applyNumberFormat="0" applyProtection="0">
      <alignmen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37"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123" fillId="0" borderId="56">
      <alignment horizontal="lef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1" fillId="29" borderId="59" applyNumberFormat="0" applyProtection="0">
      <alignmen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3" fillId="42" borderId="59" applyNumberFormat="0" applyProtection="0">
      <alignment horizontal="right" vertical="center"/>
    </xf>
    <xf numFmtId="0" fontId="59" fillId="27" borderId="57" applyNumberFormat="0" applyFont="0" applyAlignment="0" applyProtection="0"/>
    <xf numFmtId="0" fontId="138" fillId="1" borderId="67" applyNumberFormat="0" applyFont="0" applyAlignment="0">
      <alignment horizontal="center"/>
    </xf>
    <xf numFmtId="0" fontId="59" fillId="27" borderId="57" applyNumberFormat="0" applyFont="0" applyAlignment="0" applyProtection="0"/>
    <xf numFmtId="0" fontId="59" fillId="27" borderId="57" applyNumberFormat="0" applyFont="0" applyAlignment="0" applyProtection="0"/>
    <xf numFmtId="224" fontId="74" fillId="0" borderId="61">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218" fontId="18" fillId="0" borderId="64"/>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154" fillId="44" borderId="65">
      <alignment horizontal="left" vertical="center"/>
    </xf>
    <xf numFmtId="0" fontId="59" fillId="27" borderId="57" applyNumberFormat="0" applyFont="0" applyAlignment="0" applyProtection="0"/>
    <xf numFmtId="10" fontId="119" fillId="23" borderId="65" applyNumberFormat="0" applyBorder="0" applyAlignment="0" applyProtection="0"/>
    <xf numFmtId="0" fontId="59" fillId="27" borderId="57" applyNumberFormat="0" applyFont="0" applyAlignment="0" applyProtection="0"/>
    <xf numFmtId="10" fontId="119" fillId="23" borderId="54" applyNumberFormat="0" applyBorder="0" applyAlignment="0" applyProtection="0"/>
    <xf numFmtId="0" fontId="77" fillId="0" borderId="62" applyNumberFormat="0" applyFill="0" applyAlignment="0" applyProtection="0"/>
    <xf numFmtId="0" fontId="59" fillId="27" borderId="57" applyNumberFormat="0" applyFont="0" applyAlignment="0" applyProtection="0"/>
    <xf numFmtId="43" fontId="167" fillId="0" borderId="0" applyFont="0" applyFill="0" applyBorder="0" applyAlignment="0" applyProtection="0"/>
    <xf numFmtId="0" fontId="138" fillId="1" borderId="56" applyNumberFormat="0" applyFont="0" applyAlignment="0">
      <alignment horizontal="center"/>
    </xf>
    <xf numFmtId="0" fontId="59" fillId="27" borderId="57" applyNumberFormat="0" applyFont="0" applyAlignment="0" applyProtection="0"/>
    <xf numFmtId="4" fontId="145" fillId="42"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5" fillId="42" borderId="59" applyNumberFormat="0" applyProtection="0">
      <alignment horizontal="right" vertical="center"/>
    </xf>
    <xf numFmtId="0" fontId="59" fillId="27" borderId="57" applyNumberFormat="0" applyFont="0" applyAlignment="0" applyProtection="0"/>
    <xf numFmtId="4" fontId="142" fillId="36" borderId="59" applyNumberFormat="0" applyProtection="0">
      <alignment horizontal="right" vertical="center"/>
    </xf>
    <xf numFmtId="0" fontId="59" fillId="27" borderId="57" applyNumberFormat="0" applyFont="0" applyAlignment="0" applyProtection="0"/>
    <xf numFmtId="0" fontId="123" fillId="0" borderId="56">
      <alignment horizontal="left" vertical="center"/>
    </xf>
    <xf numFmtId="0" fontId="59" fillId="27" borderId="57" applyNumberFormat="0" applyFont="0" applyAlignment="0" applyProtection="0"/>
    <xf numFmtId="0" fontId="138" fillId="1" borderId="56" applyNumberFormat="0" applyFont="0" applyAlignment="0">
      <alignment horizontal="center"/>
    </xf>
    <xf numFmtId="0" fontId="154" fillId="44" borderId="54">
      <alignment horizontal="left" vertical="center"/>
    </xf>
    <xf numFmtId="3" fontId="81" fillId="0" borderId="54"/>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0" fillId="29" borderId="59" applyNumberFormat="0" applyProtection="0">
      <alignment vertical="center"/>
    </xf>
    <xf numFmtId="0" fontId="59" fillId="27" borderId="57" applyNumberFormat="0" applyFont="0" applyAlignment="0" applyProtection="0"/>
    <xf numFmtId="230" fontId="74" fillId="0" borderId="54"/>
    <xf numFmtId="0" fontId="59" fillId="27" borderId="57" applyNumberFormat="0" applyFont="0" applyAlignment="0" applyProtection="0"/>
    <xf numFmtId="0" fontId="59" fillId="27" borderId="57" applyNumberFormat="0" applyFont="0" applyAlignment="0" applyProtection="0"/>
    <xf numFmtId="167" fontId="167" fillId="0" borderId="0" applyFont="0" applyFill="0" applyBorder="0" applyAlignment="0" applyProtection="0"/>
    <xf numFmtId="43" fontId="167" fillId="0" borderId="0" applyFont="0" applyFill="0" applyBorder="0" applyAlignment="0" applyProtection="0"/>
    <xf numFmtId="0" fontId="59" fillId="27" borderId="57" applyNumberFormat="0" applyFont="0" applyAlignment="0" applyProtection="0"/>
    <xf numFmtId="0" fontId="59" fillId="27" borderId="57" applyNumberFormat="0" applyFont="0" applyAlignment="0" applyProtection="0"/>
    <xf numFmtId="0" fontId="71" fillId="8" borderId="55"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9" fontId="127" fillId="0" borderId="54">
      <alignment vertical="center"/>
    </xf>
    <xf numFmtId="0" fontId="59" fillId="27" borderId="57" applyNumberFormat="0" applyFont="0" applyAlignment="0" applyProtection="0"/>
    <xf numFmtId="218" fontId="18" fillId="0" borderId="64"/>
    <xf numFmtId="0" fontId="71" fillId="8" borderId="55" applyNumberFormat="0" applyAlignment="0" applyProtection="0"/>
    <xf numFmtId="4" fontId="143" fillId="42" borderId="59" applyNumberFormat="0" applyProtection="0">
      <alignmen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71" fillId="8" borderId="55"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167" fontId="167" fillId="0" borderId="0" applyFont="0" applyFill="0" applyBorder="0" applyAlignment="0" applyProtection="0"/>
    <xf numFmtId="0" fontId="154" fillId="44" borderId="54">
      <alignment horizontal="left" vertical="center"/>
    </xf>
    <xf numFmtId="43" fontId="167" fillId="0" borderId="0" applyFont="0" applyFill="0" applyBorder="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3" fontId="81" fillId="0" borderId="54"/>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3" fontId="167" fillId="0" borderId="0" applyFont="0" applyFill="0" applyBorder="0" applyAlignment="0" applyProtection="0"/>
    <xf numFmtId="0" fontId="59" fillId="27" borderId="57" applyNumberFormat="0" applyFont="0" applyAlignment="0" applyProtection="0"/>
    <xf numFmtId="230" fontId="74" fillId="0" borderId="54"/>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5" fontId="126" fillId="25" borderId="54" applyNumberFormat="0" applyAlignment="0">
      <alignment horizontal="left" vertical="top"/>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32" borderId="59" applyNumberFormat="0" applyProtection="0">
      <alignment horizontal="right" vertical="center"/>
    </xf>
    <xf numFmtId="4" fontId="142" fillId="35" borderId="59" applyNumberFormat="0" applyProtection="0">
      <alignment horizontal="right" vertical="center"/>
    </xf>
    <xf numFmtId="4" fontId="142" fillId="34" borderId="59" applyNumberFormat="0" applyProtection="0">
      <alignment horizontal="right" vertical="center"/>
    </xf>
    <xf numFmtId="4" fontId="140" fillId="41" borderId="60" applyNumberFormat="0" applyProtection="0">
      <alignment horizontal="left" vertical="center" indent="1"/>
    </xf>
    <xf numFmtId="4" fontId="142" fillId="34" borderId="59" applyNumberFormat="0" applyProtection="0">
      <alignment horizontal="right" vertical="center"/>
    </xf>
    <xf numFmtId="4" fontId="142" fillId="42"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71" fillId="8" borderId="66" applyNumberFormat="0" applyAlignment="0" applyProtection="0"/>
    <xf numFmtId="4" fontId="142" fillId="39"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42" borderId="59" applyNumberFormat="0" applyProtection="0">
      <alignment vertical="center"/>
    </xf>
    <xf numFmtId="4" fontId="144" fillId="25" borderId="60" applyNumberFormat="0" applyProtection="0">
      <alignment horizontal="left" vertical="center" indent="1"/>
    </xf>
    <xf numFmtId="0" fontId="59" fillId="27" borderId="57" applyNumberFormat="0" applyFont="0" applyAlignment="0" applyProtection="0"/>
    <xf numFmtId="0" fontId="59" fillId="27" borderId="57" applyNumberFormat="0" applyFont="0" applyAlignment="0" applyProtection="0"/>
    <xf numFmtId="3" fontId="81" fillId="0" borderId="54"/>
    <xf numFmtId="0" fontId="59" fillId="27" borderId="57" applyNumberFormat="0" applyFont="0" applyAlignment="0" applyProtection="0"/>
    <xf numFmtId="43" fontId="167" fillId="0" borderId="0" applyFont="0" applyFill="0" applyBorder="0" applyAlignment="0" applyProtection="0"/>
    <xf numFmtId="0" fontId="59" fillId="27" borderId="57" applyNumberFormat="0" applyFont="0" applyAlignment="0" applyProtection="0"/>
    <xf numFmtId="4" fontId="142" fillId="29" borderId="59" applyNumberFormat="0" applyProtection="0">
      <alignment horizontal="left" vertical="center" indent="1"/>
    </xf>
    <xf numFmtId="4" fontId="142" fillId="38"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10" fontId="119" fillId="23" borderId="54" applyNumberFormat="0" applyBorder="0" applyAlignment="0" applyProtection="0"/>
    <xf numFmtId="49" fontId="127" fillId="0" borderId="54">
      <alignmen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1" fontId="94" fillId="0" borderId="54" applyBorder="0" applyAlignment="0">
      <alignment horizontal="center"/>
    </xf>
    <xf numFmtId="3" fontId="81" fillId="0" borderId="54"/>
    <xf numFmtId="0" fontId="59" fillId="27" borderId="57" applyNumberFormat="0" applyFont="0" applyAlignment="0" applyProtection="0"/>
    <xf numFmtId="4" fontId="142" fillId="32" borderId="59" applyNumberFormat="0" applyProtection="0">
      <alignment horizontal="right" vertical="center"/>
    </xf>
    <xf numFmtId="0" fontId="59" fillId="27" borderId="57" applyNumberFormat="0" applyFont="0" applyAlignment="0" applyProtection="0"/>
    <xf numFmtId="3" fontId="81" fillId="0" borderId="54"/>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42" borderId="59" applyNumberFormat="0" applyProtection="0">
      <alignment horizontal="right" vertical="center"/>
    </xf>
    <xf numFmtId="0" fontId="59" fillId="27" borderId="57" applyNumberFormat="0" applyFont="0" applyAlignment="0" applyProtection="0"/>
    <xf numFmtId="41" fontId="2" fillId="0" borderId="0" applyFont="0" applyFill="0" applyBorder="0" applyAlignment="0" applyProtection="0"/>
    <xf numFmtId="0" fontId="59" fillId="27" borderId="57" applyNumberFormat="0" applyFont="0" applyAlignment="0" applyProtection="0"/>
    <xf numFmtId="5" fontId="126" fillId="0" borderId="63">
      <alignment horizontal="left" vertical="top"/>
    </xf>
    <xf numFmtId="3" fontId="81" fillId="0" borderId="54"/>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3" fontId="167" fillId="0" borderId="0" applyFont="0" applyFill="0" applyBorder="0" applyAlignment="0" applyProtection="0"/>
    <xf numFmtId="0" fontId="63" fillId="21" borderId="66"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63" fillId="21" borderId="55" applyNumberFormat="0" applyAlignment="0" applyProtection="0"/>
    <xf numFmtId="3" fontId="81" fillId="0" borderId="65"/>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35" borderId="59" applyNumberFormat="0" applyProtection="0">
      <alignment horizontal="right" vertical="center"/>
    </xf>
    <xf numFmtId="0" fontId="59" fillId="27" borderId="57" applyNumberFormat="0" applyFont="0" applyAlignment="0" applyProtection="0"/>
    <xf numFmtId="3" fontId="81" fillId="0" borderId="54"/>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39"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10" fontId="119" fillId="23" borderId="54" applyNumberFormat="0" applyBorder="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227" fontId="74" fillId="0" borderId="61">
      <alignment horizontal="center"/>
    </xf>
    <xf numFmtId="0" fontId="59" fillId="27" borderId="57" applyNumberFormat="0" applyFont="0" applyAlignment="0" applyProtection="0"/>
    <xf numFmtId="0" fontId="59" fillId="27" borderId="57" applyNumberFormat="0" applyFont="0" applyAlignment="0" applyProtection="0"/>
    <xf numFmtId="6" fontId="155" fillId="45" borderId="63"/>
    <xf numFmtId="0" fontId="59" fillId="27" borderId="57" applyNumberFormat="0" applyFont="0" applyAlignment="0" applyProtection="0"/>
    <xf numFmtId="0" fontId="59" fillId="27" borderId="57" applyNumberFormat="0" applyFont="0" applyAlignment="0" applyProtection="0"/>
    <xf numFmtId="4" fontId="140" fillId="41" borderId="59" applyNumberFormat="0" applyProtection="0">
      <alignment horizontal="left" vertical="center" indent="1"/>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0" fillId="41" borderId="59" applyNumberFormat="0" applyProtection="0">
      <alignment horizontal="left" vertical="center" indent="1"/>
    </xf>
    <xf numFmtId="0" fontId="59" fillId="27" borderId="57" applyNumberFormat="0" applyFont="0" applyAlignment="0" applyProtection="0"/>
    <xf numFmtId="0" fontId="59" fillId="27" borderId="57" applyNumberFormat="0" applyFont="0" applyAlignment="0" applyProtection="0"/>
    <xf numFmtId="0" fontId="71" fillId="8" borderId="55"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38"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63" fillId="21" borderId="55" applyNumberFormat="0" applyAlignment="0" applyProtection="0"/>
    <xf numFmtId="0" fontId="59" fillId="27" borderId="57" applyNumberFormat="0" applyFont="0" applyAlignment="0" applyProtection="0"/>
    <xf numFmtId="4" fontId="140" fillId="41" borderId="60" applyNumberFormat="0" applyProtection="0">
      <alignment horizontal="left" vertical="center" indent="1"/>
    </xf>
    <xf numFmtId="0" fontId="59" fillId="27" borderId="57" applyNumberFormat="0" applyFont="0" applyAlignment="0" applyProtection="0"/>
    <xf numFmtId="224" fontId="74" fillId="0" borderId="61">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224" fontId="74" fillId="0" borderId="61">
      <alignment horizontal="right" vertical="center"/>
    </xf>
    <xf numFmtId="4" fontId="142" fillId="37"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31" borderId="59" applyNumberFormat="0" applyProtection="0">
      <alignment horizontal="right" vertical="center"/>
    </xf>
    <xf numFmtId="0" fontId="123" fillId="0" borderId="67">
      <alignment horizontal="lef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4" fillId="25" borderId="60" applyNumberFormat="0" applyProtection="0">
      <alignment horizontal="left" vertical="center" indent="1"/>
    </xf>
    <xf numFmtId="0" fontId="59" fillId="27" borderId="57" applyNumberFormat="0" applyFont="0" applyAlignment="0" applyProtection="0"/>
    <xf numFmtId="0" fontId="59" fillId="27" borderId="57" applyNumberFormat="0" applyFont="0" applyAlignment="0" applyProtection="0"/>
    <xf numFmtId="4" fontId="142" fillId="37" borderId="59" applyNumberFormat="0" applyProtection="0">
      <alignment horizontal="right" vertical="center"/>
    </xf>
    <xf numFmtId="4" fontId="141" fillId="29" borderId="59" applyNumberFormat="0" applyProtection="0">
      <alignmen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154" fillId="44" borderId="54">
      <alignment horizontal="left" vertical="center"/>
    </xf>
    <xf numFmtId="0" fontId="59" fillId="27" borderId="57" applyNumberFormat="0" applyFont="0" applyAlignment="0" applyProtection="0"/>
    <xf numFmtId="0" fontId="59" fillId="27" borderId="57" applyNumberFormat="0" applyFont="0" applyAlignment="0" applyProtection="0"/>
    <xf numFmtId="49" fontId="127" fillId="0" borderId="54">
      <alignmen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41" borderId="59" applyNumberFormat="0" applyProtection="0">
      <alignment horizontal="right" vertical="center"/>
    </xf>
    <xf numFmtId="3" fontId="81" fillId="0" borderId="54"/>
    <xf numFmtId="0" fontId="59" fillId="27" borderId="57" applyNumberFormat="0" applyFont="0" applyAlignment="0" applyProtection="0"/>
    <xf numFmtId="4" fontId="143" fillId="42"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5" fontId="126" fillId="25" borderId="54" applyNumberFormat="0" applyAlignment="0">
      <alignment horizontal="left" vertical="top"/>
    </xf>
    <xf numFmtId="167" fontId="167" fillId="0" borderId="0" applyFont="0" applyFill="0" applyBorder="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71" fillId="8" borderId="55"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10" fontId="119" fillId="23" borderId="54" applyNumberFormat="0" applyBorder="0" applyAlignment="0" applyProtection="0"/>
    <xf numFmtId="0" fontId="154" fillId="44" borderId="54">
      <alignment horizontal="left" vertical="center"/>
    </xf>
    <xf numFmtId="0" fontId="59" fillId="27" borderId="57" applyNumberFormat="0" applyFont="0" applyAlignment="0" applyProtection="0"/>
    <xf numFmtId="0" fontId="59" fillId="27" borderId="57" applyNumberFormat="0" applyFont="0" applyAlignment="0" applyProtection="0"/>
    <xf numFmtId="5" fontId="126" fillId="25" borderId="54" applyNumberFormat="0" applyAlignment="0">
      <alignment horizontal="left" vertical="top"/>
    </xf>
    <xf numFmtId="0" fontId="59" fillId="27" borderId="57" applyNumberFormat="0" applyFont="0" applyAlignment="0" applyProtection="0"/>
    <xf numFmtId="0" fontId="77" fillId="0" borderId="62" applyNumberFormat="0" applyFill="0" applyAlignment="0" applyProtection="0"/>
    <xf numFmtId="49" fontId="127" fillId="0" borderId="54">
      <alignment vertical="center"/>
    </xf>
    <xf numFmtId="0" fontId="59" fillId="27" borderId="57" applyNumberFormat="0" applyFont="0" applyAlignment="0" applyProtection="0"/>
    <xf numFmtId="5" fontId="126" fillId="25" borderId="54" applyNumberFormat="0" applyAlignment="0">
      <alignment horizontal="left" vertical="top"/>
    </xf>
    <xf numFmtId="0" fontId="59" fillId="27" borderId="57" applyNumberFormat="0" applyFont="0" applyAlignment="0" applyProtection="0"/>
    <xf numFmtId="0" fontId="59" fillId="27" borderId="57" applyNumberFormat="0" applyFont="0" applyAlignment="0" applyProtection="0"/>
    <xf numFmtId="4" fontId="140" fillId="29" borderId="59" applyNumberFormat="0" applyProtection="0">
      <alignmen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3" fontId="81" fillId="0" borderId="54"/>
    <xf numFmtId="0" fontId="59" fillId="27" borderId="57" applyNumberFormat="0" applyFont="0" applyAlignment="0" applyProtection="0"/>
    <xf numFmtId="0" fontId="154" fillId="44" borderId="54">
      <alignment horizontal="left" vertical="center"/>
    </xf>
    <xf numFmtId="4" fontId="142" fillId="33" borderId="59" applyNumberFormat="0" applyProtection="0">
      <alignment horizontal="right" vertical="center"/>
    </xf>
    <xf numFmtId="5" fontId="152" fillId="43" borderId="63">
      <alignment vertical="top"/>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1" fontId="94" fillId="0" borderId="54" applyBorder="0" applyAlignment="0">
      <alignment horizontal="center"/>
    </xf>
    <xf numFmtId="4" fontId="142" fillId="33"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230" fontId="74" fillId="0" borderId="54"/>
    <xf numFmtId="1" fontId="94" fillId="0" borderId="54" applyBorder="0" applyAlignment="0">
      <alignment horizontal="center"/>
    </xf>
    <xf numFmtId="6" fontId="155" fillId="45" borderId="63"/>
    <xf numFmtId="0" fontId="59" fillId="27" borderId="57" applyNumberFormat="0" applyFont="0" applyAlignment="0" applyProtection="0"/>
    <xf numFmtId="0" fontId="59" fillId="27" borderId="57" applyNumberFormat="0" applyFont="0" applyAlignment="0" applyProtection="0"/>
    <xf numFmtId="43" fontId="167" fillId="0" borderId="0" applyFont="0" applyFill="0" applyBorder="0" applyAlignment="0" applyProtection="0"/>
    <xf numFmtId="5" fontId="152" fillId="43" borderId="63">
      <alignment vertical="top"/>
    </xf>
    <xf numFmtId="4" fontId="141" fillId="29" borderId="59" applyNumberFormat="0" applyProtection="0">
      <alignment vertical="center"/>
    </xf>
    <xf numFmtId="0" fontId="59" fillId="27" borderId="57" applyNumberFormat="0" applyFont="0" applyAlignment="0" applyProtection="0"/>
    <xf numFmtId="0" fontId="59" fillId="27" borderId="57" applyNumberFormat="0" applyFont="0" applyAlignment="0" applyProtection="0"/>
    <xf numFmtId="6" fontId="155" fillId="45" borderId="63"/>
    <xf numFmtId="0" fontId="138" fillId="1" borderId="56" applyNumberFormat="0" applyFont="0" applyAlignment="0">
      <alignment horizontal="center"/>
    </xf>
    <xf numFmtId="4" fontId="142" fillId="34"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4" fontId="140" fillId="41" borderId="60" applyNumberFormat="0" applyProtection="0">
      <alignment horizontal="left" vertical="center" indent="1"/>
    </xf>
    <xf numFmtId="0" fontId="59" fillId="27" borderId="57" applyNumberFormat="0" applyFont="0" applyAlignment="0" applyProtection="0"/>
    <xf numFmtId="0" fontId="123" fillId="0" borderId="56">
      <alignment horizontal="lef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63" fillId="21" borderId="55" applyNumberFormat="0" applyAlignment="0" applyProtection="0"/>
    <xf numFmtId="3" fontId="81" fillId="0" borderId="65"/>
    <xf numFmtId="4" fontId="142" fillId="39" borderId="59" applyNumberFormat="0" applyProtection="0">
      <alignment horizontal="right" vertical="center"/>
    </xf>
    <xf numFmtId="3" fontId="81" fillId="0" borderId="54"/>
    <xf numFmtId="0" fontId="59" fillId="27" borderId="57" applyNumberFormat="0" applyFont="0" applyAlignment="0" applyProtection="0"/>
    <xf numFmtId="0" fontId="59" fillId="27" borderId="57" applyNumberFormat="0" applyFont="0" applyAlignment="0" applyProtection="0"/>
    <xf numFmtId="3" fontId="81" fillId="0" borderId="65"/>
    <xf numFmtId="3" fontId="81" fillId="0" borderId="54"/>
    <xf numFmtId="0" fontId="59" fillId="27" borderId="57" applyNumberFormat="0" applyFont="0" applyAlignment="0" applyProtection="0"/>
    <xf numFmtId="0" fontId="63" fillId="21" borderId="55" applyNumberFormat="0" applyAlignment="0" applyProtection="0"/>
    <xf numFmtId="0" fontId="59" fillId="27" borderId="57" applyNumberFormat="0" applyFont="0" applyAlignment="0" applyProtection="0"/>
    <xf numFmtId="4" fontId="140" fillId="41" borderId="59" applyNumberFormat="0" applyProtection="0">
      <alignment horizontal="left" vertical="center" indent="1"/>
    </xf>
    <xf numFmtId="49" fontId="127" fillId="0" borderId="54">
      <alignment vertical="center"/>
    </xf>
    <xf numFmtId="0" fontId="59" fillId="27" borderId="57" applyNumberFormat="0" applyFont="0" applyAlignment="0" applyProtection="0"/>
    <xf numFmtId="0" fontId="76" fillId="21" borderId="58"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9" fontId="127" fillId="0" borderId="65">
      <alignment vertical="center"/>
    </xf>
    <xf numFmtId="4" fontId="140" fillId="29" borderId="59" applyNumberFormat="0" applyProtection="0">
      <alignment vertical="center"/>
    </xf>
    <xf numFmtId="0" fontId="59" fillId="27" borderId="57" applyNumberFormat="0" applyFont="0" applyAlignment="0" applyProtection="0"/>
    <xf numFmtId="5" fontId="126" fillId="0" borderId="63">
      <alignment horizontal="left" vertical="top"/>
    </xf>
    <xf numFmtId="5" fontId="152" fillId="43" borderId="63">
      <alignment vertical="top"/>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3" fillId="42"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230" fontId="74" fillId="0" borderId="54"/>
    <xf numFmtId="0" fontId="59" fillId="27" borderId="57" applyNumberFormat="0" applyFont="0" applyAlignment="0" applyProtection="0"/>
    <xf numFmtId="0" fontId="59" fillId="27" borderId="57" applyNumberFormat="0" applyFont="0" applyAlignment="0" applyProtection="0"/>
    <xf numFmtId="4" fontId="142" fillId="36"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35" borderId="59" applyNumberFormat="0" applyProtection="0">
      <alignment horizontal="right" vertical="center"/>
    </xf>
    <xf numFmtId="0" fontId="59" fillId="27" borderId="57" applyNumberFormat="0" applyFont="0" applyAlignment="0" applyProtection="0"/>
    <xf numFmtId="4" fontId="142" fillId="41" borderId="59" applyNumberFormat="0" applyProtection="0">
      <alignment horizontal="right" vertical="center"/>
    </xf>
    <xf numFmtId="4" fontId="144" fillId="25" borderId="60" applyNumberFormat="0" applyProtection="0">
      <alignment horizontal="left" vertical="center" indent="1"/>
    </xf>
    <xf numFmtId="0" fontId="59" fillId="27" borderId="57" applyNumberFormat="0" applyFont="0" applyAlignment="0" applyProtection="0"/>
    <xf numFmtId="1" fontId="94" fillId="0" borderId="65" applyBorder="0" applyAlignment="0">
      <alignment horizontal="center"/>
    </xf>
    <xf numFmtId="0" fontId="59" fillId="27" borderId="57" applyNumberFormat="0" applyFont="0" applyAlignment="0" applyProtection="0"/>
    <xf numFmtId="4" fontId="145" fillId="42"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4" fontId="142" fillId="42" borderId="59" applyNumberFormat="0" applyProtection="0">
      <alignment horizontal="right" vertical="center"/>
    </xf>
    <xf numFmtId="4" fontId="142" fillId="38"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230" fontId="74" fillId="0" borderId="65"/>
    <xf numFmtId="0" fontId="59" fillId="27" borderId="57" applyNumberFormat="0" applyFont="0" applyAlignment="0" applyProtection="0"/>
    <xf numFmtId="0" fontId="59" fillId="27" borderId="57" applyNumberFormat="0" applyFont="0" applyAlignment="0" applyProtection="0"/>
    <xf numFmtId="224" fontId="74" fillId="0" borderId="61">
      <alignment horizontal="right" vertical="center"/>
    </xf>
    <xf numFmtId="0" fontId="59" fillId="27" borderId="57" applyNumberFormat="0" applyFont="0" applyAlignment="0" applyProtection="0"/>
    <xf numFmtId="3" fontId="81" fillId="0" borderId="54"/>
    <xf numFmtId="230" fontId="74" fillId="0" borderId="54"/>
    <xf numFmtId="0" fontId="59" fillId="27" borderId="57" applyNumberFormat="0" applyFont="0" applyAlignment="0" applyProtection="0"/>
    <xf numFmtId="224" fontId="74" fillId="0" borderId="61">
      <alignment horizontal="righ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 fontId="142" fillId="42" borderId="59" applyNumberFormat="0" applyProtection="0">
      <alignment vertical="center"/>
    </xf>
    <xf numFmtId="167" fontId="167" fillId="0" borderId="0" applyFont="0" applyFill="0" applyBorder="0" applyAlignment="0" applyProtection="0"/>
    <xf numFmtId="0" fontId="59" fillId="27" borderId="57" applyNumberFormat="0" applyFont="0" applyAlignment="0" applyProtection="0"/>
    <xf numFmtId="4" fontId="142" fillId="42" borderId="59" applyNumberFormat="0" applyProtection="0">
      <alignment vertical="center"/>
    </xf>
    <xf numFmtId="5" fontId="126" fillId="25" borderId="54" applyNumberFormat="0" applyAlignment="0">
      <alignment horizontal="left" vertical="top"/>
    </xf>
    <xf numFmtId="0" fontId="59" fillId="27" borderId="57" applyNumberFormat="0" applyFont="0" applyAlignment="0" applyProtection="0"/>
    <xf numFmtId="0" fontId="59" fillId="27" borderId="57" applyNumberFormat="0" applyFont="0" applyAlignment="0" applyProtection="0"/>
    <xf numFmtId="4" fontId="142" fillId="29" borderId="59" applyNumberFormat="0" applyProtection="0">
      <alignment horizontal="left" vertical="center" indent="1"/>
    </xf>
    <xf numFmtId="0" fontId="59" fillId="27" borderId="57" applyNumberFormat="0" applyFont="0" applyAlignment="0" applyProtection="0"/>
    <xf numFmtId="0" fontId="138" fillId="1" borderId="56" applyNumberFormat="0" applyFont="0" applyAlignment="0">
      <alignment horizontal="center"/>
    </xf>
    <xf numFmtId="0" fontId="59" fillId="27" borderId="57" applyNumberFormat="0" applyFont="0" applyAlignment="0" applyProtection="0"/>
    <xf numFmtId="0" fontId="59" fillId="27" borderId="57" applyNumberFormat="0" applyFont="0" applyAlignment="0" applyProtection="0"/>
    <xf numFmtId="4" fontId="143" fillId="42" borderId="59" applyNumberFormat="0" applyProtection="0">
      <alignmen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3" fontId="81" fillId="0" borderId="54"/>
    <xf numFmtId="0" fontId="59" fillId="27" borderId="57" applyNumberFormat="0" applyFont="0" applyAlignment="0" applyProtection="0"/>
    <xf numFmtId="4" fontId="142" fillId="33" borderId="59" applyNumberFormat="0" applyProtection="0">
      <alignment horizontal="right" vertical="center"/>
    </xf>
    <xf numFmtId="4" fontId="142" fillId="31" borderId="59" applyNumberFormat="0" applyProtection="0">
      <alignment horizontal="right" vertical="center"/>
    </xf>
    <xf numFmtId="0" fontId="59" fillId="27" borderId="57" applyNumberFormat="0" applyFont="0" applyAlignment="0" applyProtection="0"/>
    <xf numFmtId="0" fontId="59" fillId="27" borderId="57" applyNumberFormat="0" applyFont="0" applyAlignment="0" applyProtection="0"/>
    <xf numFmtId="5" fontId="126" fillId="25" borderId="65" applyNumberFormat="0" applyAlignment="0">
      <alignment horizontal="left" vertical="top"/>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3" fontId="2" fillId="0" borderId="0" applyFont="0" applyFill="0" applyBorder="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3" fontId="81" fillId="0" borderId="1"/>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71" fillId="8" borderId="2" applyNumberForma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4" fontId="142" fillId="34" borderId="16" applyNumberFormat="0" applyProtection="0">
      <alignment horizontal="right" vertical="center"/>
    </xf>
    <xf numFmtId="3" fontId="81" fillId="0" borderId="1"/>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2" fillId="29" borderId="16" applyNumberFormat="0" applyProtection="0">
      <alignment horizontal="left" vertical="center" indent="1"/>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10" fontId="119" fillId="23" borderId="1" applyNumberFormat="0" applyBorder="0" applyAlignment="0" applyProtection="0"/>
    <xf numFmtId="0" fontId="59" fillId="27" borderId="13" applyNumberFormat="0" applyFont="0" applyAlignment="0" applyProtection="0"/>
    <xf numFmtId="4" fontId="143" fillId="42" borderId="16" applyNumberFormat="0" applyProtection="0">
      <alignment vertical="center"/>
    </xf>
    <xf numFmtId="0" fontId="59" fillId="27" borderId="13" applyNumberFormat="0" applyFont="0" applyAlignment="0" applyProtection="0"/>
    <xf numFmtId="43" fontId="2" fillId="0" borderId="0" applyFont="0" applyFill="0" applyBorder="0" applyAlignment="0" applyProtection="0"/>
    <xf numFmtId="0" fontId="77" fillId="0" borderId="23" applyNumberFormat="0" applyFill="0" applyAlignment="0" applyProtection="0"/>
    <xf numFmtId="0" fontId="59" fillId="27" borderId="13" applyNumberFormat="0" applyFont="0" applyAlignment="0" applyProtection="0"/>
    <xf numFmtId="4" fontId="142" fillId="35"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2" fillId="39"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2" fillId="33"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1" fillId="29" borderId="16" applyNumberFormat="0" applyProtection="0">
      <alignment vertical="center"/>
    </xf>
    <xf numFmtId="0" fontId="59" fillId="27" borderId="13" applyNumberFormat="0" applyFont="0" applyAlignment="0" applyProtection="0"/>
    <xf numFmtId="0" fontId="59" fillId="27" borderId="13" applyNumberFormat="0" applyFont="0" applyAlignment="0" applyProtection="0"/>
    <xf numFmtId="0" fontId="71" fillId="8" borderId="2" applyNumberFormat="0" applyAlignment="0" applyProtection="0"/>
    <xf numFmtId="0" fontId="59" fillId="27" borderId="13" applyNumberFormat="0" applyFont="0" applyAlignment="0" applyProtection="0"/>
    <xf numFmtId="0" fontId="123" fillId="0" borderId="6">
      <alignment horizontal="left" vertical="center"/>
    </xf>
    <xf numFmtId="5" fontId="126" fillId="25" borderId="1" applyNumberFormat="0" applyAlignment="0">
      <alignment horizontal="left" vertical="top"/>
    </xf>
    <xf numFmtId="49" fontId="127" fillId="0" borderId="1">
      <alignment vertical="center"/>
    </xf>
    <xf numFmtId="0" fontId="59" fillId="27" borderId="13" applyNumberFormat="0" applyFont="0" applyAlignment="0" applyProtection="0"/>
    <xf numFmtId="218" fontId="18" fillId="0" borderId="12"/>
    <xf numFmtId="43" fontId="2" fillId="0" borderId="0" applyFont="0" applyFill="0" applyBorder="0" applyAlignment="0" applyProtection="0"/>
    <xf numFmtId="0" fontId="138" fillId="1" borderId="6" applyNumberFormat="0" applyFont="0" applyAlignment="0">
      <alignment horizontal="center"/>
    </xf>
    <xf numFmtId="0" fontId="63" fillId="21" borderId="2" applyNumberFormat="0" applyAlignment="0" applyProtection="0"/>
    <xf numFmtId="4" fontId="140" fillId="41" borderId="16" applyNumberFormat="0" applyProtection="0">
      <alignment horizontal="left" vertical="center" indent="1"/>
    </xf>
    <xf numFmtId="10" fontId="119" fillId="23" borderId="1" applyNumberFormat="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138" fillId="1" borderId="6" applyNumberFormat="0" applyFont="0" applyAlignment="0">
      <alignment horizont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4" fontId="142" fillId="42" borderId="16" applyNumberFormat="0" applyProtection="0">
      <alignment horizontal="right" vertical="center"/>
    </xf>
    <xf numFmtId="49" fontId="127" fillId="0" borderId="1">
      <alignment vertical="center"/>
    </xf>
    <xf numFmtId="0" fontId="59" fillId="27" borderId="13" applyNumberFormat="0" applyFont="0" applyAlignment="0" applyProtection="0"/>
    <xf numFmtId="0" fontId="59" fillId="27" borderId="13" applyNumberFormat="0" applyFont="0" applyAlignment="0" applyProtection="0"/>
    <xf numFmtId="0" fontId="76" fillId="21" borderId="14" applyNumberForma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3" fontId="81" fillId="0" borderId="1"/>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2" fillId="38"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4" fontId="142" fillId="41" borderId="16" applyNumberFormat="0" applyProtection="0">
      <alignment horizontal="right" vertical="center"/>
    </xf>
    <xf numFmtId="4" fontId="140" fillId="41" borderId="18" applyNumberFormat="0" applyProtection="0">
      <alignment horizontal="left" vertical="center" indent="1"/>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2" fillId="39"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218" fontId="18" fillId="0" borderId="12"/>
    <xf numFmtId="3" fontId="81" fillId="0" borderId="1"/>
    <xf numFmtId="230" fontId="74" fillId="0" borderId="1"/>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2" fillId="29" borderId="16" applyNumberFormat="0" applyProtection="0">
      <alignment horizontal="left" vertical="center" indent="1"/>
    </xf>
    <xf numFmtId="0" fontId="59" fillId="27" borderId="13" applyNumberFormat="0" applyFont="0" applyAlignment="0" applyProtection="0"/>
    <xf numFmtId="4" fontId="142" fillId="35" borderId="16" applyNumberFormat="0" applyProtection="0">
      <alignment horizontal="right" vertical="center"/>
    </xf>
    <xf numFmtId="0" fontId="59" fillId="27" borderId="13" applyNumberFormat="0" applyFont="0" applyAlignment="0" applyProtection="0"/>
    <xf numFmtId="3" fontId="81" fillId="0" borderId="1"/>
    <xf numFmtId="0" fontId="59" fillId="27" borderId="13" applyNumberFormat="0" applyFont="0" applyAlignment="0" applyProtection="0"/>
    <xf numFmtId="0" fontId="59" fillId="27" borderId="13" applyNumberFormat="0" applyFont="0" applyAlignment="0" applyProtection="0"/>
    <xf numFmtId="3" fontId="81" fillId="0" borderId="1"/>
    <xf numFmtId="49" fontId="127" fillId="0" borderId="1">
      <alignmen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4" fillId="25" borderId="18" applyNumberFormat="0" applyProtection="0">
      <alignment horizontal="left" vertical="center" indent="1"/>
    </xf>
    <xf numFmtId="0" fontId="59" fillId="27" borderId="13" applyNumberFormat="0" applyFont="0" applyAlignment="0" applyProtection="0"/>
    <xf numFmtId="4" fontId="143" fillId="42" borderId="16" applyNumberFormat="0" applyProtection="0">
      <alignment horizontal="right" vertical="center"/>
    </xf>
    <xf numFmtId="0" fontId="59" fillId="27" borderId="13" applyNumberFormat="0" applyFont="0" applyAlignment="0" applyProtection="0"/>
    <xf numFmtId="0" fontId="71" fillId="8" borderId="2" applyNumberFormat="0" applyAlignment="0" applyProtection="0"/>
    <xf numFmtId="0" fontId="123" fillId="0" borderId="6">
      <alignment horizontal="left" vertical="center"/>
    </xf>
    <xf numFmtId="4" fontId="142" fillId="32" borderId="16" applyNumberFormat="0" applyProtection="0">
      <alignment horizontal="right" vertical="center"/>
    </xf>
    <xf numFmtId="0" fontId="123" fillId="0" borderId="6">
      <alignment horizontal="lef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0" fontId="123" fillId="0" borderId="6">
      <alignment horizontal="lef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3" fontId="81" fillId="0" borderId="1"/>
    <xf numFmtId="0" fontId="59" fillId="27" borderId="13" applyNumberFormat="0" applyFont="0" applyAlignment="0" applyProtection="0"/>
    <xf numFmtId="43" fontId="2" fillId="0" borderId="0" applyFont="0" applyFill="0" applyBorder="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4" fontId="140" fillId="29" borderId="16" applyNumberFormat="0" applyProtection="0">
      <alignmen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63" fillId="21" borderId="2" applyNumberFormat="0" applyAlignment="0" applyProtection="0"/>
    <xf numFmtId="5" fontId="152" fillId="43" borderId="24">
      <alignment vertical="top"/>
    </xf>
    <xf numFmtId="0" fontId="59" fillId="27" borderId="13" applyNumberFormat="0" applyFont="0" applyAlignment="0" applyProtection="0"/>
    <xf numFmtId="0" fontId="59" fillId="27" borderId="13" applyNumberFormat="0" applyFont="0" applyAlignment="0" applyProtection="0"/>
    <xf numFmtId="0" fontId="154" fillId="44" borderId="1">
      <alignment horizontal="left" vertical="center"/>
    </xf>
    <xf numFmtId="5" fontId="126" fillId="0" borderId="24">
      <alignment horizontal="left" vertical="top"/>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5" fontId="126" fillId="25" borderId="1" applyNumberFormat="0" applyAlignment="0">
      <alignment horizontal="left" vertical="top"/>
    </xf>
    <xf numFmtId="3" fontId="81" fillId="0" borderId="1"/>
    <xf numFmtId="4" fontId="142" fillId="31" borderId="16" applyNumberFormat="0" applyProtection="0">
      <alignment horizontal="right" vertical="center"/>
    </xf>
    <xf numFmtId="3" fontId="81" fillId="0" borderId="1"/>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5" fontId="152" fillId="43" borderId="24">
      <alignment vertical="top"/>
    </xf>
    <xf numFmtId="218" fontId="18" fillId="0" borderId="12"/>
    <xf numFmtId="218" fontId="18" fillId="0" borderId="12"/>
    <xf numFmtId="0" fontId="59" fillId="27" borderId="13" applyNumberFormat="0" applyFont="0" applyAlignment="0" applyProtection="0"/>
    <xf numFmtId="4" fontId="141" fillId="29" borderId="16" applyNumberFormat="0" applyProtection="0">
      <alignment vertical="center"/>
    </xf>
    <xf numFmtId="0" fontId="59" fillId="27" borderId="13" applyNumberFormat="0" applyFont="0" applyAlignment="0" applyProtection="0"/>
    <xf numFmtId="3" fontId="81" fillId="0" borderId="1"/>
    <xf numFmtId="0" fontId="63" fillId="21" borderId="2" applyNumberFormat="0" applyAlignment="0" applyProtection="0"/>
    <xf numFmtId="0" fontId="59" fillId="27" borderId="13" applyNumberFormat="0" applyFont="0" applyAlignment="0" applyProtection="0"/>
    <xf numFmtId="3" fontId="81" fillId="0" borderId="1"/>
    <xf numFmtId="1" fontId="94" fillId="0" borderId="1" applyBorder="0" applyAlignment="0">
      <alignment horizont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1" fontId="94" fillId="0" borderId="1" applyBorder="0" applyAlignment="0">
      <alignment horizontal="center"/>
    </xf>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4" fontId="142" fillId="42" borderId="16" applyNumberFormat="0" applyProtection="0">
      <alignment vertical="center"/>
    </xf>
    <xf numFmtId="0" fontId="59" fillId="27" borderId="13" applyNumberFormat="0" applyFont="0" applyAlignment="0" applyProtection="0"/>
    <xf numFmtId="218" fontId="18" fillId="0" borderId="12"/>
    <xf numFmtId="0" fontId="154" fillId="44" borderId="1">
      <alignment horizontal="left" vertical="center"/>
    </xf>
    <xf numFmtId="0" fontId="59" fillId="27" borderId="13" applyNumberFormat="0" applyFont="0" applyAlignment="0" applyProtection="0"/>
    <xf numFmtId="1" fontId="94" fillId="0" borderId="1" applyBorder="0" applyAlignment="0">
      <alignment horizont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76" fillId="21" borderId="14" applyNumberFormat="0" applyAlignment="0" applyProtection="0"/>
    <xf numFmtId="0" fontId="59" fillId="27" borderId="13" applyNumberFormat="0" applyFont="0" applyAlignment="0" applyProtection="0"/>
    <xf numFmtId="0" fontId="59" fillId="27" borderId="13" applyNumberFormat="0" applyFont="0" applyAlignment="0" applyProtection="0"/>
    <xf numFmtId="0" fontId="123" fillId="0" borderId="6">
      <alignment horizontal="lef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77" fillId="0" borderId="23" applyNumberFormat="0" applyFill="0" applyAlignment="0" applyProtection="0"/>
    <xf numFmtId="4" fontId="140" fillId="41" borderId="16" applyNumberFormat="0" applyProtection="0">
      <alignment horizontal="left" vertical="center" indent="1"/>
    </xf>
    <xf numFmtId="0" fontId="59" fillId="27" borderId="13" applyNumberFormat="0" applyFont="0" applyAlignment="0" applyProtection="0"/>
    <xf numFmtId="4" fontId="142" fillId="42"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5" fontId="126" fillId="25" borderId="1" applyNumberFormat="0" applyAlignment="0">
      <alignment horizontal="left" vertical="top"/>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5" fillId="42" borderId="16" applyNumberFormat="0" applyProtection="0">
      <alignment horizontal="right" vertical="center"/>
    </xf>
    <xf numFmtId="43" fontId="2" fillId="0" borderId="0" applyFont="0" applyFill="0" applyBorder="0" applyAlignment="0" applyProtection="0"/>
    <xf numFmtId="0" fontId="59" fillId="27" borderId="13" applyNumberFormat="0" applyFont="0" applyAlignment="0" applyProtection="0"/>
    <xf numFmtId="1" fontId="94" fillId="0" borderId="1" applyBorder="0" applyAlignment="0">
      <alignment horizontal="center"/>
    </xf>
    <xf numFmtId="3" fontId="81" fillId="0" borderId="1"/>
    <xf numFmtId="230" fontId="74" fillId="0" borderId="1"/>
    <xf numFmtId="0" fontId="71" fillId="8" borderId="2" applyNumberFormat="0" applyAlignment="0" applyProtection="0"/>
    <xf numFmtId="0" fontId="59" fillId="27" borderId="13" applyNumberFormat="0" applyFont="0" applyAlignment="0" applyProtection="0"/>
    <xf numFmtId="0" fontId="59" fillId="27" borderId="13" applyNumberFormat="0" applyFont="0" applyAlignment="0" applyProtection="0"/>
    <xf numFmtId="4" fontId="142" fillId="42" borderId="16" applyNumberFormat="0" applyProtection="0">
      <alignment vertical="center"/>
    </xf>
    <xf numFmtId="0" fontId="59" fillId="27" borderId="13" applyNumberFormat="0" applyFont="0" applyAlignment="0" applyProtection="0"/>
    <xf numFmtId="0" fontId="59" fillId="27" borderId="13" applyNumberFormat="0" applyFont="0" applyAlignment="0" applyProtection="0"/>
    <xf numFmtId="4" fontId="142" fillId="38"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4" fontId="140" fillId="41" borderId="18" applyNumberFormat="0" applyProtection="0">
      <alignment horizontal="left" vertical="center" indent="1"/>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154" fillId="44" borderId="1">
      <alignment horizontal="left" vertical="center"/>
    </xf>
    <xf numFmtId="10" fontId="119" fillId="23" borderId="1" applyNumberFormat="0" applyBorder="0" applyAlignment="0" applyProtection="0"/>
    <xf numFmtId="4" fontId="142" fillId="32"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3" fillId="42" borderId="16" applyNumberFormat="0" applyProtection="0">
      <alignment vertical="center"/>
    </xf>
    <xf numFmtId="3" fontId="81" fillId="0" borderId="1"/>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3" fontId="81" fillId="0" borderId="1"/>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10" fontId="119" fillId="23" borderId="1" applyNumberFormat="0" applyBorder="0" applyAlignment="0" applyProtection="0"/>
    <xf numFmtId="0" fontId="59" fillId="27" borderId="13" applyNumberFormat="0" applyFont="0" applyAlignment="0" applyProtection="0"/>
    <xf numFmtId="230" fontId="74" fillId="0" borderId="1"/>
    <xf numFmtId="0" fontId="59" fillId="27" borderId="13" applyNumberFormat="0" applyFont="0" applyAlignment="0" applyProtection="0"/>
    <xf numFmtId="0" fontId="59" fillId="27" borderId="13" applyNumberFormat="0" applyFont="0" applyAlignment="0" applyProtection="0"/>
    <xf numFmtId="230" fontId="74" fillId="0" borderId="1"/>
    <xf numFmtId="0" fontId="59" fillId="27" borderId="13" applyNumberFormat="0" applyFont="0" applyAlignment="0" applyProtection="0"/>
    <xf numFmtId="230" fontId="74" fillId="0" borderId="1"/>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5" fillId="42"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154" fillId="44" borderId="1">
      <alignment horizontal="lef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43" fontId="2" fillId="0" borderId="0" applyFont="0" applyFill="0" applyBorder="0" applyAlignment="0" applyProtection="0"/>
    <xf numFmtId="1" fontId="94" fillId="0" borderId="1" applyBorder="0" applyAlignment="0">
      <alignment horizontal="center"/>
    </xf>
    <xf numFmtId="0" fontId="59" fillId="27" borderId="13" applyNumberFormat="0" applyFont="0" applyAlignment="0" applyProtection="0"/>
    <xf numFmtId="0" fontId="59" fillId="27" borderId="13" applyNumberFormat="0" applyFont="0" applyAlignment="0" applyProtection="0"/>
    <xf numFmtId="4" fontId="142" fillId="33" borderId="16" applyNumberFormat="0" applyProtection="0">
      <alignment horizontal="right" vertical="center"/>
    </xf>
    <xf numFmtId="49" fontId="127" fillId="0" borderId="1">
      <alignment vertical="center"/>
    </xf>
    <xf numFmtId="0" fontId="138" fillId="1" borderId="6" applyNumberFormat="0" applyFont="0" applyAlignment="0">
      <alignment horizontal="center"/>
    </xf>
    <xf numFmtId="0" fontId="59" fillId="27" borderId="13" applyNumberFormat="0" applyFont="0" applyAlignment="0" applyProtection="0"/>
    <xf numFmtId="0" fontId="59" fillId="27" borderId="13" applyNumberFormat="0" applyFont="0" applyAlignment="0" applyProtection="0"/>
    <xf numFmtId="0" fontId="138" fillId="1" borderId="6" applyNumberFormat="0" applyFont="0" applyAlignment="0">
      <alignment horizontal="center"/>
    </xf>
    <xf numFmtId="43" fontId="2" fillId="0" borderId="0" applyFont="0" applyFill="0" applyBorder="0" applyAlignment="0" applyProtection="0"/>
    <xf numFmtId="4" fontId="142" fillId="34" borderId="16" applyNumberFormat="0" applyProtection="0">
      <alignment horizontal="right" vertical="center"/>
    </xf>
    <xf numFmtId="4" fontId="142" fillId="36"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154" fillId="44" borderId="1">
      <alignment horizontal="left" vertical="center"/>
    </xf>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3" fillId="42"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49" fontId="127" fillId="0" borderId="1">
      <alignment vertical="center"/>
    </xf>
    <xf numFmtId="0" fontId="59" fillId="27" borderId="13" applyNumberFormat="0" applyFont="0" applyAlignment="0" applyProtection="0"/>
    <xf numFmtId="0" fontId="59" fillId="27" borderId="13" applyNumberFormat="0" applyFont="0" applyAlignment="0" applyProtection="0"/>
    <xf numFmtId="4" fontId="144" fillId="25" borderId="18" applyNumberFormat="0" applyProtection="0">
      <alignment horizontal="left" vertical="center" indent="1"/>
    </xf>
    <xf numFmtId="0" fontId="71" fillId="8" borderId="2" applyNumberForma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6" fontId="155" fillId="45" borderId="24"/>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2" fillId="37"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5" fontId="126" fillId="25" borderId="1" applyNumberFormat="0" applyAlignment="0">
      <alignment horizontal="left" vertical="top"/>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5" fontId="126" fillId="25" borderId="1" applyNumberFormat="0" applyAlignment="0">
      <alignment horizontal="left" vertical="top"/>
    </xf>
    <xf numFmtId="0" fontId="59" fillId="27" borderId="13" applyNumberFormat="0" applyFont="0" applyAlignment="0" applyProtection="0"/>
    <xf numFmtId="0" fontId="63" fillId="21" borderId="2" applyNumberForma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63" fillId="21" borderId="2" applyNumberForma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 fontId="140" fillId="29" borderId="16" applyNumberFormat="0" applyProtection="0">
      <alignment vertical="center"/>
    </xf>
    <xf numFmtId="0" fontId="59" fillId="27" borderId="13" applyNumberFormat="0" applyFont="0" applyAlignment="0" applyProtection="0"/>
    <xf numFmtId="6" fontId="155" fillId="45" borderId="24"/>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3" fontId="81" fillId="0" borderId="1"/>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4" fontId="142" fillId="41" borderId="16" applyNumberFormat="0" applyProtection="0">
      <alignment horizontal="right" vertical="center"/>
    </xf>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5" fontId="126" fillId="0" borderId="24">
      <alignment horizontal="left" vertical="top"/>
    </xf>
    <xf numFmtId="4" fontId="142" fillId="36" borderId="16" applyNumberFormat="0" applyProtection="0">
      <alignment horizontal="right" vertical="center"/>
    </xf>
    <xf numFmtId="0" fontId="59" fillId="27" borderId="13" applyNumberFormat="0" applyFont="0" applyAlignment="0" applyProtection="0"/>
    <xf numFmtId="0" fontId="59" fillId="27" borderId="13" applyNumberFormat="0" applyFont="0" applyAlignment="0" applyProtection="0"/>
    <xf numFmtId="4" fontId="142" fillId="37" borderId="16" applyNumberFormat="0" applyProtection="0">
      <alignment horizontal="right" vertical="center"/>
    </xf>
    <xf numFmtId="0" fontId="59" fillId="27" borderId="13" applyNumberFormat="0" applyFont="0" applyAlignment="0" applyProtection="0"/>
    <xf numFmtId="10" fontId="119" fillId="23" borderId="1" applyNumberFormat="0" applyBorder="0" applyAlignment="0" applyProtection="0"/>
    <xf numFmtId="0" fontId="59" fillId="27" borderId="13" applyNumberFormat="0" applyFont="0" applyAlignment="0" applyProtection="0"/>
    <xf numFmtId="4" fontId="142" fillId="31" borderId="16" applyNumberFormat="0" applyProtection="0">
      <alignment horizontal="right" vertical="center"/>
    </xf>
    <xf numFmtId="0" fontId="59" fillId="27" borderId="13" applyNumberFormat="0" applyFont="0" applyAlignment="0" applyProtection="0"/>
    <xf numFmtId="0" fontId="138" fillId="1" borderId="6" applyNumberFormat="0" applyFont="0" applyAlignment="0">
      <alignment horizont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5" fontId="126" fillId="25" borderId="1" applyNumberFormat="0" applyAlignment="0">
      <alignment horizontal="left" vertical="top"/>
    </xf>
    <xf numFmtId="49" fontId="127" fillId="0" borderId="1">
      <alignment vertical="center"/>
    </xf>
    <xf numFmtId="218" fontId="18" fillId="0" borderId="12"/>
    <xf numFmtId="218" fontId="18" fillId="0" borderId="12"/>
    <xf numFmtId="43" fontId="2" fillId="0" borderId="0" applyFont="0" applyFill="0" applyBorder="0" applyAlignment="0" applyProtection="0"/>
    <xf numFmtId="4" fontId="140" fillId="29" borderId="16" applyNumberFormat="0" applyProtection="0">
      <alignment vertical="center"/>
    </xf>
    <xf numFmtId="4" fontId="141" fillId="29" borderId="16" applyNumberFormat="0" applyProtection="0">
      <alignment vertical="center"/>
    </xf>
    <xf numFmtId="4" fontId="142" fillId="29" borderId="16" applyNumberFormat="0" applyProtection="0">
      <alignment horizontal="left" vertical="center" indent="1"/>
    </xf>
    <xf numFmtId="4" fontId="142" fillId="31" borderId="16" applyNumberFormat="0" applyProtection="0">
      <alignment horizontal="right" vertical="center"/>
    </xf>
    <xf numFmtId="4" fontId="142" fillId="32" borderId="16" applyNumberFormat="0" applyProtection="0">
      <alignment horizontal="right" vertical="center"/>
    </xf>
    <xf numFmtId="4" fontId="142" fillId="33" borderId="16" applyNumberFormat="0" applyProtection="0">
      <alignment horizontal="right" vertical="center"/>
    </xf>
    <xf numFmtId="4" fontId="142" fillId="34" borderId="16" applyNumberFormat="0" applyProtection="0">
      <alignment horizontal="right" vertical="center"/>
    </xf>
    <xf numFmtId="4" fontId="142" fillId="35" borderId="16" applyNumberFormat="0" applyProtection="0">
      <alignment horizontal="right" vertical="center"/>
    </xf>
    <xf numFmtId="4" fontId="142" fillId="36" borderId="16" applyNumberFormat="0" applyProtection="0">
      <alignment horizontal="right" vertical="center"/>
    </xf>
    <xf numFmtId="4" fontId="142" fillId="37" borderId="16" applyNumberFormat="0" applyProtection="0">
      <alignment horizontal="right" vertical="center"/>
    </xf>
    <xf numFmtId="4" fontId="142" fillId="38" borderId="16" applyNumberFormat="0" applyProtection="0">
      <alignment horizontal="right" vertical="center"/>
    </xf>
    <xf numFmtId="4" fontId="142" fillId="39" borderId="16" applyNumberFormat="0" applyProtection="0">
      <alignment horizontal="right" vertical="center"/>
    </xf>
    <xf numFmtId="4" fontId="142" fillId="41" borderId="16" applyNumberFormat="0" applyProtection="0">
      <alignment horizontal="right" vertical="center"/>
    </xf>
    <xf numFmtId="4" fontId="142" fillId="42" borderId="16" applyNumberFormat="0" applyProtection="0">
      <alignment vertical="center"/>
    </xf>
    <xf numFmtId="4" fontId="143" fillId="42" borderId="16" applyNumberFormat="0" applyProtection="0">
      <alignment vertical="center"/>
    </xf>
    <xf numFmtId="4" fontId="140" fillId="41" borderId="18" applyNumberFormat="0" applyProtection="0">
      <alignment horizontal="left" vertical="center" indent="1"/>
    </xf>
    <xf numFmtId="4" fontId="142" fillId="42" borderId="16" applyNumberFormat="0" applyProtection="0">
      <alignment horizontal="right" vertical="center"/>
    </xf>
    <xf numFmtId="4" fontId="143" fillId="42" borderId="16" applyNumberFormat="0" applyProtection="0">
      <alignment horizontal="right" vertical="center"/>
    </xf>
    <xf numFmtId="4" fontId="140" fillId="41" borderId="16" applyNumberFormat="0" applyProtection="0">
      <alignment horizontal="left" vertical="center" indent="1"/>
    </xf>
    <xf numFmtId="4" fontId="144" fillId="25" borderId="18" applyNumberFormat="0" applyProtection="0">
      <alignment horizontal="left" vertical="center" indent="1"/>
    </xf>
    <xf numFmtId="4" fontId="145" fillId="42" borderId="16" applyNumberFormat="0" applyProtection="0">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7" fontId="74" fillId="0" borderId="21">
      <alignment horizontal="center"/>
    </xf>
    <xf numFmtId="0" fontId="77" fillId="0" borderId="23" applyNumberFormat="0" applyFill="0" applyAlignment="0" applyProtection="0"/>
    <xf numFmtId="5" fontId="152" fillId="43" borderId="24">
      <alignment vertical="top"/>
    </xf>
    <xf numFmtId="6" fontId="155" fillId="45" borderId="24"/>
    <xf numFmtId="5" fontId="126" fillId="0" borderId="24">
      <alignment horizontal="left" vertical="top"/>
    </xf>
    <xf numFmtId="0" fontId="154" fillId="44" borderId="1">
      <alignment horizontal="left" vertical="center"/>
    </xf>
    <xf numFmtId="0" fontId="63" fillId="21" borderId="2" applyNumberFormat="0" applyAlignment="0" applyProtection="0"/>
    <xf numFmtId="43" fontId="2" fillId="0" borderId="0" applyFont="0" applyFill="0" applyBorder="0" applyAlignment="0" applyProtection="0"/>
    <xf numFmtId="1" fontId="94" fillId="0" borderId="1" applyBorder="0" applyAlignment="0">
      <alignment horizontal="center"/>
    </xf>
    <xf numFmtId="43" fontId="2" fillId="0" borderId="0" applyFont="0" applyFill="0" applyBorder="0" applyAlignment="0" applyProtection="0"/>
    <xf numFmtId="3" fontId="81" fillId="0" borderId="1"/>
    <xf numFmtId="3" fontId="81" fillId="0" borderId="1"/>
    <xf numFmtId="230" fontId="74" fillId="0" borderId="1"/>
    <xf numFmtId="3" fontId="81" fillId="0" borderId="1"/>
    <xf numFmtId="10" fontId="119" fillId="23" borderId="1" applyNumberFormat="0" applyBorder="0" applyAlignment="0" applyProtection="0"/>
    <xf numFmtId="0" fontId="138" fillId="1" borderId="6" applyNumberFormat="0" applyFont="0" applyAlignment="0">
      <alignment horizontal="center"/>
    </xf>
    <xf numFmtId="0" fontId="71" fillId="8" borderId="2" applyNumberFormat="0" applyAlignment="0" applyProtection="0"/>
    <xf numFmtId="0" fontId="123" fillId="0" borderId="6">
      <alignment horizontal="left" vertical="center"/>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63" fillId="21" borderId="2" applyNumberForma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76" fillId="21" borderId="14" applyNumberFormat="0" applyAlignment="0" applyProtection="0"/>
    <xf numFmtId="4" fontId="140" fillId="29" borderId="16" applyNumberFormat="0" applyProtection="0">
      <alignment vertical="center"/>
    </xf>
    <xf numFmtId="4" fontId="141" fillId="29" borderId="16" applyNumberFormat="0" applyProtection="0">
      <alignment vertical="center"/>
    </xf>
    <xf numFmtId="4" fontId="142" fillId="29" borderId="16" applyNumberFormat="0" applyProtection="0">
      <alignment horizontal="left" vertical="center" indent="1"/>
    </xf>
    <xf numFmtId="4" fontId="142" fillId="31" borderId="16" applyNumberFormat="0" applyProtection="0">
      <alignment horizontal="right" vertical="center"/>
    </xf>
    <xf numFmtId="4" fontId="142" fillId="32" borderId="16" applyNumberFormat="0" applyProtection="0">
      <alignment horizontal="right" vertical="center"/>
    </xf>
    <xf numFmtId="4" fontId="142" fillId="33" borderId="16" applyNumberFormat="0" applyProtection="0">
      <alignment horizontal="right" vertical="center"/>
    </xf>
    <xf numFmtId="4" fontId="142" fillId="34" borderId="16" applyNumberFormat="0" applyProtection="0">
      <alignment horizontal="right" vertical="center"/>
    </xf>
    <xf numFmtId="4" fontId="142" fillId="35" borderId="16" applyNumberFormat="0" applyProtection="0">
      <alignment horizontal="right" vertical="center"/>
    </xf>
    <xf numFmtId="4" fontId="142" fillId="36" borderId="16" applyNumberFormat="0" applyProtection="0">
      <alignment horizontal="right" vertical="center"/>
    </xf>
    <xf numFmtId="4" fontId="142" fillId="37" borderId="16" applyNumberFormat="0" applyProtection="0">
      <alignment horizontal="right" vertical="center"/>
    </xf>
    <xf numFmtId="4" fontId="142" fillId="38" borderId="16" applyNumberFormat="0" applyProtection="0">
      <alignment horizontal="right" vertical="center"/>
    </xf>
    <xf numFmtId="4" fontId="142" fillId="39" borderId="16" applyNumberFormat="0" applyProtection="0">
      <alignment horizontal="right" vertical="center"/>
    </xf>
    <xf numFmtId="4" fontId="142" fillId="41" borderId="16" applyNumberFormat="0" applyProtection="0">
      <alignment horizontal="right" vertical="center"/>
    </xf>
    <xf numFmtId="3" fontId="81" fillId="0" borderId="1"/>
    <xf numFmtId="4" fontId="142" fillId="42" borderId="16" applyNumberFormat="0" applyProtection="0">
      <alignment vertical="center"/>
    </xf>
    <xf numFmtId="4" fontId="143" fillId="42" borderId="16" applyNumberFormat="0" applyProtection="0">
      <alignment vertical="center"/>
    </xf>
    <xf numFmtId="4" fontId="140" fillId="41" borderId="18" applyNumberFormat="0" applyProtection="0">
      <alignment horizontal="left" vertical="center" indent="1"/>
    </xf>
    <xf numFmtId="4" fontId="142" fillId="42" borderId="16" applyNumberFormat="0" applyProtection="0">
      <alignment horizontal="right" vertical="center"/>
    </xf>
    <xf numFmtId="4" fontId="143" fillId="42" borderId="16" applyNumberFormat="0" applyProtection="0">
      <alignment horizontal="right" vertical="center"/>
    </xf>
    <xf numFmtId="4" fontId="140" fillId="41" borderId="16" applyNumberFormat="0" applyProtection="0">
      <alignment horizontal="left" vertical="center" indent="1"/>
    </xf>
    <xf numFmtId="4" fontId="144" fillId="25" borderId="18" applyNumberFormat="0" applyProtection="0">
      <alignment horizontal="left" vertical="center" indent="1"/>
    </xf>
    <xf numFmtId="4" fontId="145" fillId="42" borderId="16" applyNumberFormat="0" applyProtection="0">
      <alignment horizontal="right" vertical="center"/>
    </xf>
    <xf numFmtId="3" fontId="81" fillId="0" borderId="1"/>
    <xf numFmtId="1" fontId="94" fillId="0" borderId="1" applyBorder="0" applyAlignment="0">
      <alignment horizont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4" fontId="74" fillId="0" borderId="21">
      <alignment horizontal="right" vertical="center"/>
    </xf>
    <xf numFmtId="227" fontId="74" fillId="0" borderId="21">
      <alignment horizontal="center"/>
    </xf>
    <xf numFmtId="0" fontId="77" fillId="0" borderId="23" applyNumberFormat="0" applyFill="0" applyAlignment="0" applyProtection="0"/>
    <xf numFmtId="5" fontId="152" fillId="43" borderId="24">
      <alignment vertical="top"/>
    </xf>
    <xf numFmtId="6" fontId="155" fillId="45" borderId="24"/>
    <xf numFmtId="5" fontId="126" fillId="0" borderId="24">
      <alignment horizontal="left" vertical="top"/>
    </xf>
    <xf numFmtId="3" fontId="81" fillId="0" borderId="1"/>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43" fontId="2" fillId="0" borderId="0" applyFont="0" applyFill="0" applyBorder="0" applyAlignment="0" applyProtection="0"/>
    <xf numFmtId="0" fontId="59" fillId="27" borderId="13" applyNumberFormat="0" applyFont="0" applyAlignment="0" applyProtection="0"/>
    <xf numFmtId="0" fontId="59" fillId="27" borderId="13" applyNumberFormat="0" applyFont="0" applyAlignment="0" applyProtection="0"/>
    <xf numFmtId="49" fontId="127" fillId="0" borderId="1">
      <alignmen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5" fontId="126" fillId="25" borderId="1" applyNumberFormat="0" applyAlignment="0">
      <alignment horizontal="left" vertical="top"/>
    </xf>
    <xf numFmtId="230" fontId="74" fillId="0" borderId="1"/>
    <xf numFmtId="0" fontId="154" fillId="44" borderId="1">
      <alignment horizontal="left" vertical="center"/>
    </xf>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71" fillId="8" borderId="2" applyNumberFormat="0" applyAlignment="0" applyProtection="0"/>
    <xf numFmtId="218" fontId="18" fillId="0" borderId="12"/>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59" fillId="27" borderId="13" applyNumberFormat="0" applyFont="0" applyAlignment="0" applyProtection="0"/>
    <xf numFmtId="0" fontId="138" fillId="1" borderId="6" applyNumberFormat="0" applyFont="0" applyAlignment="0">
      <alignment horizontal="center"/>
    </xf>
    <xf numFmtId="10" fontId="119" fillId="23" borderId="1" applyNumberFormat="0" applyBorder="0" applyAlignment="0" applyProtection="0"/>
    <xf numFmtId="0" fontId="123" fillId="0" borderId="6">
      <alignment horizontal="left" vertical="center"/>
    </xf>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43" fontId="167" fillId="0" borderId="0" applyFont="0" applyFill="0" applyBorder="0" applyAlignment="0" applyProtection="0"/>
    <xf numFmtId="5" fontId="126" fillId="0" borderId="63">
      <alignment horizontal="left" vertical="top"/>
    </xf>
    <xf numFmtId="3" fontId="81" fillId="0" borderId="54"/>
    <xf numFmtId="0" fontId="123" fillId="0" borderId="56">
      <alignment horizontal="left" vertical="center"/>
    </xf>
    <xf numFmtId="5" fontId="126" fillId="25" borderId="54" applyNumberFormat="0" applyAlignment="0">
      <alignment horizontal="left" vertical="top"/>
    </xf>
    <xf numFmtId="49" fontId="127" fillId="0" borderId="54">
      <alignment vertical="center"/>
    </xf>
    <xf numFmtId="218" fontId="18" fillId="0" borderId="51"/>
    <xf numFmtId="0" fontId="59" fillId="27" borderId="57" applyNumberFormat="0" applyFont="0" applyAlignment="0" applyProtection="0"/>
    <xf numFmtId="4" fontId="142" fillId="36" borderId="59" applyNumberFormat="0" applyProtection="0">
      <alignment horizontal="right" vertical="center"/>
    </xf>
    <xf numFmtId="230" fontId="74" fillId="0" borderId="54"/>
    <xf numFmtId="3" fontId="81" fillId="0" borderId="54"/>
    <xf numFmtId="3" fontId="81" fillId="0" borderId="54"/>
    <xf numFmtId="0" fontId="71" fillId="8" borderId="55" applyNumberFormat="0" applyAlignment="0" applyProtection="0"/>
    <xf numFmtId="3" fontId="81" fillId="0" borderId="54"/>
    <xf numFmtId="0" fontId="59" fillId="27" borderId="57" applyNumberFormat="0" applyFont="0" applyAlignment="0" applyProtection="0"/>
    <xf numFmtId="3" fontId="81" fillId="0" borderId="54"/>
    <xf numFmtId="218" fontId="18" fillId="0" borderId="51"/>
    <xf numFmtId="1" fontId="94" fillId="0" borderId="54" applyBorder="0" applyAlignment="0">
      <alignment horizontal="center"/>
    </xf>
    <xf numFmtId="1" fontId="94" fillId="0" borderId="54" applyBorder="0" applyAlignment="0">
      <alignment horizontal="center"/>
    </xf>
    <xf numFmtId="10" fontId="119" fillId="23" borderId="54" applyNumberFormat="0" applyBorder="0" applyAlignment="0" applyProtection="0"/>
    <xf numFmtId="0" fontId="154" fillId="44" borderId="54">
      <alignment horizontal="left" vertical="center"/>
    </xf>
    <xf numFmtId="0" fontId="59" fillId="27" borderId="57" applyNumberFormat="0" applyFont="0" applyAlignment="0" applyProtection="0"/>
    <xf numFmtId="4" fontId="142" fillId="31" borderId="59" applyNumberFormat="0" applyProtection="0">
      <alignment horizontal="right" vertical="center"/>
    </xf>
    <xf numFmtId="0" fontId="59" fillId="27" borderId="57" applyNumberFormat="0" applyFont="0" applyAlignment="0" applyProtection="0"/>
    <xf numFmtId="4" fontId="142" fillId="41" borderId="59" applyNumberFormat="0" applyProtection="0">
      <alignment horizontal="right" vertical="center"/>
    </xf>
    <xf numFmtId="10" fontId="119" fillId="23" borderId="54" applyNumberFormat="0" applyBorder="0" applyAlignment="0" applyProtection="0"/>
    <xf numFmtId="0" fontId="59" fillId="27" borderId="57" applyNumberFormat="0" applyFont="0" applyAlignment="0" applyProtection="0"/>
    <xf numFmtId="0" fontId="138" fillId="1" borderId="56" applyNumberFormat="0" applyFont="0" applyAlignment="0">
      <alignment horizontal="center"/>
    </xf>
    <xf numFmtId="0" fontId="63" fillId="21" borderId="55"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63" fillId="21" borderId="55"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76" fillId="21" borderId="58" applyNumberFormat="0" applyAlignment="0" applyProtection="0"/>
    <xf numFmtId="4" fontId="140" fillId="29" borderId="59" applyNumberFormat="0" applyProtection="0">
      <alignment vertical="center"/>
    </xf>
    <xf numFmtId="4" fontId="141" fillId="29" borderId="59" applyNumberFormat="0" applyProtection="0">
      <alignment vertical="center"/>
    </xf>
    <xf numFmtId="4" fontId="142" fillId="29" borderId="59" applyNumberFormat="0" applyProtection="0">
      <alignment horizontal="left" vertical="center" indent="1"/>
    </xf>
    <xf numFmtId="4" fontId="142" fillId="31" borderId="59" applyNumberFormat="0" applyProtection="0">
      <alignment horizontal="right" vertical="center"/>
    </xf>
    <xf numFmtId="4" fontId="142" fillId="32" borderId="59" applyNumberFormat="0" applyProtection="0">
      <alignment horizontal="right" vertical="center"/>
    </xf>
    <xf numFmtId="4" fontId="142" fillId="33" borderId="59" applyNumberFormat="0" applyProtection="0">
      <alignment horizontal="right" vertical="center"/>
    </xf>
    <xf numFmtId="4" fontId="142" fillId="34" borderId="59" applyNumberFormat="0" applyProtection="0">
      <alignment horizontal="right" vertical="center"/>
    </xf>
    <xf numFmtId="4" fontId="142" fillId="35" borderId="59" applyNumberFormat="0" applyProtection="0">
      <alignment horizontal="right" vertical="center"/>
    </xf>
    <xf numFmtId="4" fontId="142" fillId="36" borderId="59" applyNumberFormat="0" applyProtection="0">
      <alignment horizontal="right" vertical="center"/>
    </xf>
    <xf numFmtId="4" fontId="142" fillId="37" borderId="59" applyNumberFormat="0" applyProtection="0">
      <alignment horizontal="right" vertical="center"/>
    </xf>
    <xf numFmtId="4" fontId="142" fillId="38" borderId="59" applyNumberFormat="0" applyProtection="0">
      <alignment horizontal="right" vertical="center"/>
    </xf>
    <xf numFmtId="4" fontId="142" fillId="39" borderId="59" applyNumberFormat="0" applyProtection="0">
      <alignment horizontal="right" vertical="center"/>
    </xf>
    <xf numFmtId="4" fontId="142" fillId="41" borderId="59" applyNumberFormat="0" applyProtection="0">
      <alignment horizontal="right" vertical="center"/>
    </xf>
    <xf numFmtId="3" fontId="81" fillId="0" borderId="54"/>
    <xf numFmtId="4" fontId="142" fillId="42" borderId="59" applyNumberFormat="0" applyProtection="0">
      <alignment vertical="center"/>
    </xf>
    <xf numFmtId="4" fontId="143" fillId="42" borderId="59" applyNumberFormat="0" applyProtection="0">
      <alignment vertical="center"/>
    </xf>
    <xf numFmtId="4" fontId="140" fillId="41" borderId="60" applyNumberFormat="0" applyProtection="0">
      <alignment horizontal="left" vertical="center" indent="1"/>
    </xf>
    <xf numFmtId="4" fontId="142" fillId="42" borderId="59" applyNumberFormat="0" applyProtection="0">
      <alignment horizontal="right" vertical="center"/>
    </xf>
    <xf numFmtId="4" fontId="143" fillId="42" borderId="59" applyNumberFormat="0" applyProtection="0">
      <alignment horizontal="right" vertical="center"/>
    </xf>
    <xf numFmtId="4" fontId="140" fillId="41" borderId="59" applyNumberFormat="0" applyProtection="0">
      <alignment horizontal="left" vertical="center" indent="1"/>
    </xf>
    <xf numFmtId="4" fontId="144" fillId="25" borderId="60" applyNumberFormat="0" applyProtection="0">
      <alignment horizontal="left" vertical="center" indent="1"/>
    </xf>
    <xf numFmtId="4" fontId="145" fillId="42" borderId="59" applyNumberFormat="0" applyProtection="0">
      <alignment horizontal="right" vertical="center"/>
    </xf>
    <xf numFmtId="3" fontId="81" fillId="0" borderId="54"/>
    <xf numFmtId="1" fontId="94" fillId="0" borderId="54" applyBorder="0" applyAlignment="0">
      <alignment horizontal="center"/>
    </xf>
    <xf numFmtId="224" fontId="74" fillId="0" borderId="61">
      <alignment horizontal="right" vertical="center"/>
    </xf>
    <xf numFmtId="224" fontId="74" fillId="0" borderId="61">
      <alignment horizontal="right" vertical="center"/>
    </xf>
    <xf numFmtId="224" fontId="74" fillId="0" borderId="61">
      <alignment horizontal="right" vertical="center"/>
    </xf>
    <xf numFmtId="224" fontId="74" fillId="0" borderId="61">
      <alignment horizontal="right" vertical="center"/>
    </xf>
    <xf numFmtId="224" fontId="74" fillId="0" borderId="61">
      <alignment horizontal="right" vertical="center"/>
    </xf>
    <xf numFmtId="224" fontId="74" fillId="0" borderId="61">
      <alignment horizontal="right" vertical="center"/>
    </xf>
    <xf numFmtId="224" fontId="74" fillId="0" borderId="61">
      <alignment horizontal="right" vertical="center"/>
    </xf>
    <xf numFmtId="227" fontId="74" fillId="0" borderId="61">
      <alignment horizontal="center"/>
    </xf>
    <xf numFmtId="0" fontId="77" fillId="0" borderId="62" applyNumberFormat="0" applyFill="0" applyAlignment="0" applyProtection="0"/>
    <xf numFmtId="5" fontId="152" fillId="43" borderId="63">
      <alignment vertical="top"/>
    </xf>
    <xf numFmtId="6" fontId="155" fillId="45" borderId="63"/>
    <xf numFmtId="5" fontId="126" fillId="0" borderId="63">
      <alignment horizontal="left" vertical="top"/>
    </xf>
    <xf numFmtId="3" fontId="81" fillId="0" borderId="54"/>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49" fontId="127" fillId="0" borderId="54">
      <alignmen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5" fontId="126" fillId="25" borderId="54" applyNumberFormat="0" applyAlignment="0">
      <alignment horizontal="left" vertical="top"/>
    </xf>
    <xf numFmtId="230" fontId="74" fillId="0" borderId="54"/>
    <xf numFmtId="0" fontId="154" fillId="44" borderId="54">
      <alignment horizontal="left" vertical="center"/>
    </xf>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71" fillId="8" borderId="55" applyNumberForma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59" fillId="27" borderId="57" applyNumberFormat="0" applyFont="0" applyAlignment="0" applyProtection="0"/>
    <xf numFmtId="0" fontId="138" fillId="1" borderId="56" applyNumberFormat="0" applyFont="0" applyAlignment="0">
      <alignment horizontal="center"/>
    </xf>
    <xf numFmtId="10" fontId="119" fillId="23" borderId="54" applyNumberFormat="0" applyBorder="0" applyAlignment="0" applyProtection="0"/>
    <xf numFmtId="0" fontId="123" fillId="0" borderId="56">
      <alignment horizontal="left" vertical="center"/>
    </xf>
    <xf numFmtId="0" fontId="123" fillId="0" borderId="56">
      <alignment horizontal="left" vertical="center"/>
    </xf>
    <xf numFmtId="0" fontId="63" fillId="21" borderId="66" applyNumberForma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76" fillId="21" borderId="69" applyNumberFormat="0" applyAlignment="0" applyProtection="0"/>
    <xf numFmtId="4" fontId="140" fillId="29" borderId="70" applyNumberFormat="0" applyProtection="0">
      <alignment vertical="center"/>
    </xf>
    <xf numFmtId="4" fontId="141" fillId="29" borderId="70" applyNumberFormat="0" applyProtection="0">
      <alignment vertical="center"/>
    </xf>
    <xf numFmtId="4" fontId="142" fillId="29" borderId="70" applyNumberFormat="0" applyProtection="0">
      <alignment horizontal="left" vertical="center" indent="1"/>
    </xf>
    <xf numFmtId="4" fontId="142" fillId="31" borderId="70" applyNumberFormat="0" applyProtection="0">
      <alignment horizontal="right" vertical="center"/>
    </xf>
    <xf numFmtId="4" fontId="142" fillId="32" borderId="70" applyNumberFormat="0" applyProtection="0">
      <alignment horizontal="right" vertical="center"/>
    </xf>
    <xf numFmtId="4" fontId="142" fillId="33" borderId="70" applyNumberFormat="0" applyProtection="0">
      <alignment horizontal="right" vertical="center"/>
    </xf>
    <xf numFmtId="4" fontId="142" fillId="34" borderId="70" applyNumberFormat="0" applyProtection="0">
      <alignment horizontal="right" vertical="center"/>
    </xf>
    <xf numFmtId="4" fontId="142" fillId="35" borderId="70" applyNumberFormat="0" applyProtection="0">
      <alignment horizontal="right" vertical="center"/>
    </xf>
    <xf numFmtId="4" fontId="142" fillId="36" borderId="70" applyNumberFormat="0" applyProtection="0">
      <alignment horizontal="right" vertical="center"/>
    </xf>
    <xf numFmtId="4" fontId="142" fillId="37" borderId="70" applyNumberFormat="0" applyProtection="0">
      <alignment horizontal="right" vertical="center"/>
    </xf>
    <xf numFmtId="4" fontId="142" fillId="38" borderId="70" applyNumberFormat="0" applyProtection="0">
      <alignment horizontal="right" vertical="center"/>
    </xf>
    <xf numFmtId="4" fontId="142" fillId="39" borderId="70" applyNumberFormat="0" applyProtection="0">
      <alignment horizontal="right" vertical="center"/>
    </xf>
    <xf numFmtId="4" fontId="142" fillId="41" borderId="70" applyNumberFormat="0" applyProtection="0">
      <alignment horizontal="right" vertical="center"/>
    </xf>
    <xf numFmtId="4" fontId="142" fillId="42" borderId="70" applyNumberFormat="0" applyProtection="0">
      <alignment vertical="center"/>
    </xf>
    <xf numFmtId="4" fontId="143" fillId="42" borderId="70" applyNumberFormat="0" applyProtection="0">
      <alignment vertical="center"/>
    </xf>
    <xf numFmtId="4" fontId="140" fillId="41" borderId="71" applyNumberFormat="0" applyProtection="0">
      <alignment horizontal="left" vertical="center" indent="1"/>
    </xf>
    <xf numFmtId="4" fontId="142" fillId="42" borderId="70" applyNumberFormat="0" applyProtection="0">
      <alignment horizontal="right" vertical="center"/>
    </xf>
    <xf numFmtId="4" fontId="143" fillId="42" borderId="70" applyNumberFormat="0" applyProtection="0">
      <alignment horizontal="right" vertical="center"/>
    </xf>
    <xf numFmtId="4" fontId="140" fillId="41" borderId="70" applyNumberFormat="0" applyProtection="0">
      <alignment horizontal="left" vertical="center" indent="1"/>
    </xf>
    <xf numFmtId="4" fontId="144" fillId="25" borderId="71" applyNumberFormat="0" applyProtection="0">
      <alignment horizontal="left" vertical="center" indent="1"/>
    </xf>
    <xf numFmtId="4" fontId="145" fillId="42" borderId="70" applyNumberFormat="0" applyProtection="0">
      <alignment horizontal="right" vertical="center"/>
    </xf>
    <xf numFmtId="0" fontId="77" fillId="0" borderId="72" applyNumberFormat="0" applyFill="0" applyAlignment="0" applyProtection="0"/>
    <xf numFmtId="5" fontId="152" fillId="43" borderId="73">
      <alignment vertical="top"/>
    </xf>
    <xf numFmtId="6" fontId="155" fillId="45" borderId="73"/>
    <xf numFmtId="5" fontId="126" fillId="0" borderId="73">
      <alignment horizontal="left" vertical="top"/>
    </xf>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71" fillId="8" borderId="66" applyNumberForma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59" fillId="27" borderId="68" applyNumberFormat="0" applyFont="0" applyAlignment="0" applyProtection="0"/>
    <xf numFmtId="0" fontId="138" fillId="1" borderId="67" applyNumberFormat="0" applyFont="0" applyAlignment="0">
      <alignment horizontal="center"/>
    </xf>
    <xf numFmtId="0" fontId="123" fillId="0" borderId="67">
      <alignment horizontal="left" vertical="center"/>
    </xf>
    <xf numFmtId="43" fontId="167" fillId="0" borderId="0" applyFont="0" applyFill="0" applyBorder="0" applyAlignment="0" applyProtection="0"/>
    <xf numFmtId="43" fontId="2" fillId="0" borderId="0" applyFont="0" applyFill="0" applyBorder="0" applyAlignment="0" applyProtection="0"/>
    <xf numFmtId="3" fontId="81" fillId="0" borderId="65"/>
    <xf numFmtId="1" fontId="94" fillId="0" borderId="65" applyBorder="0" applyAlignment="0">
      <alignment horizontal="center"/>
    </xf>
    <xf numFmtId="3" fontId="81" fillId="0" borderId="65"/>
    <xf numFmtId="3" fontId="81" fillId="0" borderId="65"/>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63" fillId="21" borderId="66" applyNumberFormat="0" applyAlignment="0" applyProtection="0"/>
    <xf numFmtId="43"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5" fontId="55" fillId="0" borderId="0" applyFont="0" applyFill="0" applyBorder="0" applyAlignment="0" applyProtection="0"/>
    <xf numFmtId="0" fontId="123" fillId="0" borderId="67">
      <alignment horizontal="left" vertical="center"/>
    </xf>
    <xf numFmtId="5" fontId="126" fillId="25" borderId="65" applyNumberFormat="0" applyAlignment="0">
      <alignment horizontal="left" vertical="top"/>
    </xf>
    <xf numFmtId="49" fontId="127" fillId="0" borderId="65">
      <alignment vertical="center"/>
    </xf>
    <xf numFmtId="10" fontId="119" fillId="23" borderId="65" applyNumberFormat="0" applyBorder="0" applyAlignment="0" applyProtection="0"/>
    <xf numFmtId="0" fontId="71" fillId="8" borderId="66" applyNumberFormat="0" applyAlignment="0" applyProtection="0"/>
    <xf numFmtId="218" fontId="18" fillId="0" borderId="64"/>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76" fillId="21" borderId="75" applyNumberFormat="0" applyAlignment="0" applyProtection="0"/>
    <xf numFmtId="4" fontId="140" fillId="29" borderId="76" applyNumberFormat="0" applyProtection="0">
      <alignment vertical="center"/>
    </xf>
    <xf numFmtId="4" fontId="141" fillId="29" borderId="76" applyNumberFormat="0" applyProtection="0">
      <alignment vertical="center"/>
    </xf>
    <xf numFmtId="4" fontId="142" fillId="29" borderId="76" applyNumberFormat="0" applyProtection="0">
      <alignment horizontal="left" vertical="center" indent="1"/>
    </xf>
    <xf numFmtId="4" fontId="142" fillId="31" borderId="76" applyNumberFormat="0" applyProtection="0">
      <alignment horizontal="right" vertical="center"/>
    </xf>
    <xf numFmtId="4" fontId="142" fillId="32" borderId="76" applyNumberFormat="0" applyProtection="0">
      <alignment horizontal="right" vertical="center"/>
    </xf>
    <xf numFmtId="4" fontId="142" fillId="33" borderId="76" applyNumberFormat="0" applyProtection="0">
      <alignment horizontal="right" vertical="center"/>
    </xf>
    <xf numFmtId="4" fontId="142" fillId="34" borderId="76" applyNumberFormat="0" applyProtection="0">
      <alignment horizontal="right" vertical="center"/>
    </xf>
    <xf numFmtId="4" fontId="142" fillId="35" borderId="76" applyNumberFormat="0" applyProtection="0">
      <alignment horizontal="right" vertical="center"/>
    </xf>
    <xf numFmtId="4" fontId="142" fillId="36" borderId="76" applyNumberFormat="0" applyProtection="0">
      <alignment horizontal="right" vertical="center"/>
    </xf>
    <xf numFmtId="4" fontId="142" fillId="37" borderId="76" applyNumberFormat="0" applyProtection="0">
      <alignment horizontal="right" vertical="center"/>
    </xf>
    <xf numFmtId="4" fontId="142" fillId="38" borderId="76" applyNumberFormat="0" applyProtection="0">
      <alignment horizontal="right" vertical="center"/>
    </xf>
    <xf numFmtId="4" fontId="142" fillId="39" borderId="76" applyNumberFormat="0" applyProtection="0">
      <alignment horizontal="right" vertical="center"/>
    </xf>
    <xf numFmtId="4" fontId="142" fillId="41" borderId="76" applyNumberFormat="0" applyProtection="0">
      <alignment horizontal="right" vertical="center"/>
    </xf>
    <xf numFmtId="4" fontId="142" fillId="42" borderId="76" applyNumberFormat="0" applyProtection="0">
      <alignment vertical="center"/>
    </xf>
    <xf numFmtId="4" fontId="143" fillId="42" borderId="76" applyNumberFormat="0" applyProtection="0">
      <alignment vertical="center"/>
    </xf>
    <xf numFmtId="4" fontId="140" fillId="41" borderId="77" applyNumberFormat="0" applyProtection="0">
      <alignment horizontal="left" vertical="center" indent="1"/>
    </xf>
    <xf numFmtId="4" fontId="142" fillId="42" borderId="76" applyNumberFormat="0" applyProtection="0">
      <alignment horizontal="right" vertical="center"/>
    </xf>
    <xf numFmtId="4" fontId="143" fillId="42" borderId="76" applyNumberFormat="0" applyProtection="0">
      <alignment horizontal="right" vertical="center"/>
    </xf>
    <xf numFmtId="4" fontId="140" fillId="41" borderId="76" applyNumberFormat="0" applyProtection="0">
      <alignment horizontal="left" vertical="center" indent="1"/>
    </xf>
    <xf numFmtId="4" fontId="144" fillId="25" borderId="77" applyNumberFormat="0" applyProtection="0">
      <alignment horizontal="left" vertical="center" indent="1"/>
    </xf>
    <xf numFmtId="4" fontId="145" fillId="42" borderId="76" applyNumberFormat="0" applyProtection="0">
      <alignment horizontal="right" vertical="center"/>
    </xf>
    <xf numFmtId="0" fontId="138" fillId="1" borderId="67" applyNumberFormat="0" applyFont="0" applyAlignment="0">
      <alignment horizontal="center"/>
    </xf>
    <xf numFmtId="224" fontId="74" fillId="0" borderId="78">
      <alignment horizontal="right" vertical="center"/>
    </xf>
    <xf numFmtId="224" fontId="74" fillId="0" borderId="78">
      <alignment horizontal="right" vertical="center"/>
    </xf>
    <xf numFmtId="224" fontId="74" fillId="0" borderId="78">
      <alignment horizontal="right" vertical="center"/>
    </xf>
    <xf numFmtId="224" fontId="74" fillId="0" borderId="78">
      <alignment horizontal="right" vertical="center"/>
    </xf>
    <xf numFmtId="224" fontId="74" fillId="0" borderId="78">
      <alignment horizontal="right" vertical="center"/>
    </xf>
    <xf numFmtId="224" fontId="74" fillId="0" borderId="78">
      <alignment horizontal="right" vertical="center"/>
    </xf>
    <xf numFmtId="224" fontId="74" fillId="0" borderId="78">
      <alignment horizontal="right" vertical="center"/>
    </xf>
    <xf numFmtId="227" fontId="74" fillId="0" borderId="78">
      <alignment horizontal="center"/>
    </xf>
    <xf numFmtId="0" fontId="77" fillId="0" borderId="79" applyNumberFormat="0" applyFill="0" applyAlignment="0" applyProtection="0"/>
    <xf numFmtId="230" fontId="74" fillId="0" borderId="65"/>
    <xf numFmtId="5" fontId="152" fillId="43" borderId="80">
      <alignment vertical="top"/>
    </xf>
    <xf numFmtId="0" fontId="154" fillId="44" borderId="65">
      <alignment horizontal="left" vertical="center"/>
    </xf>
    <xf numFmtId="6" fontId="155" fillId="45" borderId="80"/>
    <xf numFmtId="5" fontId="126" fillId="0" borderId="80">
      <alignment horizontal="left" vertical="top"/>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3" fontId="81" fillId="0" borderId="106"/>
    <xf numFmtId="0" fontId="59" fillId="27" borderId="104"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71" fillId="8" borderId="92" applyNumberForma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95" applyNumberFormat="0" applyFont="0" applyAlignment="0" applyProtection="0"/>
    <xf numFmtId="4" fontId="142" fillId="34" borderId="100" applyNumberFormat="0" applyProtection="0">
      <alignment horizontal="right" vertical="center"/>
    </xf>
    <xf numFmtId="3" fontId="81" fillId="0" borderId="91"/>
    <xf numFmtId="0" fontId="59" fillId="27" borderId="8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4" fontId="142" fillId="29" borderId="100" applyNumberFormat="0" applyProtection="0">
      <alignment horizontal="left" vertical="center" indent="1"/>
    </xf>
    <xf numFmtId="0" fontId="59" fillId="27" borderId="9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10" fontId="119" fillId="23" borderId="106" applyNumberFormat="0" applyBorder="0" applyAlignment="0" applyProtection="0"/>
    <xf numFmtId="0" fontId="59" fillId="27" borderId="104" applyNumberFormat="0" applyFont="0" applyAlignment="0" applyProtection="0"/>
    <xf numFmtId="4" fontId="143" fillId="42" borderId="86" applyNumberFormat="0" applyProtection="0">
      <alignment vertical="center"/>
    </xf>
    <xf numFmtId="0" fontId="59" fillId="27" borderId="85" applyNumberFormat="0" applyFont="0" applyAlignment="0" applyProtection="0"/>
    <xf numFmtId="0" fontId="77" fillId="0" borderId="88" applyNumberFormat="0" applyFill="0" applyAlignment="0" applyProtection="0"/>
    <xf numFmtId="0" fontId="59" fillId="27" borderId="95" applyNumberFormat="0" applyFont="0" applyAlignment="0" applyProtection="0"/>
    <xf numFmtId="4" fontId="142" fillId="35" borderId="86"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4" fontId="142" fillId="39" borderId="86" applyNumberFormat="0" applyProtection="0">
      <alignment horizontal="right" vertical="center"/>
    </xf>
    <xf numFmtId="0" fontId="59" fillId="27" borderId="85"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4" fontId="142" fillId="33"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4" fontId="141" fillId="29" borderId="100" applyNumberFormat="0" applyProtection="0">
      <alignment vertical="center"/>
    </xf>
    <xf numFmtId="0" fontId="59" fillId="27" borderId="95" applyNumberFormat="0" applyFont="0" applyAlignment="0" applyProtection="0"/>
    <xf numFmtId="0" fontId="59" fillId="27" borderId="95" applyNumberFormat="0" applyFont="0" applyAlignment="0" applyProtection="0"/>
    <xf numFmtId="0" fontId="71" fillId="8" borderId="97" applyNumberFormat="0" applyAlignment="0" applyProtection="0"/>
    <xf numFmtId="0" fontId="59" fillId="27" borderId="85" applyNumberFormat="0" applyFont="0" applyAlignment="0" applyProtection="0"/>
    <xf numFmtId="0" fontId="123" fillId="0" borderId="84">
      <alignment horizontal="left" vertical="center"/>
    </xf>
    <xf numFmtId="5" fontId="126" fillId="25" borderId="82" applyNumberFormat="0" applyAlignment="0">
      <alignment horizontal="left" vertical="top"/>
    </xf>
    <xf numFmtId="49" fontId="127" fillId="0" borderId="82">
      <alignment vertical="center"/>
    </xf>
    <xf numFmtId="0" fontId="59" fillId="27" borderId="95" applyNumberFormat="0" applyFont="0" applyAlignment="0" applyProtection="0"/>
    <xf numFmtId="218" fontId="18" fillId="0" borderId="81"/>
    <xf numFmtId="0" fontId="138" fillId="1" borderId="98" applyNumberFormat="0" applyFont="0" applyAlignment="0">
      <alignment horizontal="center"/>
    </xf>
    <xf numFmtId="0" fontId="63" fillId="21" borderId="92" applyNumberFormat="0" applyAlignment="0" applyProtection="0"/>
    <xf numFmtId="4" fontId="140" fillId="41" borderId="86" applyNumberFormat="0" applyProtection="0">
      <alignment horizontal="left" vertical="center" indent="1"/>
    </xf>
    <xf numFmtId="10" fontId="119" fillId="23" borderId="96" applyNumberFormat="0" applyBorder="0" applyAlignment="0" applyProtection="0"/>
    <xf numFmtId="0" fontId="59" fillId="27" borderId="104"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138" fillId="1" borderId="98" applyNumberFormat="0" applyFont="0" applyAlignment="0">
      <alignment horizontal="center"/>
    </xf>
    <xf numFmtId="0" fontId="59" fillId="27" borderId="95"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4" fontId="142" fillId="42" borderId="100" applyNumberFormat="0" applyProtection="0">
      <alignment horizontal="right" vertical="center"/>
    </xf>
    <xf numFmtId="49" fontId="127" fillId="0" borderId="91">
      <alignment vertical="center"/>
    </xf>
    <xf numFmtId="0" fontId="59" fillId="27" borderId="85" applyNumberFormat="0" applyFont="0" applyAlignment="0" applyProtection="0"/>
    <xf numFmtId="0" fontId="59" fillId="27" borderId="104" applyNumberFormat="0" applyFont="0" applyAlignment="0" applyProtection="0"/>
    <xf numFmtId="0" fontId="76" fillId="21" borderId="105" applyNumberForma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4" fontId="142" fillId="38" borderId="86" applyNumberFormat="0" applyProtection="0">
      <alignment horizontal="right" vertical="center"/>
    </xf>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43" fontId="2" fillId="0" borderId="0" applyFont="0" applyFill="0" applyBorder="0" applyAlignment="0" applyProtection="0"/>
    <xf numFmtId="0" fontId="59" fillId="27" borderId="104" applyNumberFormat="0" applyFont="0" applyAlignment="0" applyProtection="0"/>
    <xf numFmtId="4" fontId="142" fillId="41" borderId="86" applyNumberFormat="0" applyProtection="0">
      <alignment horizontal="right" vertical="center"/>
    </xf>
    <xf numFmtId="4" fontId="140" fillId="41" borderId="101" applyNumberFormat="0" applyProtection="0">
      <alignment horizontal="left" vertical="center" indent="1"/>
    </xf>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4" fontId="142" fillId="39"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218" fontId="18" fillId="0" borderId="94"/>
    <xf numFmtId="3" fontId="81" fillId="0" borderId="96"/>
    <xf numFmtId="230" fontId="74" fillId="0" borderId="82"/>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2" fillId="29" borderId="86" applyNumberFormat="0" applyProtection="0">
      <alignment horizontal="left" vertical="center" indent="1"/>
    </xf>
    <xf numFmtId="0" fontId="59" fillId="27" borderId="95" applyNumberFormat="0" applyFont="0" applyAlignment="0" applyProtection="0"/>
    <xf numFmtId="4" fontId="142" fillId="35" borderId="100" applyNumberFormat="0" applyProtection="0">
      <alignment horizontal="right" vertical="center"/>
    </xf>
    <xf numFmtId="0" fontId="59" fillId="27" borderId="95" applyNumberFormat="0" applyFont="0" applyAlignment="0" applyProtection="0"/>
    <xf numFmtId="3" fontId="81" fillId="0" borderId="82"/>
    <xf numFmtId="0" fontId="59" fillId="27" borderId="95" applyNumberFormat="0" applyFont="0" applyAlignment="0" applyProtection="0"/>
    <xf numFmtId="0" fontId="59" fillId="27" borderId="95" applyNumberFormat="0" applyFont="0" applyAlignment="0" applyProtection="0"/>
    <xf numFmtId="3" fontId="81" fillId="0" borderId="82"/>
    <xf numFmtId="49" fontId="127" fillId="0" borderId="96">
      <alignment vertical="center"/>
    </xf>
    <xf numFmtId="0" fontId="59" fillId="27" borderId="9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4" fontId="144" fillId="25" borderId="101" applyNumberFormat="0" applyProtection="0">
      <alignment horizontal="left" vertical="center" indent="1"/>
    </xf>
    <xf numFmtId="0" fontId="59" fillId="27" borderId="85" applyNumberFormat="0" applyFont="0" applyAlignment="0" applyProtection="0"/>
    <xf numFmtId="4" fontId="143" fillId="42" borderId="86" applyNumberFormat="0" applyProtection="0">
      <alignment horizontal="right" vertical="center"/>
    </xf>
    <xf numFmtId="0" fontId="59" fillId="27" borderId="95" applyNumberFormat="0" applyFont="0" applyAlignment="0" applyProtection="0"/>
    <xf numFmtId="0" fontId="71" fillId="8" borderId="83" applyNumberFormat="0" applyAlignment="0" applyProtection="0"/>
    <xf numFmtId="0" fontId="123" fillId="0" borderId="98">
      <alignment horizontal="left" vertical="center"/>
    </xf>
    <xf numFmtId="4" fontId="142" fillId="32" borderId="86" applyNumberFormat="0" applyProtection="0">
      <alignment horizontal="right" vertical="center"/>
    </xf>
    <xf numFmtId="0" fontId="123" fillId="0" borderId="108">
      <alignment horizontal="left" vertical="center"/>
    </xf>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123" fillId="0" borderId="98">
      <alignment horizontal="left" vertical="center"/>
    </xf>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3" fontId="81" fillId="0" borderId="82"/>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4" fontId="140" fillId="29" borderId="100" applyNumberFormat="0" applyProtection="0">
      <alignment vertical="center"/>
    </xf>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63" fillId="21" borderId="107" applyNumberFormat="0" applyAlignment="0" applyProtection="0"/>
    <xf numFmtId="5" fontId="152" fillId="43" borderId="103">
      <alignment vertical="top"/>
    </xf>
    <xf numFmtId="0" fontId="59" fillId="27" borderId="95" applyNumberFormat="0" applyFont="0" applyAlignment="0" applyProtection="0"/>
    <xf numFmtId="0" fontId="59" fillId="27" borderId="104" applyNumberFormat="0" applyFont="0" applyAlignment="0" applyProtection="0"/>
    <xf numFmtId="0" fontId="154" fillId="44" borderId="106">
      <alignment horizontal="left" vertical="center"/>
    </xf>
    <xf numFmtId="5" fontId="126" fillId="0" borderId="89">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5" fontId="126" fillId="25" borderId="91" applyNumberFormat="0" applyAlignment="0">
      <alignment horizontal="left" vertical="top"/>
    </xf>
    <xf numFmtId="3" fontId="81" fillId="0" borderId="96"/>
    <xf numFmtId="4" fontId="142" fillId="31" borderId="86" applyNumberFormat="0" applyProtection="0">
      <alignment horizontal="right" vertical="center"/>
    </xf>
    <xf numFmtId="3" fontId="81" fillId="0" borderId="96"/>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5" fontId="152" fillId="43" borderId="89">
      <alignment vertical="top"/>
    </xf>
    <xf numFmtId="218" fontId="18" fillId="0" borderId="81"/>
    <xf numFmtId="218" fontId="18" fillId="0" borderId="99"/>
    <xf numFmtId="0" fontId="59" fillId="27" borderId="104" applyNumberFormat="0" applyFont="0" applyAlignment="0" applyProtection="0"/>
    <xf numFmtId="4" fontId="141" fillId="29" borderId="86" applyNumberFormat="0" applyProtection="0">
      <alignment vertical="center"/>
    </xf>
    <xf numFmtId="0" fontId="59" fillId="27" borderId="95" applyNumberFormat="0" applyFont="0" applyAlignment="0" applyProtection="0"/>
    <xf numFmtId="3" fontId="81" fillId="0" borderId="96"/>
    <xf numFmtId="0" fontId="63" fillId="21" borderId="97" applyNumberFormat="0" applyAlignment="0" applyProtection="0"/>
    <xf numFmtId="0" fontId="59" fillId="27" borderId="95" applyNumberFormat="0" applyFont="0" applyAlignment="0" applyProtection="0"/>
    <xf numFmtId="3" fontId="81" fillId="0" borderId="106"/>
    <xf numFmtId="1" fontId="94" fillId="0" borderId="82" applyBorder="0" applyAlignment="0">
      <alignment horizontal="center"/>
    </xf>
    <xf numFmtId="0" fontId="59" fillId="27" borderId="8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1" fontId="94" fillId="0" borderId="106" applyBorder="0" applyAlignment="0">
      <alignment horizontal="center"/>
    </xf>
    <xf numFmtId="0" fontId="59" fillId="27" borderId="85" applyNumberFormat="0" applyFont="0" applyAlignment="0" applyProtection="0"/>
    <xf numFmtId="0" fontId="59" fillId="27" borderId="104" applyNumberFormat="0" applyFont="0" applyAlignment="0" applyProtection="0"/>
    <xf numFmtId="4" fontId="142" fillId="42" borderId="86" applyNumberFormat="0" applyProtection="0">
      <alignment vertical="center"/>
    </xf>
    <xf numFmtId="0" fontId="59" fillId="27" borderId="85" applyNumberFormat="0" applyFont="0" applyAlignment="0" applyProtection="0"/>
    <xf numFmtId="218" fontId="18" fillId="0" borderId="99"/>
    <xf numFmtId="0" fontId="154" fillId="44" borderId="82">
      <alignment horizontal="left" vertical="center"/>
    </xf>
    <xf numFmtId="0" fontId="59" fillId="27" borderId="104" applyNumberFormat="0" applyFont="0" applyAlignment="0" applyProtection="0"/>
    <xf numFmtId="1" fontId="94" fillId="0" borderId="91" applyBorder="0" applyAlignment="0">
      <alignment horizontal="center"/>
    </xf>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76" fillId="21" borderId="90" applyNumberFormat="0" applyAlignment="0" applyProtection="0"/>
    <xf numFmtId="0" fontId="59" fillId="27" borderId="95" applyNumberFormat="0" applyFont="0" applyAlignment="0" applyProtection="0"/>
    <xf numFmtId="0" fontId="59" fillId="27" borderId="95" applyNumberFormat="0" applyFont="0" applyAlignment="0" applyProtection="0"/>
    <xf numFmtId="0" fontId="123" fillId="0" borderId="93">
      <alignment horizontal="left" vertical="center"/>
    </xf>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77" fillId="0" borderId="102" applyNumberFormat="0" applyFill="0" applyAlignment="0" applyProtection="0"/>
    <xf numFmtId="4" fontId="140" fillId="41" borderId="100" applyNumberFormat="0" applyProtection="0">
      <alignment horizontal="left" vertical="center" indent="1"/>
    </xf>
    <xf numFmtId="0" fontId="59" fillId="27" borderId="104" applyNumberFormat="0" applyFont="0" applyAlignment="0" applyProtection="0"/>
    <xf numFmtId="4" fontId="142" fillId="42" borderId="86" applyNumberFormat="0" applyProtection="0">
      <alignment horizontal="right" vertical="center"/>
    </xf>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5" fontId="126" fillId="25" borderId="106" applyNumberFormat="0" applyAlignment="0">
      <alignment horizontal="left" vertical="top"/>
    </xf>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4" fontId="145" fillId="42" borderId="86" applyNumberFormat="0" applyProtection="0">
      <alignment horizontal="right" vertical="center"/>
    </xf>
    <xf numFmtId="0" fontId="59" fillId="27" borderId="104" applyNumberFormat="0" applyFont="0" applyAlignment="0" applyProtection="0"/>
    <xf numFmtId="1" fontId="94" fillId="0" borderId="96" applyBorder="0" applyAlignment="0">
      <alignment horizontal="center"/>
    </xf>
    <xf numFmtId="3" fontId="81" fillId="0" borderId="91"/>
    <xf numFmtId="230" fontId="74" fillId="0" borderId="106"/>
    <xf numFmtId="0" fontId="71" fillId="8" borderId="97" applyNumberFormat="0" applyAlignment="0" applyProtection="0"/>
    <xf numFmtId="0" fontId="59" fillId="27" borderId="104" applyNumberFormat="0" applyFont="0" applyAlignment="0" applyProtection="0"/>
    <xf numFmtId="0" fontId="59" fillId="27" borderId="85" applyNumberFormat="0" applyFont="0" applyAlignment="0" applyProtection="0"/>
    <xf numFmtId="4" fontId="142" fillId="42" borderId="100" applyNumberFormat="0" applyProtection="0">
      <alignment vertical="center"/>
    </xf>
    <xf numFmtId="0" fontId="59" fillId="27" borderId="95" applyNumberFormat="0" applyFont="0" applyAlignment="0" applyProtection="0"/>
    <xf numFmtId="0" fontId="59" fillId="27" borderId="95" applyNumberFormat="0" applyFont="0" applyAlignment="0" applyProtection="0"/>
    <xf numFmtId="4" fontId="142" fillId="38"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4" fontId="140" fillId="41" borderId="87" applyNumberFormat="0" applyProtection="0">
      <alignment horizontal="left" vertical="center" indent="1"/>
    </xf>
    <xf numFmtId="0" fontId="59" fillId="27" borderId="8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154" fillId="44" borderId="96">
      <alignment horizontal="left" vertical="center"/>
    </xf>
    <xf numFmtId="10" fontId="119" fillId="23" borderId="96" applyNumberFormat="0" applyBorder="0" applyAlignment="0" applyProtection="0"/>
    <xf numFmtId="4" fontId="142" fillId="32" borderId="100" applyNumberFormat="0" applyProtection="0">
      <alignment horizontal="right" vertical="center"/>
    </xf>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00" applyNumberFormat="0" applyProtection="0">
      <alignment vertical="center"/>
    </xf>
    <xf numFmtId="3" fontId="81" fillId="0" borderId="96"/>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3" fontId="81" fillId="0" borderId="91"/>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10" fontId="119" fillId="23" borderId="82" applyNumberFormat="0" applyBorder="0" applyAlignment="0" applyProtection="0"/>
    <xf numFmtId="0" fontId="59" fillId="27" borderId="104" applyNumberFormat="0" applyFont="0" applyAlignment="0" applyProtection="0"/>
    <xf numFmtId="230" fontId="74" fillId="0" borderId="96"/>
    <xf numFmtId="0" fontId="59" fillId="27" borderId="104" applyNumberFormat="0" applyFont="0" applyAlignment="0" applyProtection="0"/>
    <xf numFmtId="0" fontId="59" fillId="27" borderId="95" applyNumberFormat="0" applyFont="0" applyAlignment="0" applyProtection="0"/>
    <xf numFmtId="230" fontId="74" fillId="0" borderId="96"/>
    <xf numFmtId="0" fontId="59" fillId="27" borderId="104" applyNumberFormat="0" applyFont="0" applyAlignment="0" applyProtection="0"/>
    <xf numFmtId="230" fontId="74" fillId="0" borderId="91"/>
    <xf numFmtId="0" fontId="59" fillId="27" borderId="104"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4" fontId="145" fillId="42" borderId="100" applyNumberFormat="0" applyProtection="0">
      <alignment horizontal="right" vertical="center"/>
    </xf>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154" fillId="44" borderId="96">
      <alignment horizontal="left" vertical="center"/>
    </xf>
    <xf numFmtId="0" fontId="59" fillId="27" borderId="9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3" fontId="2" fillId="0" borderId="0" applyFont="0" applyFill="0" applyBorder="0" applyAlignment="0" applyProtection="0"/>
    <xf numFmtId="0" fontId="59" fillId="27" borderId="95" applyNumberFormat="0" applyFont="0" applyAlignment="0" applyProtection="0"/>
    <xf numFmtId="1" fontId="94" fillId="0" borderId="96" applyBorder="0" applyAlignment="0">
      <alignment horizontal="center"/>
    </xf>
    <xf numFmtId="0" fontId="59" fillId="27" borderId="104" applyNumberFormat="0" applyFont="0" applyAlignment="0" applyProtection="0"/>
    <xf numFmtId="0" fontId="59" fillId="27" borderId="104" applyNumberFormat="0" applyFont="0" applyAlignment="0" applyProtection="0"/>
    <xf numFmtId="4" fontId="142" fillId="33" borderId="86" applyNumberFormat="0" applyProtection="0">
      <alignment horizontal="right" vertical="center"/>
    </xf>
    <xf numFmtId="49" fontId="127" fillId="0" borderId="106">
      <alignment vertical="center"/>
    </xf>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138" fillId="1" borderId="84" applyNumberFormat="0" applyFont="0" applyAlignment="0">
      <alignment horizontal="center"/>
    </xf>
    <xf numFmtId="4" fontId="142" fillId="34" borderId="86" applyNumberFormat="0" applyProtection="0">
      <alignment horizontal="right" vertical="center"/>
    </xf>
    <xf numFmtId="4" fontId="142" fillId="36" borderId="100" applyNumberFormat="0" applyProtection="0">
      <alignment horizontal="right" vertical="center"/>
    </xf>
    <xf numFmtId="0" fontId="59" fillId="27" borderId="95"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154" fillId="44" borderId="91">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4" fontId="143" fillId="42" borderId="100" applyNumberFormat="0" applyProtection="0">
      <alignment horizontal="right" vertical="center"/>
    </xf>
    <xf numFmtId="0" fontId="59" fillId="27" borderId="104"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49" fontId="127" fillId="0" borderId="96">
      <alignment vertical="center"/>
    </xf>
    <xf numFmtId="0" fontId="59" fillId="27" borderId="85" applyNumberFormat="0" applyFont="0" applyAlignment="0" applyProtection="0"/>
    <xf numFmtId="0" fontId="59" fillId="27" borderId="104" applyNumberFormat="0" applyFont="0" applyAlignment="0" applyProtection="0"/>
    <xf numFmtId="4" fontId="144" fillId="25" borderId="87" applyNumberFormat="0" applyProtection="0">
      <alignment horizontal="left" vertical="center" indent="1"/>
    </xf>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6" fontId="155" fillId="45" borderId="89"/>
    <xf numFmtId="0" fontId="59" fillId="27" borderId="104"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43" fontId="2" fillId="0" borderId="0" applyFont="0" applyFill="0" applyBorder="0" applyAlignment="0" applyProtection="0"/>
    <xf numFmtId="0" fontId="59" fillId="27" borderId="104"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2" fillId="37" borderId="86" applyNumberFormat="0" applyProtection="0">
      <alignment horizontal="right" vertical="center"/>
    </xf>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5" fontId="126" fillId="25" borderId="96" applyNumberFormat="0" applyAlignment="0">
      <alignment horizontal="left" vertical="top"/>
    </xf>
    <xf numFmtId="0" fontId="59" fillId="27" borderId="104" applyNumberFormat="0" applyFont="0" applyAlignment="0" applyProtection="0"/>
    <xf numFmtId="0" fontId="59" fillId="27" borderId="95" applyNumberFormat="0" applyFont="0" applyAlignment="0" applyProtection="0"/>
    <xf numFmtId="0" fontId="59" fillId="27" borderId="85" applyNumberFormat="0" applyFont="0" applyAlignment="0" applyProtection="0"/>
    <xf numFmtId="0" fontId="59" fillId="27" borderId="104" applyNumberFormat="0" applyFont="0" applyAlignment="0" applyProtection="0"/>
    <xf numFmtId="5" fontId="126" fillId="25" borderId="96" applyNumberFormat="0" applyAlignment="0">
      <alignment horizontal="left" vertical="top"/>
    </xf>
    <xf numFmtId="0" fontId="59" fillId="27" borderId="104" applyNumberFormat="0" applyFont="0" applyAlignment="0" applyProtection="0"/>
    <xf numFmtId="0" fontId="63" fillId="21" borderId="83" applyNumberForma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0" fontId="63" fillId="21" borderId="97" applyNumberForma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4" fontId="140" fillId="29" borderId="86" applyNumberFormat="0" applyProtection="0">
      <alignment vertical="center"/>
    </xf>
    <xf numFmtId="0" fontId="59" fillId="27" borderId="85" applyNumberFormat="0" applyFont="0" applyAlignment="0" applyProtection="0"/>
    <xf numFmtId="6" fontId="155" fillId="45" borderId="103"/>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8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3" fontId="81" fillId="0" borderId="96"/>
    <xf numFmtId="0" fontId="59" fillId="27" borderId="104"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4" fontId="142" fillId="41" borderId="100" applyNumberFormat="0" applyProtection="0">
      <alignment horizontal="right" vertical="center"/>
    </xf>
    <xf numFmtId="0" fontId="59" fillId="27" borderId="104" applyNumberFormat="0" applyFont="0" applyAlignment="0" applyProtection="0"/>
    <xf numFmtId="43" fontId="2" fillId="0" borderId="0" applyFont="0" applyFill="0" applyBorder="0" applyAlignment="0" applyProtection="0"/>
    <xf numFmtId="0" fontId="59" fillId="27" borderId="104" applyNumberFormat="0" applyFont="0" applyAlignment="0" applyProtection="0"/>
    <xf numFmtId="0" fontId="59" fillId="27" borderId="95" applyNumberFormat="0" applyFont="0" applyAlignment="0" applyProtection="0"/>
    <xf numFmtId="5" fontId="126" fillId="0" borderId="103">
      <alignment horizontal="left" vertical="top"/>
    </xf>
    <xf numFmtId="4" fontId="142" fillId="36" borderId="86"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4" fontId="142" fillId="37" borderId="100" applyNumberFormat="0" applyProtection="0">
      <alignment horizontal="right" vertical="center"/>
    </xf>
    <xf numFmtId="0" fontId="59" fillId="27" borderId="85" applyNumberFormat="0" applyFont="0" applyAlignment="0" applyProtection="0"/>
    <xf numFmtId="10" fontId="119" fillId="23" borderId="91" applyNumberFormat="0" applyBorder="0" applyAlignment="0" applyProtection="0"/>
    <xf numFmtId="0" fontId="59" fillId="27" borderId="104" applyNumberFormat="0" applyFont="0" applyAlignment="0" applyProtection="0"/>
    <xf numFmtId="4" fontId="142" fillId="31" borderId="100" applyNumberFormat="0" applyProtection="0">
      <alignment horizontal="right" vertical="center"/>
    </xf>
    <xf numFmtId="0" fontId="59" fillId="27" borderId="104" applyNumberFormat="0" applyFont="0" applyAlignment="0" applyProtection="0"/>
    <xf numFmtId="0" fontId="138" fillId="1" borderId="93" applyNumberFormat="0" applyFont="0" applyAlignment="0">
      <alignment horizontal="center"/>
    </xf>
    <xf numFmtId="0" fontId="59" fillId="27" borderId="95" applyNumberFormat="0" applyFont="0" applyAlignment="0" applyProtection="0"/>
    <xf numFmtId="0" fontId="59" fillId="27" borderId="10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5" fontId="126" fillId="25" borderId="106" applyNumberFormat="0" applyAlignment="0">
      <alignment horizontal="left" vertical="top"/>
    </xf>
    <xf numFmtId="49" fontId="127" fillId="0" borderId="106">
      <alignment vertical="center"/>
    </xf>
    <xf numFmtId="218" fontId="18" fillId="0" borderId="109"/>
    <xf numFmtId="218" fontId="18" fillId="0" borderId="109"/>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0" fontId="154" fillId="44" borderId="106">
      <alignment horizontal="left" vertical="center"/>
    </xf>
    <xf numFmtId="0" fontId="63" fillId="21" borderId="107" applyNumberFormat="0" applyAlignment="0" applyProtection="0"/>
    <xf numFmtId="1" fontId="94" fillId="0" borderId="106" applyBorder="0" applyAlignment="0">
      <alignment horizontal="center"/>
    </xf>
    <xf numFmtId="3" fontId="81" fillId="0" borderId="106"/>
    <xf numFmtId="3" fontId="81" fillId="0" borderId="106"/>
    <xf numFmtId="230" fontId="74" fillId="0" borderId="106"/>
    <xf numFmtId="3" fontId="81" fillId="0" borderId="106"/>
    <xf numFmtId="10" fontId="119" fillId="23" borderId="106" applyNumberFormat="0" applyBorder="0" applyAlignment="0" applyProtection="0"/>
    <xf numFmtId="0" fontId="138" fillId="1" borderId="108" applyNumberFormat="0" applyFont="0" applyAlignment="0">
      <alignment horizontal="center"/>
    </xf>
    <xf numFmtId="0" fontId="71" fillId="8" borderId="107" applyNumberFormat="0" applyAlignment="0" applyProtection="0"/>
    <xf numFmtId="0" fontId="123" fillId="0" borderId="108">
      <alignment horizontal="left" vertical="center"/>
    </xf>
    <xf numFmtId="0" fontId="63" fillId="21" borderId="107" applyNumberForma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76" fillId="21" borderId="105" applyNumberFormat="0" applyAlignment="0" applyProtection="0"/>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3" fontId="81" fillId="0" borderId="106"/>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3" fontId="81" fillId="0" borderId="106"/>
    <xf numFmtId="1" fontId="94" fillId="0" borderId="106" applyBorder="0" applyAlignment="0">
      <alignment horizont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3" fontId="81" fillId="0" borderId="106"/>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49" fontId="127" fillId="0" borderId="106">
      <alignment vertical="center"/>
    </xf>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5" fontId="126" fillId="25" borderId="106" applyNumberFormat="0" applyAlignment="0">
      <alignment horizontal="left" vertical="top"/>
    </xf>
    <xf numFmtId="230" fontId="74" fillId="0" borderId="106"/>
    <xf numFmtId="0" fontId="154" fillId="44" borderId="106">
      <alignment horizontal="left" vertical="center"/>
    </xf>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71" fillId="8" borderId="107" applyNumberFormat="0" applyAlignment="0" applyProtection="0"/>
    <xf numFmtId="218" fontId="18" fillId="0" borderId="109"/>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59" fillId="27" borderId="104" applyNumberFormat="0" applyFont="0" applyAlignment="0" applyProtection="0"/>
    <xf numFmtId="0" fontId="138" fillId="1" borderId="108" applyNumberFormat="0" applyFont="0" applyAlignment="0">
      <alignment horizontal="center"/>
    </xf>
    <xf numFmtId="10" fontId="119" fillId="23" borderId="106" applyNumberFormat="0" applyBorder="0" applyAlignment="0" applyProtection="0"/>
    <xf numFmtId="0" fontId="123" fillId="0" borderId="108">
      <alignment horizontal="left" vertical="center"/>
    </xf>
    <xf numFmtId="3" fontId="81"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1" fontId="94" fillId="0" borderId="106" applyBorder="0" applyAlignment="0">
      <alignment horizontal="center"/>
    </xf>
    <xf numFmtId="3" fontId="81" fillId="0" borderId="106"/>
    <xf numFmtId="3" fontId="81" fillId="0" borderId="106"/>
    <xf numFmtId="5" fontId="126" fillId="0" borderId="103">
      <alignment horizontal="left" vertical="top"/>
    </xf>
    <xf numFmtId="6" fontId="155" fillId="45" borderId="103"/>
    <xf numFmtId="0" fontId="154" fillId="44" borderId="106">
      <alignment horizontal="left" vertical="center"/>
    </xf>
    <xf numFmtId="5" fontId="152" fillId="43" borderId="103">
      <alignment vertical="top"/>
    </xf>
    <xf numFmtId="230" fontId="74" fillId="0" borderId="106"/>
    <xf numFmtId="0" fontId="77" fillId="0" borderId="102" applyNumberFormat="0" applyFill="0" applyAlignment="0" applyProtection="0"/>
    <xf numFmtId="227" fontId="74" fillId="0" borderId="112">
      <alignment horizont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0" fontId="138" fillId="1" borderId="108" applyNumberFormat="0" applyFont="0" applyAlignment="0">
      <alignment horizontal="center"/>
    </xf>
    <xf numFmtId="4" fontId="145" fillId="42" borderId="100" applyNumberFormat="0" applyProtection="0">
      <alignment horizontal="right" vertical="center"/>
    </xf>
    <xf numFmtId="4" fontId="144" fillId="25" borderId="101" applyNumberFormat="0" applyProtection="0">
      <alignment horizontal="left" vertical="center" indent="1"/>
    </xf>
    <xf numFmtId="4" fontId="140" fillId="41" borderId="100" applyNumberFormat="0" applyProtection="0">
      <alignment horizontal="left" vertical="center" indent="1"/>
    </xf>
    <xf numFmtId="4" fontId="143" fillId="42" borderId="100" applyNumberFormat="0" applyProtection="0">
      <alignment horizontal="right" vertical="center"/>
    </xf>
    <xf numFmtId="4" fontId="142" fillId="42" borderId="100" applyNumberFormat="0" applyProtection="0">
      <alignment horizontal="right" vertical="center"/>
    </xf>
    <xf numFmtId="4" fontId="140" fillId="41" borderId="101" applyNumberFormat="0" applyProtection="0">
      <alignment horizontal="left" vertical="center" indent="1"/>
    </xf>
    <xf numFmtId="4" fontId="143" fillId="42" borderId="100" applyNumberFormat="0" applyProtection="0">
      <alignment vertical="center"/>
    </xf>
    <xf numFmtId="4" fontId="142" fillId="42" borderId="100" applyNumberFormat="0" applyProtection="0">
      <alignment vertical="center"/>
    </xf>
    <xf numFmtId="4" fontId="142" fillId="41" borderId="100" applyNumberFormat="0" applyProtection="0">
      <alignment horizontal="right" vertical="center"/>
    </xf>
    <xf numFmtId="4" fontId="142" fillId="39" borderId="100" applyNumberFormat="0" applyProtection="0">
      <alignment horizontal="right" vertical="center"/>
    </xf>
    <xf numFmtId="4" fontId="142" fillId="38" borderId="100" applyNumberFormat="0" applyProtection="0">
      <alignment horizontal="right" vertical="center"/>
    </xf>
    <xf numFmtId="4" fontId="142" fillId="37" borderId="100" applyNumberFormat="0" applyProtection="0">
      <alignment horizontal="right" vertical="center"/>
    </xf>
    <xf numFmtId="4" fontId="142" fillId="36" borderId="100" applyNumberFormat="0" applyProtection="0">
      <alignment horizontal="right" vertical="center"/>
    </xf>
    <xf numFmtId="4" fontId="142" fillId="35" borderId="100" applyNumberFormat="0" applyProtection="0">
      <alignment horizontal="right" vertical="center"/>
    </xf>
    <xf numFmtId="4" fontId="142" fillId="34" borderId="100" applyNumberFormat="0" applyProtection="0">
      <alignment horizontal="right" vertical="center"/>
    </xf>
    <xf numFmtId="4" fontId="142" fillId="33" borderId="100" applyNumberFormat="0" applyProtection="0">
      <alignment horizontal="right" vertical="center"/>
    </xf>
    <xf numFmtId="4" fontId="142" fillId="32" borderId="100" applyNumberFormat="0" applyProtection="0">
      <alignment horizontal="right" vertical="center"/>
    </xf>
    <xf numFmtId="4" fontId="142" fillId="31" borderId="100" applyNumberFormat="0" applyProtection="0">
      <alignment horizontal="right" vertical="center"/>
    </xf>
    <xf numFmtId="4" fontId="142" fillId="29" borderId="100" applyNumberFormat="0" applyProtection="0">
      <alignment horizontal="left" vertical="center" indent="1"/>
    </xf>
    <xf numFmtId="4" fontId="141" fillId="29" borderId="100" applyNumberFormat="0" applyProtection="0">
      <alignment vertical="center"/>
    </xf>
    <xf numFmtId="4" fontId="140" fillId="29" borderId="100" applyNumberFormat="0" applyProtection="0">
      <alignment vertical="center"/>
    </xf>
    <xf numFmtId="0" fontId="76" fillId="21" borderId="90" applyNumberForma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63" fillId="21" borderId="83" applyNumberFormat="0" applyAlignment="0" applyProtection="0"/>
    <xf numFmtId="43" fontId="2"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17"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218" fontId="18" fillId="0" borderId="109"/>
    <xf numFmtId="43" fontId="2"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0" fontId="71" fillId="8" borderId="97" applyNumberFormat="0" applyAlignment="0" applyProtection="0"/>
    <xf numFmtId="10" fontId="119" fillId="23" borderId="106" applyNumberFormat="0" applyBorder="0" applyAlignment="0" applyProtection="0"/>
    <xf numFmtId="43" fontId="17" fillId="0" borderId="0" applyFont="0" applyFill="0" applyBorder="0" applyAlignment="0" applyProtection="0"/>
    <xf numFmtId="43" fontId="59" fillId="0" borderId="0" applyFont="0" applyFill="0" applyBorder="0" applyAlignment="0" applyProtection="0"/>
    <xf numFmtId="43" fontId="17" fillId="0" borderId="0" applyFont="0" applyFill="0" applyBorder="0" applyAlignment="0" applyProtection="0"/>
    <xf numFmtId="49" fontId="127" fillId="0" borderId="106">
      <alignment vertical="center"/>
    </xf>
    <xf numFmtId="5" fontId="126" fillId="25" borderId="106" applyNumberFormat="0" applyAlignment="0">
      <alignment horizontal="left" vertical="top"/>
    </xf>
    <xf numFmtId="43" fontId="59" fillId="0" borderId="0" applyFont="0" applyFill="0" applyBorder="0" applyAlignment="0" applyProtection="0"/>
    <xf numFmtId="169" fontId="2" fillId="0" borderId="0" applyFont="0" applyFill="0" applyBorder="0" applyAlignment="0" applyProtection="0"/>
    <xf numFmtId="43" fontId="59" fillId="0" borderId="0" applyFont="0" applyFill="0" applyBorder="0" applyAlignment="0" applyProtection="0"/>
    <xf numFmtId="0" fontId="123" fillId="0" borderId="108">
      <alignment horizontal="left" vertical="center"/>
    </xf>
    <xf numFmtId="43" fontId="2"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17" fillId="0" borderId="0" applyFont="0" applyFill="0" applyBorder="0" applyAlignment="0" applyProtection="0"/>
    <xf numFmtId="43" fontId="1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65" fillId="0" borderId="0" applyFont="0" applyFill="0" applyBorder="0" applyAlignment="0" applyProtection="0"/>
    <xf numFmtId="43" fontId="2" fillId="0" borderId="0" applyFont="0" applyFill="0" applyBorder="0" applyAlignment="0" applyProtection="0"/>
    <xf numFmtId="43" fontId="65" fillId="0" borderId="0" applyFont="0" applyFill="0" applyBorder="0" applyAlignment="0" applyProtection="0"/>
    <xf numFmtId="43" fontId="65" fillId="0" borderId="0" applyFont="0" applyFill="0" applyBorder="0" applyAlignment="0" applyProtection="0"/>
    <xf numFmtId="0" fontId="123" fillId="0" borderId="108">
      <alignment horizontal="left" vertical="center"/>
    </xf>
    <xf numFmtId="5" fontId="126" fillId="25" borderId="106" applyNumberFormat="0" applyAlignment="0">
      <alignment horizontal="left" vertical="top"/>
    </xf>
    <xf numFmtId="49" fontId="127" fillId="0" borderId="106">
      <alignment vertical="center"/>
    </xf>
    <xf numFmtId="10" fontId="119" fillId="23" borderId="106" applyNumberFormat="0" applyBorder="0" applyAlignment="0" applyProtection="0"/>
    <xf numFmtId="0" fontId="71" fillId="8" borderId="83" applyNumberFormat="0" applyAlignment="0" applyProtection="0"/>
    <xf numFmtId="218" fontId="18" fillId="0" borderId="109"/>
    <xf numFmtId="43" fontId="2" fillId="0" borderId="0" applyFont="0" applyFill="0" applyBorder="0" applyAlignment="0" applyProtection="0"/>
    <xf numFmtId="0" fontId="63" fillId="21" borderId="97" applyNumberFormat="0" applyAlignment="0" applyProtection="0"/>
    <xf numFmtId="0" fontId="76" fillId="21" borderId="90" applyNumberFormat="0" applyAlignment="0" applyProtection="0"/>
    <xf numFmtId="3" fontId="81" fillId="0" borderId="106"/>
    <xf numFmtId="3" fontId="81" fillId="0" borderId="106"/>
    <xf numFmtId="4" fontId="140" fillId="29" borderId="100" applyNumberFormat="0" applyProtection="0">
      <alignment vertical="center"/>
    </xf>
    <xf numFmtId="4" fontId="141" fillId="29" borderId="100" applyNumberFormat="0" applyProtection="0">
      <alignment vertical="center"/>
    </xf>
    <xf numFmtId="4" fontId="142" fillId="29" borderId="100" applyNumberFormat="0" applyProtection="0">
      <alignment horizontal="left" vertical="center" indent="1"/>
    </xf>
    <xf numFmtId="1" fontId="94" fillId="0" borderId="106" applyBorder="0" applyAlignment="0">
      <alignment horizontal="center"/>
    </xf>
    <xf numFmtId="4" fontId="142" fillId="31" borderId="100" applyNumberFormat="0" applyProtection="0">
      <alignment horizontal="right" vertical="center"/>
    </xf>
    <xf numFmtId="4" fontId="142" fillId="32" borderId="100" applyNumberFormat="0" applyProtection="0">
      <alignment horizontal="right" vertical="center"/>
    </xf>
    <xf numFmtId="4" fontId="142" fillId="33" borderId="100" applyNumberFormat="0" applyProtection="0">
      <alignment horizontal="right" vertical="center"/>
    </xf>
    <xf numFmtId="4" fontId="142" fillId="34" borderId="100" applyNumberFormat="0" applyProtection="0">
      <alignment horizontal="right" vertical="center"/>
    </xf>
    <xf numFmtId="4" fontId="142" fillId="35" borderId="100" applyNumberFormat="0" applyProtection="0">
      <alignment horizontal="right" vertical="center"/>
    </xf>
    <xf numFmtId="4" fontId="142" fillId="36" borderId="100" applyNumberFormat="0" applyProtection="0">
      <alignment horizontal="right" vertical="center"/>
    </xf>
    <xf numFmtId="4" fontId="142" fillId="37" borderId="100" applyNumberFormat="0" applyProtection="0">
      <alignment horizontal="right" vertical="center"/>
    </xf>
    <xf numFmtId="4" fontId="142" fillId="38" borderId="100" applyNumberFormat="0" applyProtection="0">
      <alignment horizontal="right" vertical="center"/>
    </xf>
    <xf numFmtId="4" fontId="142" fillId="39" borderId="100" applyNumberFormat="0" applyProtection="0">
      <alignment horizontal="right" vertical="center"/>
    </xf>
    <xf numFmtId="4" fontId="142" fillId="41" borderId="100" applyNumberFormat="0" applyProtection="0">
      <alignment horizontal="right" vertical="center"/>
    </xf>
    <xf numFmtId="4" fontId="142" fillId="42" borderId="100" applyNumberFormat="0" applyProtection="0">
      <alignment vertical="center"/>
    </xf>
    <xf numFmtId="4" fontId="143" fillId="42" borderId="100" applyNumberFormat="0" applyProtection="0">
      <alignment vertical="center"/>
    </xf>
    <xf numFmtId="4" fontId="140" fillId="41" borderId="101" applyNumberFormat="0" applyProtection="0">
      <alignment horizontal="left" vertical="center" indent="1"/>
    </xf>
    <xf numFmtId="4" fontId="142" fillId="42" borderId="100" applyNumberFormat="0" applyProtection="0">
      <alignment horizontal="right" vertical="center"/>
    </xf>
    <xf numFmtId="4" fontId="143" fillId="42" borderId="100" applyNumberFormat="0" applyProtection="0">
      <alignment horizontal="right" vertical="center"/>
    </xf>
    <xf numFmtId="4" fontId="140" fillId="41" borderId="100" applyNumberFormat="0" applyProtection="0">
      <alignment horizontal="left" vertical="center" indent="1"/>
    </xf>
    <xf numFmtId="4" fontId="144" fillId="25" borderId="101" applyNumberFormat="0" applyProtection="0">
      <alignment horizontal="left" vertical="center" indent="1"/>
    </xf>
    <xf numFmtId="4" fontId="145" fillId="42" borderId="100" applyNumberFormat="0" applyProtection="0">
      <alignment horizontal="right" vertical="center"/>
    </xf>
    <xf numFmtId="0" fontId="138" fillId="1" borderId="108" applyNumberFormat="0" applyFont="0" applyAlignment="0">
      <alignment horizont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0" fontId="77" fillId="0" borderId="102" applyNumberFormat="0" applyFill="0" applyAlignment="0" applyProtection="0"/>
    <xf numFmtId="230" fontId="74" fillId="0" borderId="106"/>
    <xf numFmtId="5" fontId="152" fillId="43" borderId="103">
      <alignment vertical="top"/>
    </xf>
    <xf numFmtId="0" fontId="154" fillId="44" borderId="106">
      <alignment horizontal="left" vertical="center"/>
    </xf>
    <xf numFmtId="6" fontId="155" fillId="45" borderId="103"/>
    <xf numFmtId="5" fontId="126" fillId="0" borderId="103">
      <alignment horizontal="left" vertical="top"/>
    </xf>
    <xf numFmtId="3" fontId="81"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3" fontId="167" fillId="0" borderId="0" applyFont="0" applyFill="0" applyBorder="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77" fillId="0" borderId="102" applyNumberFormat="0" applyFill="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3" fillId="42" borderId="100" applyNumberFormat="0" applyProtection="0">
      <alignmen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2" fillId="37"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1" fillId="29" borderId="100" applyNumberFormat="0" applyProtection="0">
      <alignmen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3" fillId="42" borderId="100" applyNumberFormat="0" applyProtection="0">
      <alignment horizontal="right" vertical="center"/>
    </xf>
    <xf numFmtId="0" fontId="59" fillId="27" borderId="74" applyNumberFormat="0" applyFont="0" applyAlignment="0" applyProtection="0"/>
    <xf numFmtId="0" fontId="138" fillId="1" borderId="108" applyNumberFormat="0" applyFont="0" applyAlignment="0">
      <alignment horizont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218" fontId="18" fillId="0" borderId="109"/>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154" fillId="44" borderId="106">
      <alignment horizontal="left" vertical="center"/>
    </xf>
    <xf numFmtId="0" fontId="59" fillId="27" borderId="74" applyNumberFormat="0" applyFont="0" applyAlignment="0" applyProtection="0"/>
    <xf numFmtId="10" fontId="119" fillId="23" borderId="106" applyNumberFormat="0" applyBorder="0" applyAlignment="0" applyProtection="0"/>
    <xf numFmtId="0" fontId="59" fillId="27" borderId="74" applyNumberFormat="0" applyFont="0" applyAlignment="0" applyProtection="0"/>
    <xf numFmtId="0" fontId="59" fillId="27" borderId="74" applyNumberFormat="0" applyFont="0" applyAlignment="0" applyProtection="0"/>
    <xf numFmtId="43" fontId="167" fillId="0" borderId="0" applyFont="0" applyFill="0" applyBorder="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2" fillId="36"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3" fontId="167" fillId="0" borderId="0" applyFont="0" applyFill="0" applyBorder="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218" fontId="18" fillId="0" borderId="109"/>
    <xf numFmtId="0" fontId="71" fillId="8" borderId="97" applyNumberForma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2" fillId="32" borderId="100" applyNumberFormat="0" applyProtection="0">
      <alignment horizontal="right" vertical="center"/>
    </xf>
    <xf numFmtId="4" fontId="142" fillId="34"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0" fontId="71" fillId="8" borderId="97" applyNumberFormat="0" applyAlignment="0" applyProtection="0"/>
    <xf numFmtId="4" fontId="142" fillId="39"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2" fillId="42" borderId="100" applyNumberFormat="0" applyProtection="0">
      <alignmen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3" fontId="167" fillId="0" borderId="0" applyFont="0" applyFill="0" applyBorder="0" applyAlignment="0" applyProtection="0"/>
    <xf numFmtId="0" fontId="59" fillId="27" borderId="74" applyNumberFormat="0" applyFont="0" applyAlignment="0" applyProtection="0"/>
    <xf numFmtId="4" fontId="142" fillId="38"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2" fillId="42"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63" fillId="21" borderId="97" applyNumberFormat="0" applyAlignment="0" applyProtection="0"/>
    <xf numFmtId="0" fontId="59" fillId="27" borderId="74" applyNumberFormat="0" applyFont="0" applyAlignment="0" applyProtection="0"/>
    <xf numFmtId="0" fontId="59" fillId="27" borderId="74" applyNumberFormat="0" applyFont="0" applyAlignment="0" applyProtection="0"/>
    <xf numFmtId="3" fontId="81" fillId="0" borderId="106"/>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2" fillId="35"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6" fontId="155" fillId="45" borderId="103"/>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0" fillId="41" borderId="101" applyNumberFormat="0" applyProtection="0">
      <alignment horizontal="left" vertical="center" indent="1"/>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123" fillId="0" borderId="108">
      <alignment horizontal="lef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3" fontId="167" fillId="0" borderId="0" applyFont="0" applyFill="0" applyBorder="0" applyAlignment="0" applyProtection="0"/>
    <xf numFmtId="5" fontId="152" fillId="43" borderId="103">
      <alignment vertical="top"/>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3" fontId="81" fillId="0" borderId="106"/>
    <xf numFmtId="0" fontId="59" fillId="27" borderId="74" applyNumberFormat="0" applyFont="0" applyAlignment="0" applyProtection="0"/>
    <xf numFmtId="0" fontId="59" fillId="27" borderId="74" applyNumberFormat="0" applyFont="0" applyAlignment="0" applyProtection="0"/>
    <xf numFmtId="3" fontId="81" fillId="0" borderId="106"/>
    <xf numFmtId="0" fontId="59" fillId="27" borderId="74" applyNumberFormat="0" applyFont="0" applyAlignment="0" applyProtection="0"/>
    <xf numFmtId="0" fontId="63" fillId="21" borderId="97" applyNumberFormat="0" applyAlignment="0" applyProtection="0"/>
    <xf numFmtId="0" fontId="59" fillId="27" borderId="74" applyNumberFormat="0" applyFont="0" applyAlignment="0" applyProtection="0"/>
    <xf numFmtId="4" fontId="140" fillId="41" borderId="100" applyNumberFormat="0" applyProtection="0">
      <alignment horizontal="left" vertical="center" indent="1"/>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9" fontId="127" fillId="0" borderId="106">
      <alignment vertical="center"/>
    </xf>
    <xf numFmtId="4" fontId="140" fillId="29" borderId="100" applyNumberFormat="0" applyProtection="0">
      <alignmen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4" fillId="25" borderId="101" applyNumberFormat="0" applyProtection="0">
      <alignment horizontal="left" vertical="center" indent="1"/>
    </xf>
    <xf numFmtId="0" fontId="59" fillId="27" borderId="74" applyNumberFormat="0" applyFont="0" applyAlignment="0" applyProtection="0"/>
    <xf numFmtId="1" fontId="94" fillId="0" borderId="106" applyBorder="0" applyAlignment="0">
      <alignment horizontal="center"/>
    </xf>
    <xf numFmtId="0" fontId="59" fillId="27" borderId="74" applyNumberFormat="0" applyFont="0" applyAlignment="0" applyProtection="0"/>
    <xf numFmtId="4" fontId="145" fillId="42"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230" fontId="74" fillId="0" borderId="106"/>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2" fillId="29" borderId="100" applyNumberFormat="0" applyProtection="0">
      <alignment horizontal="left" vertical="center" indent="1"/>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 fontId="142" fillId="33"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5" fontId="126" fillId="25" borderId="106" applyNumberFormat="0" applyAlignment="0">
      <alignment horizontal="left" vertical="top"/>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3" fontId="81" fillId="0" borderId="106"/>
    <xf numFmtId="0" fontId="59" fillId="27" borderId="95" applyNumberFormat="0" applyFont="0" applyAlignment="0" applyProtection="0"/>
    <xf numFmtId="0" fontId="59" fillId="27" borderId="95" applyNumberFormat="0" applyFont="0" applyAlignment="0" applyProtection="0"/>
    <xf numFmtId="0" fontId="71" fillId="8" borderId="97" applyNumberFormat="0" applyAlignment="0" applyProtection="0"/>
    <xf numFmtId="0" fontId="59" fillId="27" borderId="95" applyNumberFormat="0" applyFont="0" applyAlignment="0" applyProtection="0"/>
    <xf numFmtId="0" fontId="59" fillId="27" borderId="95" applyNumberFormat="0" applyFont="0" applyAlignment="0" applyProtection="0"/>
    <xf numFmtId="43" fontId="2" fillId="0" borderId="0" applyFont="0" applyFill="0" applyBorder="0" applyAlignment="0" applyProtection="0"/>
    <xf numFmtId="0" fontId="59" fillId="27" borderId="95" applyNumberFormat="0" applyFont="0" applyAlignment="0" applyProtection="0"/>
    <xf numFmtId="3" fontId="81"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10" fontId="119" fillId="23" borderId="106" applyNumberFormat="0" applyBorder="0" applyAlignment="0" applyProtection="0"/>
    <xf numFmtId="0" fontId="59" fillId="27" borderId="95" applyNumberFormat="0" applyFont="0" applyAlignment="0" applyProtection="0"/>
    <xf numFmtId="4" fontId="143" fillId="42" borderId="100" applyNumberFormat="0" applyProtection="0">
      <alignment vertical="center"/>
    </xf>
    <xf numFmtId="0" fontId="59" fillId="27" borderId="95" applyNumberFormat="0" applyFont="0" applyAlignment="0" applyProtection="0"/>
    <xf numFmtId="0" fontId="77" fillId="0" borderId="102" applyNumberFormat="0" applyFill="0" applyAlignment="0" applyProtection="0"/>
    <xf numFmtId="4" fontId="142" fillId="35"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4" fontId="142" fillId="39"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123" fillId="0" borderId="108">
      <alignment horizontal="left" vertical="center"/>
    </xf>
    <xf numFmtId="5" fontId="126" fillId="25" borderId="106" applyNumberFormat="0" applyAlignment="0">
      <alignment horizontal="left" vertical="top"/>
    </xf>
    <xf numFmtId="49" fontId="127" fillId="0" borderId="106">
      <alignment vertical="center"/>
    </xf>
    <xf numFmtId="218" fontId="18" fillId="0" borderId="109"/>
    <xf numFmtId="0" fontId="138" fillId="1" borderId="108" applyNumberFormat="0" applyFont="0" applyAlignment="0">
      <alignment horizontal="center"/>
    </xf>
    <xf numFmtId="0" fontId="63" fillId="21" borderId="97" applyNumberFormat="0" applyAlignment="0" applyProtection="0"/>
    <xf numFmtId="4" fontId="140" fillId="41" borderId="100" applyNumberFormat="0" applyProtection="0">
      <alignment horizontal="left" vertical="center" indent="1"/>
    </xf>
    <xf numFmtId="10" fontId="119" fillId="23" borderId="106" applyNumberFormat="0" applyBorder="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138" fillId="1" borderId="108" applyNumberFormat="0" applyFont="0" applyAlignment="0">
      <alignment horizont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9" fontId="127" fillId="0" borderId="106">
      <alignment vertical="center"/>
    </xf>
    <xf numFmtId="0" fontId="59" fillId="27" borderId="95" applyNumberFormat="0" applyFont="0" applyAlignment="0" applyProtection="0"/>
    <xf numFmtId="0" fontId="59" fillId="27" borderId="95" applyNumberFormat="0" applyFont="0" applyAlignment="0" applyProtection="0"/>
    <xf numFmtId="0" fontId="76" fillId="21" borderId="90" applyNumberForma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3" fontId="81"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2" fillId="38"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43" fontId="2" fillId="0" borderId="0" applyFont="0" applyFill="0" applyBorder="0" applyAlignment="0" applyProtection="0"/>
    <xf numFmtId="0" fontId="59" fillId="27" borderId="95" applyNumberFormat="0" applyFont="0" applyAlignment="0" applyProtection="0"/>
    <xf numFmtId="4" fontId="142" fillId="41"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218" fontId="18" fillId="0" borderId="109"/>
    <xf numFmtId="3" fontId="81" fillId="0" borderId="106"/>
    <xf numFmtId="230" fontId="74"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2" fillId="29" borderId="100" applyNumberFormat="0" applyProtection="0">
      <alignment horizontal="left" vertical="center" indent="1"/>
    </xf>
    <xf numFmtId="0" fontId="59" fillId="27" borderId="95" applyNumberFormat="0" applyFont="0" applyAlignment="0" applyProtection="0"/>
    <xf numFmtId="3" fontId="81" fillId="0" borderId="106"/>
    <xf numFmtId="0" fontId="59" fillId="27" borderId="95" applyNumberFormat="0" applyFont="0" applyAlignment="0" applyProtection="0"/>
    <xf numFmtId="0" fontId="59" fillId="27" borderId="95" applyNumberFormat="0" applyFont="0" applyAlignment="0" applyProtection="0"/>
    <xf numFmtId="3" fontId="81" fillId="0" borderId="106"/>
    <xf numFmtId="49" fontId="127" fillId="0" borderId="106">
      <alignmen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3" fillId="42" borderId="100" applyNumberFormat="0" applyProtection="0">
      <alignment horizontal="right" vertical="center"/>
    </xf>
    <xf numFmtId="0" fontId="71" fillId="8" borderId="97" applyNumberFormat="0" applyAlignment="0" applyProtection="0"/>
    <xf numFmtId="0" fontId="123" fillId="0" borderId="108">
      <alignment horizontal="left" vertical="center"/>
    </xf>
    <xf numFmtId="4" fontId="142" fillId="32" borderId="100" applyNumberFormat="0" applyProtection="0">
      <alignment horizontal="right" vertical="center"/>
    </xf>
    <xf numFmtId="0" fontId="123" fillId="0" borderId="108">
      <alignment horizontal="lef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123" fillId="0" borderId="108">
      <alignment horizontal="left" vertical="center"/>
    </xf>
    <xf numFmtId="0" fontId="59" fillId="27" borderId="95" applyNumberFormat="0" applyFont="0" applyAlignment="0" applyProtection="0"/>
    <xf numFmtId="0" fontId="59" fillId="27" borderId="95" applyNumberFormat="0" applyFont="0" applyAlignment="0" applyProtection="0"/>
    <xf numFmtId="3" fontId="81"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63" fillId="21" borderId="97" applyNumberFormat="0" applyAlignment="0" applyProtection="0"/>
    <xf numFmtId="0" fontId="59" fillId="27" borderId="95" applyNumberFormat="0" applyFont="0" applyAlignment="0" applyProtection="0"/>
    <xf numFmtId="0" fontId="154" fillId="44" borderId="106">
      <alignment horizontal="left" vertical="center"/>
    </xf>
    <xf numFmtId="5" fontId="126" fillId="0" borderId="103">
      <alignment horizontal="left" vertical="top"/>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5" fontId="126" fillId="25" borderId="106" applyNumberFormat="0" applyAlignment="0">
      <alignment horizontal="left" vertical="top"/>
    </xf>
    <xf numFmtId="3" fontId="81" fillId="0" borderId="106"/>
    <xf numFmtId="4" fontId="142" fillId="31" borderId="100" applyNumberFormat="0" applyProtection="0">
      <alignment horizontal="right" vertical="center"/>
    </xf>
    <xf numFmtId="3" fontId="81"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5" fontId="152" fillId="43" borderId="103">
      <alignment vertical="top"/>
    </xf>
    <xf numFmtId="218" fontId="18" fillId="0" borderId="109"/>
    <xf numFmtId="218" fontId="18" fillId="0" borderId="109"/>
    <xf numFmtId="0" fontId="59" fillId="27" borderId="95" applyNumberFormat="0" applyFont="0" applyAlignment="0" applyProtection="0"/>
    <xf numFmtId="4" fontId="141" fillId="29" borderId="100" applyNumberFormat="0" applyProtection="0">
      <alignment vertical="center"/>
    </xf>
    <xf numFmtId="3" fontId="81" fillId="0" borderId="106"/>
    <xf numFmtId="3" fontId="81" fillId="0" borderId="106"/>
    <xf numFmtId="1" fontId="94" fillId="0" borderId="106" applyBorder="0" applyAlignment="0">
      <alignment horizont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1" fontId="94" fillId="0" borderId="106" applyBorder="0" applyAlignment="0">
      <alignment horizontal="center"/>
    </xf>
    <xf numFmtId="0" fontId="59" fillId="27" borderId="95" applyNumberFormat="0" applyFont="0" applyAlignment="0" applyProtection="0"/>
    <xf numFmtId="0" fontId="59" fillId="27" borderId="95" applyNumberFormat="0" applyFont="0" applyAlignment="0" applyProtection="0"/>
    <xf numFmtId="4" fontId="142" fillId="42" borderId="100" applyNumberFormat="0" applyProtection="0">
      <alignment vertical="center"/>
    </xf>
    <xf numFmtId="0" fontId="59" fillId="27" borderId="95" applyNumberFormat="0" applyFont="0" applyAlignment="0" applyProtection="0"/>
    <xf numFmtId="218" fontId="18" fillId="0" borderId="109"/>
    <xf numFmtId="0" fontId="154" fillId="44" borderId="106">
      <alignment horizontal="left" vertical="center"/>
    </xf>
    <xf numFmtId="0" fontId="59" fillId="27" borderId="95" applyNumberFormat="0" applyFont="0" applyAlignment="0" applyProtection="0"/>
    <xf numFmtId="1" fontId="94" fillId="0" borderId="106" applyBorder="0" applyAlignment="0">
      <alignment horizont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76" fillId="21" borderId="90" applyNumberFormat="0" applyAlignment="0" applyProtection="0"/>
    <xf numFmtId="0" fontId="59" fillId="27" borderId="95" applyNumberFormat="0" applyFont="0" applyAlignment="0" applyProtection="0"/>
    <xf numFmtId="0" fontId="123" fillId="0" borderId="108">
      <alignment horizontal="lef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2" fillId="42"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5" fontId="126" fillId="25" borderId="106" applyNumberFormat="0" applyAlignment="0">
      <alignment horizontal="left" vertical="top"/>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5" fillId="42" borderId="100" applyNumberFormat="0" applyProtection="0">
      <alignment horizontal="right" vertical="center"/>
    </xf>
    <xf numFmtId="0" fontId="59" fillId="27" borderId="95" applyNumberFormat="0" applyFont="0" applyAlignment="0" applyProtection="0"/>
    <xf numFmtId="1" fontId="94" fillId="0" borderId="106" applyBorder="0" applyAlignment="0">
      <alignment horizontal="center"/>
    </xf>
    <xf numFmtId="3" fontId="81" fillId="0" borderId="106"/>
    <xf numFmtId="230" fontId="74" fillId="0" borderId="106"/>
    <xf numFmtId="0" fontId="71" fillId="8" borderId="97" applyNumberForma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0" fillId="41" borderId="101" applyNumberFormat="0" applyProtection="0">
      <alignment horizontal="left" vertical="center" indent="1"/>
    </xf>
    <xf numFmtId="0" fontId="59" fillId="27" borderId="95" applyNumberFormat="0" applyFont="0" applyAlignment="0" applyProtection="0"/>
    <xf numFmtId="0" fontId="59" fillId="27" borderId="95" applyNumberFormat="0" applyFont="0" applyAlignment="0" applyProtection="0"/>
    <xf numFmtId="0" fontId="154" fillId="44" borderId="106">
      <alignment horizontal="left" vertical="center"/>
    </xf>
    <xf numFmtId="10" fontId="119" fillId="23" borderId="106" applyNumberFormat="0" applyBorder="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3" fontId="81" fillId="0" borderId="106"/>
    <xf numFmtId="0" fontId="59" fillId="27" borderId="95" applyNumberFormat="0" applyFont="0" applyAlignment="0" applyProtection="0"/>
    <xf numFmtId="3" fontId="81"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10" fontId="119" fillId="23" borderId="106" applyNumberFormat="0" applyBorder="0" applyAlignment="0" applyProtection="0"/>
    <xf numFmtId="0" fontId="59" fillId="27" borderId="95" applyNumberFormat="0" applyFont="0" applyAlignment="0" applyProtection="0"/>
    <xf numFmtId="230" fontId="74" fillId="0" borderId="106"/>
    <xf numFmtId="0" fontId="59" fillId="27" borderId="95" applyNumberFormat="0" applyFont="0" applyAlignment="0" applyProtection="0"/>
    <xf numFmtId="230" fontId="74" fillId="0" borderId="106"/>
    <xf numFmtId="0" fontId="59" fillId="27" borderId="95" applyNumberFormat="0" applyFont="0" applyAlignment="0" applyProtection="0"/>
    <xf numFmtId="230" fontId="74"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154" fillId="44" borderId="106">
      <alignment horizontal="lef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3" fontId="2" fillId="0" borderId="0" applyFont="0" applyFill="0" applyBorder="0" applyAlignment="0" applyProtection="0"/>
    <xf numFmtId="1" fontId="94" fillId="0" borderId="106" applyBorder="0" applyAlignment="0">
      <alignment horizontal="center"/>
    </xf>
    <xf numFmtId="0" fontId="59" fillId="27" borderId="95" applyNumberFormat="0" applyFont="0" applyAlignment="0" applyProtection="0"/>
    <xf numFmtId="0" fontId="59" fillId="27" borderId="95" applyNumberFormat="0" applyFont="0" applyAlignment="0" applyProtection="0"/>
    <xf numFmtId="4" fontId="142" fillId="33" borderId="100" applyNumberFormat="0" applyProtection="0">
      <alignment horizontal="right" vertical="center"/>
    </xf>
    <xf numFmtId="49" fontId="127" fillId="0" borderId="106">
      <alignment vertical="center"/>
    </xf>
    <xf numFmtId="0" fontId="138" fillId="1" borderId="108" applyNumberFormat="0" applyFont="0" applyAlignment="0">
      <alignment horizontal="center"/>
    </xf>
    <xf numFmtId="0" fontId="59" fillId="27" borderId="95" applyNumberFormat="0" applyFont="0" applyAlignment="0" applyProtection="0"/>
    <xf numFmtId="0" fontId="59" fillId="27" borderId="95" applyNumberFormat="0" applyFont="0" applyAlignment="0" applyProtection="0"/>
    <xf numFmtId="0" fontId="138" fillId="1" borderId="108" applyNumberFormat="0" applyFont="0" applyAlignment="0">
      <alignment horizontal="center"/>
    </xf>
    <xf numFmtId="4" fontId="142" fillId="34"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154" fillId="44" borderId="106">
      <alignment horizontal="lef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9" fontId="127" fillId="0" borderId="106">
      <alignment vertical="center"/>
    </xf>
    <xf numFmtId="0" fontId="59" fillId="27" borderId="95" applyNumberFormat="0" applyFont="0" applyAlignment="0" applyProtection="0"/>
    <xf numFmtId="0" fontId="59" fillId="27" borderId="95" applyNumberFormat="0" applyFont="0" applyAlignment="0" applyProtection="0"/>
    <xf numFmtId="4" fontId="144" fillId="25" borderId="101" applyNumberFormat="0" applyProtection="0">
      <alignment horizontal="left" vertical="center" indent="1"/>
    </xf>
    <xf numFmtId="0" fontId="71" fillId="8" borderId="97" applyNumberForma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6" fontId="155" fillId="45" borderId="103"/>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3" fontId="2" fillId="0" borderId="0" applyFont="0" applyFill="0" applyBorder="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2" fillId="37"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5" fontId="126" fillId="25" borderId="106" applyNumberFormat="0" applyAlignment="0">
      <alignment horizontal="left" vertical="top"/>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5" fontId="126" fillId="25" borderId="106" applyNumberFormat="0" applyAlignment="0">
      <alignment horizontal="left" vertical="top"/>
    </xf>
    <xf numFmtId="0" fontId="59" fillId="27" borderId="95" applyNumberFormat="0" applyFont="0" applyAlignment="0" applyProtection="0"/>
    <xf numFmtId="0" fontId="63" fillId="21" borderId="97" applyNumberForma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63" fillId="21" borderId="97" applyNumberForma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 fontId="140" fillId="29" borderId="100" applyNumberFormat="0" applyProtection="0">
      <alignmen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3" fontId="81" fillId="0" borderId="106"/>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43" fontId="2" fillId="0" borderId="0" applyFont="0" applyFill="0" applyBorder="0" applyAlignment="0" applyProtection="0"/>
    <xf numFmtId="0" fontId="59" fillId="27" borderId="95" applyNumberFormat="0" applyFont="0" applyAlignment="0" applyProtection="0"/>
    <xf numFmtId="0" fontId="59" fillId="27" borderId="95" applyNumberFormat="0" applyFont="0" applyAlignment="0" applyProtection="0"/>
    <xf numFmtId="4" fontId="142" fillId="36" borderId="100" applyNumberFormat="0" applyProtection="0">
      <alignment horizontal="right" vertic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10" fontId="119" fillId="23" borderId="106" applyNumberFormat="0" applyBorder="0" applyAlignment="0" applyProtection="0"/>
    <xf numFmtId="0" fontId="59" fillId="27" borderId="95" applyNumberFormat="0" applyFont="0" applyAlignment="0" applyProtection="0"/>
    <xf numFmtId="0" fontId="59" fillId="27" borderId="95" applyNumberFormat="0" applyFont="0" applyAlignment="0" applyProtection="0"/>
    <xf numFmtId="0" fontId="138" fillId="1" borderId="108" applyNumberFormat="0" applyFont="0" applyAlignment="0">
      <alignment horizontal="center"/>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5" fontId="126" fillId="25" borderId="106" applyNumberFormat="0" applyAlignment="0">
      <alignment horizontal="left" vertical="top"/>
    </xf>
    <xf numFmtId="49" fontId="127" fillId="0" borderId="106">
      <alignment vertical="center"/>
    </xf>
    <xf numFmtId="4" fontId="140" fillId="29" borderId="100" applyNumberFormat="0" applyProtection="0">
      <alignment vertical="center"/>
    </xf>
    <xf numFmtId="4" fontId="141" fillId="29" borderId="100" applyNumberFormat="0" applyProtection="0">
      <alignment vertical="center"/>
    </xf>
    <xf numFmtId="4" fontId="142" fillId="29" borderId="100" applyNumberFormat="0" applyProtection="0">
      <alignment horizontal="left" vertical="center" indent="1"/>
    </xf>
    <xf numFmtId="4" fontId="142" fillId="31" borderId="100" applyNumberFormat="0" applyProtection="0">
      <alignment horizontal="right" vertical="center"/>
    </xf>
    <xf numFmtId="4" fontId="142" fillId="32" borderId="100" applyNumberFormat="0" applyProtection="0">
      <alignment horizontal="right" vertical="center"/>
    </xf>
    <xf numFmtId="4" fontId="142" fillId="33" borderId="100" applyNumberFormat="0" applyProtection="0">
      <alignment horizontal="right" vertical="center"/>
    </xf>
    <xf numFmtId="4" fontId="142" fillId="34" borderId="100" applyNumberFormat="0" applyProtection="0">
      <alignment horizontal="right" vertical="center"/>
    </xf>
    <xf numFmtId="4" fontId="142" fillId="35" borderId="100" applyNumberFormat="0" applyProtection="0">
      <alignment horizontal="right" vertical="center"/>
    </xf>
    <xf numFmtId="4" fontId="142" fillId="36" borderId="100" applyNumberFormat="0" applyProtection="0">
      <alignment horizontal="right" vertical="center"/>
    </xf>
    <xf numFmtId="4" fontId="142" fillId="37" borderId="100" applyNumberFormat="0" applyProtection="0">
      <alignment horizontal="right" vertical="center"/>
    </xf>
    <xf numFmtId="4" fontId="142" fillId="38" borderId="100" applyNumberFormat="0" applyProtection="0">
      <alignment horizontal="right" vertical="center"/>
    </xf>
    <xf numFmtId="4" fontId="142" fillId="39" borderId="100" applyNumberFormat="0" applyProtection="0">
      <alignment horizontal="right" vertical="center"/>
    </xf>
    <xf numFmtId="4" fontId="142" fillId="41" borderId="100" applyNumberFormat="0" applyProtection="0">
      <alignment horizontal="right" vertical="center"/>
    </xf>
    <xf numFmtId="4" fontId="142" fillId="42" borderId="100" applyNumberFormat="0" applyProtection="0">
      <alignment vertical="center"/>
    </xf>
    <xf numFmtId="4" fontId="143" fillId="42" borderId="100" applyNumberFormat="0" applyProtection="0">
      <alignment vertical="center"/>
    </xf>
    <xf numFmtId="4" fontId="140" fillId="41" borderId="101" applyNumberFormat="0" applyProtection="0">
      <alignment horizontal="left" vertical="center" indent="1"/>
    </xf>
    <xf numFmtId="4" fontId="142" fillId="42" borderId="100" applyNumberFormat="0" applyProtection="0">
      <alignment horizontal="right" vertical="center"/>
    </xf>
    <xf numFmtId="4" fontId="143" fillId="42" borderId="100" applyNumberFormat="0" applyProtection="0">
      <alignment horizontal="right" vertical="center"/>
    </xf>
    <xf numFmtId="4" fontId="140" fillId="41" borderId="100" applyNumberFormat="0" applyProtection="0">
      <alignment horizontal="left" vertical="center" indent="1"/>
    </xf>
    <xf numFmtId="4" fontId="144" fillId="25" borderId="101" applyNumberFormat="0" applyProtection="0">
      <alignment horizontal="left" vertical="center" indent="1"/>
    </xf>
    <xf numFmtId="4" fontId="145" fillId="42" borderId="100" applyNumberFormat="0" applyProtection="0">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0" fontId="77" fillId="0" borderId="102" applyNumberFormat="0" applyFill="0" applyAlignment="0" applyProtection="0"/>
    <xf numFmtId="5" fontId="152" fillId="43" borderId="103">
      <alignment vertical="top"/>
    </xf>
    <xf numFmtId="6" fontId="155" fillId="45" borderId="103"/>
    <xf numFmtId="5" fontId="126" fillId="0" borderId="103">
      <alignment horizontal="left" vertical="top"/>
    </xf>
    <xf numFmtId="0" fontId="154" fillId="44" borderId="106">
      <alignment horizontal="left" vertical="center"/>
    </xf>
    <xf numFmtId="0" fontId="63" fillId="21" borderId="97" applyNumberFormat="0" applyAlignment="0" applyProtection="0"/>
    <xf numFmtId="1" fontId="94" fillId="0" borderId="106" applyBorder="0" applyAlignment="0">
      <alignment horizontal="center"/>
    </xf>
    <xf numFmtId="3" fontId="81" fillId="0" borderId="106"/>
    <xf numFmtId="3" fontId="81" fillId="0" borderId="106"/>
    <xf numFmtId="230" fontId="74" fillId="0" borderId="106"/>
    <xf numFmtId="3" fontId="81" fillId="0" borderId="106"/>
    <xf numFmtId="10" fontId="119" fillId="23" borderId="106" applyNumberFormat="0" applyBorder="0" applyAlignment="0" applyProtection="0"/>
    <xf numFmtId="0" fontId="138" fillId="1" borderId="108" applyNumberFormat="0" applyFont="0" applyAlignment="0">
      <alignment horizontal="center"/>
    </xf>
    <xf numFmtId="0" fontId="71" fillId="8" borderId="97" applyNumberFormat="0" applyAlignment="0" applyProtection="0"/>
    <xf numFmtId="0" fontId="123" fillId="0" borderId="108">
      <alignment horizontal="left" vertical="center"/>
    </xf>
    <xf numFmtId="0" fontId="63" fillId="21" borderId="97" applyNumberForma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76" fillId="21" borderId="90" applyNumberFormat="0" applyAlignment="0" applyProtection="0"/>
    <xf numFmtId="4" fontId="140" fillId="29" borderId="100" applyNumberFormat="0" applyProtection="0">
      <alignment vertical="center"/>
    </xf>
    <xf numFmtId="4" fontId="141" fillId="29" borderId="100" applyNumberFormat="0" applyProtection="0">
      <alignment vertical="center"/>
    </xf>
    <xf numFmtId="4" fontId="142" fillId="29" borderId="100" applyNumberFormat="0" applyProtection="0">
      <alignment horizontal="left" vertical="center" indent="1"/>
    </xf>
    <xf numFmtId="4" fontId="142" fillId="31" borderId="100" applyNumberFormat="0" applyProtection="0">
      <alignment horizontal="right" vertical="center"/>
    </xf>
    <xf numFmtId="4" fontId="142" fillId="32" borderId="100" applyNumberFormat="0" applyProtection="0">
      <alignment horizontal="right" vertical="center"/>
    </xf>
    <xf numFmtId="4" fontId="142" fillId="33" borderId="100" applyNumberFormat="0" applyProtection="0">
      <alignment horizontal="right" vertical="center"/>
    </xf>
    <xf numFmtId="4" fontId="142" fillId="34" borderId="100" applyNumberFormat="0" applyProtection="0">
      <alignment horizontal="right" vertical="center"/>
    </xf>
    <xf numFmtId="4" fontId="142" fillId="35" borderId="100" applyNumberFormat="0" applyProtection="0">
      <alignment horizontal="right" vertical="center"/>
    </xf>
    <xf numFmtId="4" fontId="142" fillId="36" borderId="100" applyNumberFormat="0" applyProtection="0">
      <alignment horizontal="right" vertical="center"/>
    </xf>
    <xf numFmtId="4" fontId="142" fillId="37" borderId="100" applyNumberFormat="0" applyProtection="0">
      <alignment horizontal="right" vertical="center"/>
    </xf>
    <xf numFmtId="4" fontId="142" fillId="38" borderId="100" applyNumberFormat="0" applyProtection="0">
      <alignment horizontal="right" vertical="center"/>
    </xf>
    <xf numFmtId="4" fontId="142" fillId="39" borderId="100" applyNumberFormat="0" applyProtection="0">
      <alignment horizontal="right" vertical="center"/>
    </xf>
    <xf numFmtId="4" fontId="142" fillId="41" borderId="100" applyNumberFormat="0" applyProtection="0">
      <alignment horizontal="right" vertical="center"/>
    </xf>
    <xf numFmtId="4" fontId="142" fillId="42" borderId="100" applyNumberFormat="0" applyProtection="0">
      <alignment vertical="center"/>
    </xf>
    <xf numFmtId="4" fontId="143" fillId="42" borderId="100" applyNumberFormat="0" applyProtection="0">
      <alignment vertical="center"/>
    </xf>
    <xf numFmtId="4" fontId="140" fillId="41" borderId="101" applyNumberFormat="0" applyProtection="0">
      <alignment horizontal="left" vertical="center" indent="1"/>
    </xf>
    <xf numFmtId="4" fontId="142" fillId="42" borderId="100" applyNumberFormat="0" applyProtection="0">
      <alignment horizontal="right" vertical="center"/>
    </xf>
    <xf numFmtId="4" fontId="143" fillId="42" borderId="100" applyNumberFormat="0" applyProtection="0">
      <alignment horizontal="right" vertical="center"/>
    </xf>
    <xf numFmtId="4" fontId="140" fillId="41" borderId="100" applyNumberFormat="0" applyProtection="0">
      <alignment horizontal="left" vertical="center" indent="1"/>
    </xf>
    <xf numFmtId="4" fontId="144" fillId="25" borderId="101" applyNumberFormat="0" applyProtection="0">
      <alignment horizontal="left" vertical="center" indent="1"/>
    </xf>
    <xf numFmtId="4" fontId="145" fillId="42" borderId="100" applyNumberFormat="0" applyProtection="0">
      <alignment horizontal="right" vertical="center"/>
    </xf>
    <xf numFmtId="0" fontId="77" fillId="0" borderId="102" applyNumberFormat="0" applyFill="0" applyAlignment="0" applyProtection="0"/>
    <xf numFmtId="5" fontId="152" fillId="43" borderId="103">
      <alignment vertical="top"/>
    </xf>
    <xf numFmtId="6" fontId="155" fillId="45" borderId="103"/>
    <xf numFmtId="5" fontId="126" fillId="0" borderId="103">
      <alignment horizontal="left" vertical="top"/>
    </xf>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71" fillId="8" borderId="97" applyNumberForma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0" fontId="59" fillId="27" borderId="95" applyNumberFormat="0" applyFont="0" applyAlignment="0" applyProtection="0"/>
    <xf numFmtId="5" fontId="126" fillId="0" borderId="103">
      <alignment horizontal="left" vertical="top"/>
    </xf>
    <xf numFmtId="218" fontId="18" fillId="0" borderId="81"/>
    <xf numFmtId="0" fontId="59" fillId="27" borderId="74" applyNumberFormat="0" applyFont="0" applyAlignment="0" applyProtection="0"/>
    <xf numFmtId="0" fontId="59" fillId="27" borderId="74" applyNumberFormat="0" applyFont="0" applyAlignment="0" applyProtection="0"/>
    <xf numFmtId="218" fontId="18" fillId="0" borderId="81"/>
    <xf numFmtId="0" fontId="59" fillId="27" borderId="74" applyNumberFormat="0" applyFont="0" applyAlignment="0" applyProtection="0"/>
    <xf numFmtId="4" fontId="142" fillId="31" borderId="100" applyNumberFormat="0" applyProtection="0">
      <alignment horizontal="right" vertical="center"/>
    </xf>
    <xf numFmtId="0" fontId="59" fillId="27" borderId="74" applyNumberFormat="0" applyFont="0" applyAlignment="0" applyProtection="0"/>
    <xf numFmtId="4" fontId="142" fillId="41" borderId="100" applyNumberFormat="0" applyProtection="0">
      <alignment horizontal="righ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3" fontId="81" fillId="0" borderId="106"/>
    <xf numFmtId="3" fontId="81" fillId="0" borderId="106"/>
    <xf numFmtId="1" fontId="94" fillId="0" borderId="106" applyBorder="0" applyAlignment="0">
      <alignment horizont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3" fontId="81" fillId="0" borderId="106"/>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49" fontId="127" fillId="0" borderId="106">
      <alignmen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5" fontId="126" fillId="25" borderId="106" applyNumberFormat="0" applyAlignment="0">
      <alignment horizontal="left" vertical="top"/>
    </xf>
    <xf numFmtId="230" fontId="74" fillId="0" borderId="106"/>
    <xf numFmtId="0" fontId="154" fillId="44" borderId="106">
      <alignment horizontal="left" vertical="center"/>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138" fillId="1" borderId="108" applyNumberFormat="0" applyFont="0" applyAlignment="0">
      <alignment horizontal="center"/>
    </xf>
    <xf numFmtId="10" fontId="119" fillId="23" borderId="106" applyNumberFormat="0" applyBorder="0" applyAlignment="0" applyProtection="0"/>
    <xf numFmtId="0" fontId="123" fillId="0" borderId="108">
      <alignment horizontal="left" vertical="center"/>
    </xf>
    <xf numFmtId="0" fontId="63" fillId="21" borderId="97" applyNumberForma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76" fillId="21" borderId="90" applyNumberFormat="0" applyAlignment="0" applyProtection="0"/>
    <xf numFmtId="4" fontId="140" fillId="29" borderId="100" applyNumberFormat="0" applyProtection="0">
      <alignment vertical="center"/>
    </xf>
    <xf numFmtId="4" fontId="141" fillId="29" borderId="100" applyNumberFormat="0" applyProtection="0">
      <alignment vertical="center"/>
    </xf>
    <xf numFmtId="4" fontId="142" fillId="29" borderId="100" applyNumberFormat="0" applyProtection="0">
      <alignment horizontal="left" vertical="center" indent="1"/>
    </xf>
    <xf numFmtId="4" fontId="142" fillId="31" borderId="100" applyNumberFormat="0" applyProtection="0">
      <alignment horizontal="right" vertical="center"/>
    </xf>
    <xf numFmtId="4" fontId="142" fillId="32" borderId="100" applyNumberFormat="0" applyProtection="0">
      <alignment horizontal="right" vertical="center"/>
    </xf>
    <xf numFmtId="4" fontId="142" fillId="33" borderId="100" applyNumberFormat="0" applyProtection="0">
      <alignment horizontal="right" vertical="center"/>
    </xf>
    <xf numFmtId="4" fontId="142" fillId="34" borderId="100" applyNumberFormat="0" applyProtection="0">
      <alignment horizontal="right" vertical="center"/>
    </xf>
    <xf numFmtId="4" fontId="142" fillId="35" borderId="100" applyNumberFormat="0" applyProtection="0">
      <alignment horizontal="right" vertical="center"/>
    </xf>
    <xf numFmtId="4" fontId="142" fillId="36" borderId="100" applyNumberFormat="0" applyProtection="0">
      <alignment horizontal="right" vertical="center"/>
    </xf>
    <xf numFmtId="4" fontId="142" fillId="37" borderId="100" applyNumberFormat="0" applyProtection="0">
      <alignment horizontal="right" vertical="center"/>
    </xf>
    <xf numFmtId="4" fontId="142" fillId="38" borderId="100" applyNumberFormat="0" applyProtection="0">
      <alignment horizontal="right" vertical="center"/>
    </xf>
    <xf numFmtId="4" fontId="142" fillId="39" borderId="100" applyNumberFormat="0" applyProtection="0">
      <alignment horizontal="right" vertical="center"/>
    </xf>
    <xf numFmtId="4" fontId="142" fillId="41" borderId="100" applyNumberFormat="0" applyProtection="0">
      <alignment horizontal="right" vertical="center"/>
    </xf>
    <xf numFmtId="4" fontId="142" fillId="42" borderId="100" applyNumberFormat="0" applyProtection="0">
      <alignment vertical="center"/>
    </xf>
    <xf numFmtId="4" fontId="143" fillId="42" borderId="100" applyNumberFormat="0" applyProtection="0">
      <alignment vertical="center"/>
    </xf>
    <xf numFmtId="4" fontId="140" fillId="41" borderId="101" applyNumberFormat="0" applyProtection="0">
      <alignment horizontal="left" vertical="center" indent="1"/>
    </xf>
    <xf numFmtId="4" fontId="142" fillId="42" borderId="100" applyNumberFormat="0" applyProtection="0">
      <alignment horizontal="right" vertical="center"/>
    </xf>
    <xf numFmtId="4" fontId="143" fillId="42" borderId="100" applyNumberFormat="0" applyProtection="0">
      <alignment horizontal="right" vertical="center"/>
    </xf>
    <xf numFmtId="4" fontId="140" fillId="41" borderId="100" applyNumberFormat="0" applyProtection="0">
      <alignment horizontal="left" vertical="center" indent="1"/>
    </xf>
    <xf numFmtId="4" fontId="144" fillId="25" borderId="101" applyNumberFormat="0" applyProtection="0">
      <alignment horizontal="left" vertical="center" indent="1"/>
    </xf>
    <xf numFmtId="4" fontId="145" fillId="42" borderId="100" applyNumberFormat="0" applyProtection="0">
      <alignment horizontal="right" vertical="center"/>
    </xf>
    <xf numFmtId="0" fontId="77" fillId="0" borderId="102" applyNumberFormat="0" applyFill="0" applyAlignment="0" applyProtection="0"/>
    <xf numFmtId="5" fontId="152" fillId="43" borderId="103">
      <alignment vertical="top"/>
    </xf>
    <xf numFmtId="6" fontId="155" fillId="45" borderId="103"/>
    <xf numFmtId="5" fontId="126" fillId="0" borderId="103">
      <alignment horizontal="left" vertical="top"/>
    </xf>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71" fillId="8" borderId="97" applyNumberForma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59" fillId="27" borderId="74" applyNumberFormat="0" applyFont="0" applyAlignment="0" applyProtection="0"/>
    <xf numFmtId="0" fontId="138" fillId="1" borderId="108" applyNumberFormat="0" applyFont="0" applyAlignment="0">
      <alignment horizontal="center"/>
    </xf>
    <xf numFmtId="0" fontId="123" fillId="0" borderId="108">
      <alignment horizontal="left" vertical="center"/>
    </xf>
    <xf numFmtId="43" fontId="167" fillId="0" borderId="0" applyFont="0" applyFill="0" applyBorder="0" applyAlignment="0" applyProtection="0"/>
    <xf numFmtId="43" fontId="2" fillId="0" borderId="0" applyFont="0" applyFill="0" applyBorder="0" applyAlignment="0" applyProtection="0"/>
    <xf numFmtId="3" fontId="81" fillId="0" borderId="106"/>
    <xf numFmtId="1" fontId="94" fillId="0" borderId="106" applyBorder="0" applyAlignment="0">
      <alignment horizontal="center"/>
    </xf>
    <xf numFmtId="3" fontId="81" fillId="0" borderId="106"/>
    <xf numFmtId="3" fontId="81" fillId="0" borderId="106"/>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3"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4"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5"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7"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8"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0"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11"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6"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9"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59" fillId="12" borderId="0" applyNumberFormat="0" applyBorder="0" applyAlignment="0" applyProtection="0"/>
    <xf numFmtId="0" fontId="63" fillId="21" borderId="107" applyNumberFormat="0" applyAlignment="0" applyProtection="0"/>
    <xf numFmtId="43" fontId="2" fillId="0" borderId="0" applyFont="0" applyFill="0" applyBorder="0" applyAlignment="0" applyProtection="0"/>
    <xf numFmtId="43" fontId="59" fillId="0" borderId="0" applyFont="0" applyFill="0" applyBorder="0" applyAlignment="0" applyProtection="0"/>
    <xf numFmtId="43" fontId="59" fillId="0" borderId="0" applyFont="0" applyFill="0" applyBorder="0" applyAlignment="0" applyProtection="0"/>
    <xf numFmtId="165" fontId="55" fillId="0" borderId="0" applyFont="0" applyFill="0" applyBorder="0" applyAlignment="0" applyProtection="0"/>
    <xf numFmtId="0" fontId="123" fillId="0" borderId="108">
      <alignment horizontal="left" vertical="center"/>
    </xf>
    <xf numFmtId="5" fontId="126" fillId="25" borderId="106" applyNumberFormat="0" applyAlignment="0">
      <alignment horizontal="left" vertical="top"/>
    </xf>
    <xf numFmtId="49" fontId="127" fillId="0" borderId="106">
      <alignment vertical="center"/>
    </xf>
    <xf numFmtId="10" fontId="119" fillId="23" borderId="106" applyNumberFormat="0" applyBorder="0" applyAlignment="0" applyProtection="0"/>
    <xf numFmtId="0" fontId="71" fillId="8" borderId="107" applyNumberFormat="0" applyAlignment="0" applyProtection="0"/>
    <xf numFmtId="218" fontId="18" fillId="0" borderId="10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0" fontId="138" fillId="1" borderId="108" applyNumberFormat="0" applyFont="0" applyAlignment="0">
      <alignment horizont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0" fontId="77" fillId="0" borderId="113" applyNumberFormat="0" applyFill="0" applyAlignment="0" applyProtection="0"/>
    <xf numFmtId="230" fontId="74" fillId="0" borderId="106"/>
    <xf numFmtId="5" fontId="152" fillId="43" borderId="114">
      <alignment vertical="top"/>
    </xf>
    <xf numFmtId="0" fontId="154" fillId="44" borderId="106">
      <alignment horizontal="left" vertical="center"/>
    </xf>
    <xf numFmtId="6" fontId="155" fillId="45" borderId="114"/>
    <xf numFmtId="5" fontId="126" fillId="0" borderId="114">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4" fontId="142" fillId="34" borderId="110" applyNumberFormat="0" applyProtection="0">
      <alignment horizontal="right" vertical="center"/>
    </xf>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29" borderId="110"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10" fontId="119" fillId="23" borderId="106" applyNumberFormat="0" applyBorder="0" applyAlignment="0" applyProtection="0"/>
    <xf numFmtId="0" fontId="59" fillId="27" borderId="85" applyNumberFormat="0" applyFont="0" applyAlignment="0" applyProtection="0"/>
    <xf numFmtId="4" fontId="143" fillId="42" borderId="110" applyNumberFormat="0" applyProtection="0">
      <alignment vertical="center"/>
    </xf>
    <xf numFmtId="0" fontId="59" fillId="27" borderId="85" applyNumberFormat="0" applyFont="0" applyAlignment="0" applyProtection="0"/>
    <xf numFmtId="0" fontId="77" fillId="0" borderId="113" applyNumberFormat="0" applyFill="0" applyAlignment="0" applyProtection="0"/>
    <xf numFmtId="0" fontId="59" fillId="27" borderId="85" applyNumberFormat="0" applyFont="0" applyAlignment="0" applyProtection="0"/>
    <xf numFmtId="4" fontId="142" fillId="35"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9"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3"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1" fillId="29"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0" fontId="59" fillId="27" borderId="85" applyNumberFormat="0" applyFont="0" applyAlignment="0" applyProtection="0"/>
    <xf numFmtId="0" fontId="123" fillId="0" borderId="108">
      <alignment horizontal="left" vertical="center"/>
    </xf>
    <xf numFmtId="5" fontId="126" fillId="25" borderId="106" applyNumberFormat="0" applyAlignment="0">
      <alignment horizontal="left" vertical="top"/>
    </xf>
    <xf numFmtId="49" fontId="127" fillId="0" borderId="106">
      <alignment vertical="center"/>
    </xf>
    <xf numFmtId="0" fontId="59" fillId="27" borderId="85" applyNumberFormat="0" applyFont="0" applyAlignment="0" applyProtection="0"/>
    <xf numFmtId="218" fontId="18" fillId="0" borderId="109"/>
    <xf numFmtId="0" fontId="138" fillId="1" borderId="108" applyNumberFormat="0" applyFont="0" applyAlignment="0">
      <alignment horizontal="center"/>
    </xf>
    <xf numFmtId="0" fontId="63" fillId="21" borderId="107" applyNumberFormat="0" applyAlignment="0" applyProtection="0"/>
    <xf numFmtId="4" fontId="140" fillId="41" borderId="110" applyNumberFormat="0" applyProtection="0">
      <alignment horizontal="left" vertical="center" indent="1"/>
    </xf>
    <xf numFmtId="10" fontId="119" fillId="23" borderId="106" applyNumberFormat="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horizontal="right" vertical="center"/>
    </xf>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8"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4" fontId="142" fillId="41" borderId="110" applyNumberFormat="0" applyProtection="0">
      <alignment horizontal="right" vertical="center"/>
    </xf>
    <xf numFmtId="4" fontId="140" fillId="41" borderId="111"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9"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218" fontId="18" fillId="0" borderId="109"/>
    <xf numFmtId="3" fontId="81" fillId="0" borderId="106"/>
    <xf numFmtId="230" fontId="74"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29" borderId="110" applyNumberFormat="0" applyProtection="0">
      <alignment horizontal="left" vertical="center" indent="1"/>
    </xf>
    <xf numFmtId="0" fontId="59" fillId="27" borderId="85" applyNumberFormat="0" applyFont="0" applyAlignment="0" applyProtection="0"/>
    <xf numFmtId="4" fontId="142" fillId="35" borderId="110" applyNumberFormat="0" applyProtection="0">
      <alignment horizontal="right" vertical="center"/>
    </xf>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3" fontId="81" fillId="0" borderId="106"/>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4" fillId="25" borderId="111" applyNumberFormat="0" applyProtection="0">
      <alignment horizontal="left" vertical="center" indent="1"/>
    </xf>
    <xf numFmtId="0" fontId="59" fillId="27" borderId="85" applyNumberFormat="0" applyFont="0" applyAlignment="0" applyProtection="0"/>
    <xf numFmtId="4" fontId="143" fillId="42" borderId="110" applyNumberFormat="0" applyProtection="0">
      <alignment horizontal="right" vertical="center"/>
    </xf>
    <xf numFmtId="0" fontId="59" fillId="27" borderId="85" applyNumberFormat="0" applyFont="0" applyAlignment="0" applyProtection="0"/>
    <xf numFmtId="0" fontId="71" fillId="8" borderId="107" applyNumberFormat="0" applyAlignment="0" applyProtection="0"/>
    <xf numFmtId="0" fontId="123" fillId="0" borderId="108">
      <alignment horizontal="left" vertical="center"/>
    </xf>
    <xf numFmtId="4" fontId="142" fillId="32" borderId="110" applyNumberFormat="0" applyProtection="0">
      <alignment horizontal="right" vertical="center"/>
    </xf>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29"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63" fillId="21" borderId="107" applyNumberFormat="0" applyAlignment="0" applyProtection="0"/>
    <xf numFmtId="5" fontId="152" fillId="43" borderId="114">
      <alignment vertical="top"/>
    </xf>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5" fontId="126" fillId="0" borderId="114">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3" fontId="81" fillId="0" borderId="106"/>
    <xf numFmtId="4" fontId="142" fillId="31" borderId="110" applyNumberFormat="0" applyProtection="0">
      <alignment horizontal="right" vertical="center"/>
    </xf>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52" fillId="43" borderId="114">
      <alignment vertical="top"/>
    </xf>
    <xf numFmtId="218" fontId="18" fillId="0" borderId="109"/>
    <xf numFmtId="218" fontId="18" fillId="0" borderId="109"/>
    <xf numFmtId="0" fontId="59" fillId="27" borderId="85" applyNumberFormat="0" applyFont="0" applyAlignment="0" applyProtection="0"/>
    <xf numFmtId="4" fontId="141" fillId="29" borderId="110" applyNumberFormat="0" applyProtection="0">
      <alignment vertical="center"/>
    </xf>
    <xf numFmtId="0" fontId="59" fillId="27" borderId="85" applyNumberFormat="0" applyFont="0" applyAlignment="0" applyProtection="0"/>
    <xf numFmtId="3" fontId="81" fillId="0" borderId="106"/>
    <xf numFmtId="0" fontId="63" fillId="21" borderId="107" applyNumberFormat="0" applyAlignment="0" applyProtection="0"/>
    <xf numFmtId="0" fontId="59" fillId="27" borderId="85" applyNumberFormat="0" applyFont="0" applyAlignment="0" applyProtection="0"/>
    <xf numFmtId="3" fontId="81" fillId="0" borderId="106"/>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vertical="center"/>
    </xf>
    <xf numFmtId="0" fontId="59" fillId="27" borderId="85" applyNumberFormat="0" applyFont="0" applyAlignment="0" applyProtection="0"/>
    <xf numFmtId="218" fontId="18" fillId="0" borderId="109"/>
    <xf numFmtId="0" fontId="154" fillId="44" borderId="106">
      <alignment horizontal="left" vertical="center"/>
    </xf>
    <xf numFmtId="0" fontId="59" fillId="27" borderId="85" applyNumberFormat="0" applyFont="0" applyAlignment="0" applyProtection="0"/>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7" fillId="0" borderId="113" applyNumberFormat="0" applyFill="0" applyAlignment="0" applyProtection="0"/>
    <xf numFmtId="4" fontId="140" fillId="41" borderId="110" applyNumberFormat="0" applyProtection="0">
      <alignment horizontal="left" vertical="center" indent="1"/>
    </xf>
    <xf numFmtId="0" fontId="59" fillId="27" borderId="85" applyNumberFormat="0" applyFont="0" applyAlignment="0" applyProtection="0"/>
    <xf numFmtId="4" fontId="142"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5" fillId="42" borderId="110" applyNumberFormat="0" applyProtection="0">
      <alignment horizontal="right" vertical="center"/>
    </xf>
    <xf numFmtId="0" fontId="59" fillId="27" borderId="85" applyNumberFormat="0" applyFont="0" applyAlignment="0" applyProtection="0"/>
    <xf numFmtId="1" fontId="94" fillId="0" borderId="106" applyBorder="0" applyAlignment="0">
      <alignment horizontal="center"/>
    </xf>
    <xf numFmtId="3" fontId="81" fillId="0" borderId="106"/>
    <xf numFmtId="230" fontId="74" fillId="0" borderId="106"/>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4" fontId="142" fillId="38"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4" fontId="140" fillId="41" borderId="111"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10" fontId="119" fillId="23" borderId="106" applyNumberFormat="0" applyBorder="0" applyAlignment="0" applyProtection="0"/>
    <xf numFmtId="4" fontId="142" fillId="3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vertical="center"/>
    </xf>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10" fontId="119" fillId="23" borderId="106" applyNumberFormat="0" applyBorder="0" applyAlignment="0" applyProtection="0"/>
    <xf numFmtId="0" fontId="59" fillId="27" borderId="85" applyNumberFormat="0" applyFont="0" applyAlignment="0" applyProtection="0"/>
    <xf numFmtId="230" fontId="74" fillId="0" borderId="106"/>
    <xf numFmtId="0" fontId="59" fillId="27" borderId="85" applyNumberFormat="0" applyFont="0" applyAlignment="0" applyProtection="0"/>
    <xf numFmtId="0" fontId="59" fillId="27" borderId="85" applyNumberFormat="0" applyFont="0" applyAlignment="0" applyProtection="0"/>
    <xf numFmtId="230" fontId="74" fillId="0" borderId="106"/>
    <xf numFmtId="0" fontId="59" fillId="27" borderId="85" applyNumberFormat="0" applyFont="0" applyAlignment="0" applyProtection="0"/>
    <xf numFmtId="230" fontId="74"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5"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4" fontId="142" fillId="33" borderId="110" applyNumberFormat="0" applyProtection="0">
      <alignment horizontal="right" vertical="center"/>
    </xf>
    <xf numFmtId="49" fontId="127" fillId="0" borderId="106">
      <alignment vertical="center"/>
    </xf>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4" fontId="142" fillId="34" borderId="110" applyNumberFormat="0" applyProtection="0">
      <alignment horizontal="right" vertical="center"/>
    </xf>
    <xf numFmtId="4" fontId="142" fillId="36"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4" fontId="144" fillId="25" borderId="111" applyNumberFormat="0" applyProtection="0">
      <alignment horizontal="left" vertical="center" indent="1"/>
    </xf>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6" fontId="155" fillId="45" borderId="114"/>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7"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0" fontId="59" fillId="27" borderId="85" applyNumberFormat="0" applyFont="0" applyAlignment="0" applyProtection="0"/>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29" borderId="110" applyNumberFormat="0" applyProtection="0">
      <alignment vertical="center"/>
    </xf>
    <xf numFmtId="0" fontId="59" fillId="27" borderId="85" applyNumberFormat="0" applyFont="0" applyAlignment="0" applyProtection="0"/>
    <xf numFmtId="6" fontId="155" fillId="45" borderId="114"/>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1" borderId="110" applyNumberFormat="0" applyProtection="0">
      <alignment horizontal="right" vertical="center"/>
    </xf>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5" fontId="126" fillId="0" borderId="114">
      <alignment horizontal="left" vertical="top"/>
    </xf>
    <xf numFmtId="4" fontId="142" fillId="36"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4" fontId="142" fillId="37" borderId="110" applyNumberFormat="0" applyProtection="0">
      <alignment horizontal="right" vertical="center"/>
    </xf>
    <xf numFmtId="0" fontId="59" fillId="27" borderId="85" applyNumberFormat="0" applyFont="0" applyAlignment="0" applyProtection="0"/>
    <xf numFmtId="10" fontId="119" fillId="23" borderId="106" applyNumberFormat="0" applyBorder="0" applyAlignment="0" applyProtection="0"/>
    <xf numFmtId="0" fontId="59" fillId="27" borderId="85" applyNumberFormat="0" applyFont="0" applyAlignment="0" applyProtection="0"/>
    <xf numFmtId="4" fontId="142" fillId="31" borderId="110" applyNumberFormat="0" applyProtection="0">
      <alignment horizontal="right" vertical="center"/>
    </xf>
    <xf numFmtId="0" fontId="59" fillId="27" borderId="85" applyNumberFormat="0" applyFont="0" applyAlignment="0" applyProtection="0"/>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49" fontId="127" fillId="0" borderId="106">
      <alignment vertical="center"/>
    </xf>
    <xf numFmtId="218" fontId="18" fillId="0" borderId="109"/>
    <xf numFmtId="218" fontId="18" fillId="0" borderId="109"/>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0" fontId="154" fillId="44" borderId="106">
      <alignment horizontal="left" vertical="center"/>
    </xf>
    <xf numFmtId="0" fontId="63" fillId="21" borderId="107" applyNumberFormat="0" applyAlignment="0" applyProtection="0"/>
    <xf numFmtId="1" fontId="94" fillId="0" borderId="106" applyBorder="0" applyAlignment="0">
      <alignment horizontal="center"/>
    </xf>
    <xf numFmtId="3" fontId="81" fillId="0" borderId="106"/>
    <xf numFmtId="3" fontId="81" fillId="0" borderId="106"/>
    <xf numFmtId="230" fontId="74" fillId="0" borderId="106"/>
    <xf numFmtId="3" fontId="81" fillId="0" borderId="106"/>
    <xf numFmtId="10" fontId="119" fillId="23" borderId="106" applyNumberFormat="0" applyBorder="0" applyAlignment="0" applyProtection="0"/>
    <xf numFmtId="0" fontId="138" fillId="1" borderId="108" applyNumberFormat="0" applyFont="0" applyAlignment="0">
      <alignment horizontal="center"/>
    </xf>
    <xf numFmtId="0" fontId="71" fillId="8" borderId="107" applyNumberFormat="0" applyAlignment="0" applyProtection="0"/>
    <xf numFmtId="0" fontId="123" fillId="0" borderId="108">
      <alignment horizontal="left" vertical="center"/>
    </xf>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3" fontId="81" fillId="0" borderId="106"/>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3" fontId="81" fillId="0" borderId="106"/>
    <xf numFmtId="1" fontId="94" fillId="0" borderId="106" applyBorder="0" applyAlignment="0">
      <alignment horizont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230" fontId="74" fillId="0" borderId="106"/>
    <xf numFmtId="0" fontId="154" fillId="44" borderId="106">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218" fontId="18" fillId="0" borderId="109"/>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10" fontId="119" fillId="23" borderId="106" applyNumberFormat="0" applyBorder="0" applyAlignment="0" applyProtection="0"/>
    <xf numFmtId="0" fontId="123" fillId="0" borderId="108">
      <alignment horizontal="left" vertical="center"/>
    </xf>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1" fontId="94" fillId="0" borderId="106" applyBorder="0" applyAlignment="0">
      <alignment horizontal="center"/>
    </xf>
    <xf numFmtId="3" fontId="81" fillId="0" borderId="106"/>
    <xf numFmtId="3" fontId="81" fillId="0" borderId="106"/>
    <xf numFmtId="5" fontId="126" fillId="0" borderId="114">
      <alignment horizontal="left" vertical="top"/>
    </xf>
    <xf numFmtId="6" fontId="155" fillId="45" borderId="114"/>
    <xf numFmtId="5" fontId="152" fillId="43" borderId="114">
      <alignment vertical="top"/>
    </xf>
    <xf numFmtId="0" fontId="77" fillId="0" borderId="113" applyNumberFormat="0" applyFill="0" applyAlignment="0" applyProtection="0"/>
    <xf numFmtId="4" fontId="145" fillId="42" borderId="110" applyNumberFormat="0" applyProtection="0">
      <alignment horizontal="right" vertical="center"/>
    </xf>
    <xf numFmtId="4" fontId="144" fillId="25" borderId="111" applyNumberFormat="0" applyProtection="0">
      <alignment horizontal="left" vertical="center" indent="1"/>
    </xf>
    <xf numFmtId="4" fontId="140" fillId="41" borderId="110" applyNumberFormat="0" applyProtection="0">
      <alignment horizontal="left" vertical="center" indent="1"/>
    </xf>
    <xf numFmtId="4" fontId="143" fillId="42" borderId="110" applyNumberFormat="0" applyProtection="0">
      <alignment horizontal="right" vertical="center"/>
    </xf>
    <xf numFmtId="4" fontId="142" fillId="42" borderId="110" applyNumberFormat="0" applyProtection="0">
      <alignment horizontal="right" vertical="center"/>
    </xf>
    <xf numFmtId="4" fontId="140" fillId="41" borderId="111" applyNumberFormat="0" applyProtection="0">
      <alignment horizontal="left" vertical="center" indent="1"/>
    </xf>
    <xf numFmtId="4" fontId="143" fillId="42" borderId="110" applyNumberFormat="0" applyProtection="0">
      <alignment vertical="center"/>
    </xf>
    <xf numFmtId="4" fontId="142" fillId="42" borderId="110" applyNumberFormat="0" applyProtection="0">
      <alignment vertical="center"/>
    </xf>
    <xf numFmtId="4" fontId="142" fillId="41" borderId="110" applyNumberFormat="0" applyProtection="0">
      <alignment horizontal="right" vertical="center"/>
    </xf>
    <xf numFmtId="4" fontId="142" fillId="39" borderId="110" applyNumberFormat="0" applyProtection="0">
      <alignment horizontal="right" vertical="center"/>
    </xf>
    <xf numFmtId="4" fontId="142" fillId="38" borderId="110" applyNumberFormat="0" applyProtection="0">
      <alignment horizontal="right" vertical="center"/>
    </xf>
    <xf numFmtId="4" fontId="142" fillId="37" borderId="110" applyNumberFormat="0" applyProtection="0">
      <alignment horizontal="right" vertical="center"/>
    </xf>
    <xf numFmtId="4" fontId="142" fillId="36" borderId="110" applyNumberFormat="0" applyProtection="0">
      <alignment horizontal="right" vertical="center"/>
    </xf>
    <xf numFmtId="4" fontId="142" fillId="35" borderId="110" applyNumberFormat="0" applyProtection="0">
      <alignment horizontal="right" vertical="center"/>
    </xf>
    <xf numFmtId="4" fontId="142" fillId="34" borderId="110" applyNumberFormat="0" applyProtection="0">
      <alignment horizontal="right" vertical="center"/>
    </xf>
    <xf numFmtId="4" fontId="142" fillId="33" borderId="110" applyNumberFormat="0" applyProtection="0">
      <alignment horizontal="right" vertical="center"/>
    </xf>
    <xf numFmtId="4" fontId="142" fillId="32" borderId="110" applyNumberFormat="0" applyProtection="0">
      <alignment horizontal="right" vertical="center"/>
    </xf>
    <xf numFmtId="4" fontId="142" fillId="31" borderId="110" applyNumberFormat="0" applyProtection="0">
      <alignment horizontal="right" vertical="center"/>
    </xf>
    <xf numFmtId="4" fontId="142" fillId="29" borderId="110" applyNumberFormat="0" applyProtection="0">
      <alignment horizontal="left" vertical="center" indent="1"/>
    </xf>
    <xf numFmtId="4" fontId="141" fillId="29" borderId="110" applyNumberFormat="0" applyProtection="0">
      <alignment vertical="center"/>
    </xf>
    <xf numFmtId="4" fontId="140" fillId="29" borderId="110" applyNumberFormat="0" applyProtection="0">
      <alignment vertical="center"/>
    </xf>
    <xf numFmtId="0" fontId="76" fillId="21" borderId="105"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63" fillId="21" borderId="107" applyNumberFormat="0" applyAlignment="0" applyProtection="0"/>
    <xf numFmtId="43" fontId="2" fillId="0" borderId="0" applyFont="0" applyFill="0" applyBorder="0" applyAlignment="0" applyProtection="0"/>
    <xf numFmtId="0" fontId="71" fillId="8" borderId="107" applyNumberFormat="0" applyAlignment="0" applyProtection="0"/>
    <xf numFmtId="0" fontId="123" fillId="0" borderId="108">
      <alignment horizontal="left" vertical="center"/>
    </xf>
    <xf numFmtId="5" fontId="126" fillId="25" borderId="106" applyNumberFormat="0" applyAlignment="0">
      <alignment horizontal="left" vertical="top"/>
    </xf>
    <xf numFmtId="49" fontId="127" fillId="0" borderId="106">
      <alignment vertical="center"/>
    </xf>
    <xf numFmtId="10" fontId="119" fillId="23" borderId="106" applyNumberFormat="0" applyBorder="0" applyAlignment="0" applyProtection="0"/>
    <xf numFmtId="0" fontId="71" fillId="8" borderId="107" applyNumberFormat="0" applyAlignment="0" applyProtection="0"/>
    <xf numFmtId="218" fontId="18" fillId="0" borderId="109"/>
    <xf numFmtId="0" fontId="63" fillId="21" borderId="107" applyNumberFormat="0" applyAlignment="0" applyProtection="0"/>
    <xf numFmtId="0" fontId="76" fillId="21" borderId="105" applyNumberFormat="0" applyAlignment="0" applyProtection="0"/>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0" fontId="138" fillId="1" borderId="108" applyNumberFormat="0" applyFont="0" applyAlignment="0">
      <alignment horizont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0" fontId="77" fillId="0" borderId="113" applyNumberFormat="0" applyFill="0" applyAlignment="0" applyProtection="0"/>
    <xf numFmtId="230" fontId="74" fillId="0" borderId="106"/>
    <xf numFmtId="5" fontId="152" fillId="43" borderId="114">
      <alignment vertical="top"/>
    </xf>
    <xf numFmtId="0" fontId="154" fillId="44" borderId="106">
      <alignment horizontal="left" vertical="center"/>
    </xf>
    <xf numFmtId="6" fontId="155" fillId="45" borderId="114"/>
    <xf numFmtId="5" fontId="126" fillId="0" borderId="114">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167"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7" fillId="0" borderId="113" applyNumberFormat="0" applyFill="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7"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1" fillId="29"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horizontal="right" vertical="center"/>
    </xf>
    <xf numFmtId="0" fontId="59" fillId="27" borderId="85" applyNumberFormat="0" applyFont="0" applyAlignment="0" applyProtection="0"/>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218" fontId="18" fillId="0" borderId="109"/>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0" fontId="59" fillId="27" borderId="85" applyNumberFormat="0" applyFont="0" applyAlignment="0" applyProtection="0"/>
    <xf numFmtId="10" fontId="119" fillId="23" borderId="106" applyNumberFormat="0" applyBorder="0" applyAlignment="0" applyProtection="0"/>
    <xf numFmtId="0" fontId="59" fillId="27" borderId="85" applyNumberFormat="0" applyFont="0" applyAlignment="0" applyProtection="0"/>
    <xf numFmtId="0" fontId="59" fillId="27" borderId="85" applyNumberFormat="0" applyFont="0" applyAlignment="0" applyProtection="0"/>
    <xf numFmtId="43" fontId="167"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6"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167"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218" fontId="18" fillId="0" borderId="109"/>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2" borderId="110" applyNumberFormat="0" applyProtection="0">
      <alignment horizontal="right" vertical="center"/>
    </xf>
    <xf numFmtId="4" fontId="142" fillId="34"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4" fontId="142" fillId="39"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167" fillId="0" borderId="0" applyFont="0" applyFill="0" applyBorder="0" applyAlignment="0" applyProtection="0"/>
    <xf numFmtId="0" fontId="59" fillId="27" borderId="85" applyNumberFormat="0" applyFont="0" applyAlignment="0" applyProtection="0"/>
    <xf numFmtId="4" fontId="142" fillId="38"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5"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6" fontId="155" fillId="45" borderId="114"/>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41" borderId="111"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167" fillId="0" borderId="0" applyFont="0" applyFill="0" applyBorder="0" applyAlignment="0" applyProtection="0"/>
    <xf numFmtId="5" fontId="152" fillId="43" borderId="114">
      <alignmen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63" fillId="21" borderId="107" applyNumberFormat="0" applyAlignment="0" applyProtection="0"/>
    <xf numFmtId="0" fontId="59" fillId="27" borderId="85" applyNumberFormat="0" applyFont="0" applyAlignment="0" applyProtection="0"/>
    <xf numFmtId="4" fontId="140" fillId="41" borderId="110"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9" fontId="127" fillId="0" borderId="106">
      <alignment vertical="center"/>
    </xf>
    <xf numFmtId="4" fontId="140" fillId="29"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4" fillId="25" borderId="111" applyNumberFormat="0" applyProtection="0">
      <alignment horizontal="left" vertical="center" indent="1"/>
    </xf>
    <xf numFmtId="0" fontId="59" fillId="27" borderId="85" applyNumberFormat="0" applyFont="0" applyAlignment="0" applyProtection="0"/>
    <xf numFmtId="1" fontId="94" fillId="0" borderId="106" applyBorder="0" applyAlignment="0">
      <alignment horizontal="center"/>
    </xf>
    <xf numFmtId="0" fontId="59" fillId="27" borderId="85" applyNumberFormat="0" applyFont="0" applyAlignment="0" applyProtection="0"/>
    <xf numFmtId="4" fontId="145"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230" fontId="74"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29" borderId="110"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3"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10" fontId="119" fillId="23" borderId="106" applyNumberFormat="0" applyBorder="0" applyAlignment="0" applyProtection="0"/>
    <xf numFmtId="0" fontId="59" fillId="27" borderId="85" applyNumberFormat="0" applyFont="0" applyAlignment="0" applyProtection="0"/>
    <xf numFmtId="4" fontId="143" fillId="42" borderId="110" applyNumberFormat="0" applyProtection="0">
      <alignment vertical="center"/>
    </xf>
    <xf numFmtId="0" fontId="59" fillId="27" borderId="85" applyNumberFormat="0" applyFont="0" applyAlignment="0" applyProtection="0"/>
    <xf numFmtId="0" fontId="77" fillId="0" borderId="113" applyNumberFormat="0" applyFill="0" applyAlignment="0" applyProtection="0"/>
    <xf numFmtId="4" fontId="142" fillId="35"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4" fontId="142" fillId="39"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23" fillId="0" borderId="108">
      <alignment horizontal="left" vertical="center"/>
    </xf>
    <xf numFmtId="5" fontId="126" fillId="25" borderId="106" applyNumberFormat="0" applyAlignment="0">
      <alignment horizontal="left" vertical="top"/>
    </xf>
    <xf numFmtId="49" fontId="127" fillId="0" borderId="106">
      <alignment vertical="center"/>
    </xf>
    <xf numFmtId="218" fontId="18" fillId="0" borderId="109"/>
    <xf numFmtId="0" fontId="138" fillId="1" borderId="108" applyNumberFormat="0" applyFont="0" applyAlignment="0">
      <alignment horizontal="center"/>
    </xf>
    <xf numFmtId="0" fontId="63" fillId="21" borderId="107" applyNumberFormat="0" applyAlignment="0" applyProtection="0"/>
    <xf numFmtId="4" fontId="140" fillId="41" borderId="110" applyNumberFormat="0" applyProtection="0">
      <alignment horizontal="left" vertical="center" indent="1"/>
    </xf>
    <xf numFmtId="10" fontId="119" fillId="23" borderId="106" applyNumberFormat="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8"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4" fontId="142" fillId="41"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218" fontId="18" fillId="0" borderId="109"/>
    <xf numFmtId="3" fontId="81" fillId="0" borderId="106"/>
    <xf numFmtId="230" fontId="74"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29" borderId="110" applyNumberFormat="0" applyProtection="0">
      <alignment horizontal="left" vertical="center" indent="1"/>
    </xf>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3" fontId="81" fillId="0" borderId="106"/>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horizontal="right" vertical="center"/>
    </xf>
    <xf numFmtId="0" fontId="71" fillId="8" borderId="107" applyNumberFormat="0" applyAlignment="0" applyProtection="0"/>
    <xf numFmtId="0" fontId="123" fillId="0" borderId="108">
      <alignment horizontal="left" vertical="center"/>
    </xf>
    <xf numFmtId="4" fontId="142" fillId="32" borderId="110" applyNumberFormat="0" applyProtection="0">
      <alignment horizontal="right" vertical="center"/>
    </xf>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63" fillId="21" borderId="107" applyNumberFormat="0" applyAlignment="0" applyProtection="0"/>
    <xf numFmtId="0" fontId="59" fillId="27" borderId="85" applyNumberFormat="0" applyFont="0" applyAlignment="0" applyProtection="0"/>
    <xf numFmtId="0" fontId="154" fillId="44" borderId="106">
      <alignment horizontal="left" vertical="center"/>
    </xf>
    <xf numFmtId="5" fontId="126" fillId="0" borderId="114">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3" fontId="81" fillId="0" borderId="106"/>
    <xf numFmtId="4" fontId="142" fillId="31" borderId="110" applyNumberFormat="0" applyProtection="0">
      <alignment horizontal="right" vertical="center"/>
    </xf>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52" fillId="43" borderId="114">
      <alignment vertical="top"/>
    </xf>
    <xf numFmtId="218" fontId="18" fillId="0" borderId="109"/>
    <xf numFmtId="218" fontId="18" fillId="0" borderId="109"/>
    <xf numFmtId="0" fontId="59" fillId="27" borderId="85" applyNumberFormat="0" applyFont="0" applyAlignment="0" applyProtection="0"/>
    <xf numFmtId="4" fontId="141" fillId="29" borderId="110" applyNumberFormat="0" applyProtection="0">
      <alignment vertical="center"/>
    </xf>
    <xf numFmtId="3" fontId="81" fillId="0" borderId="106"/>
    <xf numFmtId="3" fontId="81" fillId="0" borderId="106"/>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vertical="center"/>
    </xf>
    <xf numFmtId="0" fontId="59" fillId="27" borderId="85" applyNumberFormat="0" applyFont="0" applyAlignment="0" applyProtection="0"/>
    <xf numFmtId="218" fontId="18" fillId="0" borderId="109"/>
    <xf numFmtId="0" fontId="154" fillId="44" borderId="106">
      <alignment horizontal="left" vertical="center"/>
    </xf>
    <xf numFmtId="0" fontId="59" fillId="27" borderId="85" applyNumberFormat="0" applyFont="0" applyAlignment="0" applyProtection="0"/>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0" fontId="59" fillId="27" borderId="85" applyNumberFormat="0" applyFont="0" applyAlignment="0" applyProtection="0"/>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5" fillId="42" borderId="110" applyNumberFormat="0" applyProtection="0">
      <alignment horizontal="right" vertical="center"/>
    </xf>
    <xf numFmtId="0" fontId="59" fillId="27" borderId="85" applyNumberFormat="0" applyFont="0" applyAlignment="0" applyProtection="0"/>
    <xf numFmtId="1" fontId="94" fillId="0" borderId="106" applyBorder="0" applyAlignment="0">
      <alignment horizontal="center"/>
    </xf>
    <xf numFmtId="3" fontId="81" fillId="0" borderId="106"/>
    <xf numFmtId="230" fontId="74" fillId="0" borderId="106"/>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41" borderId="111"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10" fontId="119" fillId="23" borderId="106" applyNumberFormat="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10" fontId="119" fillId="23" borderId="106" applyNumberFormat="0" applyBorder="0" applyAlignment="0" applyProtection="0"/>
    <xf numFmtId="0" fontId="59" fillId="27" borderId="85" applyNumberFormat="0" applyFont="0" applyAlignment="0" applyProtection="0"/>
    <xf numFmtId="230" fontId="74" fillId="0" borderId="106"/>
    <xf numFmtId="0" fontId="59" fillId="27" borderId="85" applyNumberFormat="0" applyFont="0" applyAlignment="0" applyProtection="0"/>
    <xf numFmtId="230" fontId="74" fillId="0" borderId="106"/>
    <xf numFmtId="0" fontId="59" fillId="27" borderId="85" applyNumberFormat="0" applyFont="0" applyAlignment="0" applyProtection="0"/>
    <xf numFmtId="230" fontId="74"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4" fontId="142" fillId="33" borderId="110" applyNumberFormat="0" applyProtection="0">
      <alignment horizontal="right" vertical="center"/>
    </xf>
    <xf numFmtId="49" fontId="127" fillId="0" borderId="106">
      <alignment vertical="center"/>
    </xf>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4" fontId="142" fillId="34"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4" fontId="144" fillId="25" borderId="111" applyNumberFormat="0" applyProtection="0">
      <alignment horizontal="left" vertical="center" indent="1"/>
    </xf>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6" fontId="155" fillId="45" borderId="114"/>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7"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0" fontId="59" fillId="27" borderId="85" applyNumberFormat="0" applyFont="0" applyAlignment="0" applyProtection="0"/>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29"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4" fontId="142" fillId="36"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10" fontId="119" fillId="23" borderId="106" applyNumberFormat="0" applyBorder="0" applyAlignment="0" applyProtection="0"/>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49" fontId="127" fillId="0" borderId="106">
      <alignment vertical="center"/>
    </xf>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0" fontId="154" fillId="44" borderId="106">
      <alignment horizontal="left" vertical="center"/>
    </xf>
    <xf numFmtId="0" fontId="63" fillId="21" borderId="107" applyNumberFormat="0" applyAlignment="0" applyProtection="0"/>
    <xf numFmtId="1" fontId="94" fillId="0" borderId="106" applyBorder="0" applyAlignment="0">
      <alignment horizontal="center"/>
    </xf>
    <xf numFmtId="3" fontId="81" fillId="0" borderId="106"/>
    <xf numFmtId="3" fontId="81" fillId="0" borderId="106"/>
    <xf numFmtId="230" fontId="74" fillId="0" borderId="106"/>
    <xf numFmtId="3" fontId="81" fillId="0" borderId="106"/>
    <xf numFmtId="10" fontId="119" fillId="23" borderId="106" applyNumberFormat="0" applyBorder="0" applyAlignment="0" applyProtection="0"/>
    <xf numFmtId="0" fontId="138" fillId="1" borderId="108" applyNumberFormat="0" applyFont="0" applyAlignment="0">
      <alignment horizontal="center"/>
    </xf>
    <xf numFmtId="0" fontId="71" fillId="8" borderId="107" applyNumberFormat="0" applyAlignment="0" applyProtection="0"/>
    <xf numFmtId="0" fontId="123" fillId="0" borderId="108">
      <alignment horizontal="left" vertical="center"/>
    </xf>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0" borderId="114">
      <alignment horizontal="left" vertical="top"/>
    </xf>
    <xf numFmtId="218" fontId="18" fillId="0" borderId="51"/>
    <xf numFmtId="0" fontId="59" fillId="27" borderId="85" applyNumberFormat="0" applyFont="0" applyAlignment="0" applyProtection="0"/>
    <xf numFmtId="0" fontId="59" fillId="27" borderId="85" applyNumberFormat="0" applyFont="0" applyAlignment="0" applyProtection="0"/>
    <xf numFmtId="218" fontId="18" fillId="0" borderId="51"/>
    <xf numFmtId="0" fontId="59" fillId="27" borderId="85" applyNumberFormat="0" applyFont="0" applyAlignment="0" applyProtection="0"/>
    <xf numFmtId="4" fontId="142" fillId="31" borderId="110" applyNumberFormat="0" applyProtection="0">
      <alignment horizontal="right" vertical="center"/>
    </xf>
    <xf numFmtId="0" fontId="59" fillId="27" borderId="85" applyNumberFormat="0" applyFont="0" applyAlignment="0" applyProtection="0"/>
    <xf numFmtId="4" fontId="142" fillId="41"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3" fontId="81" fillId="0" borderId="106"/>
    <xf numFmtId="1" fontId="94" fillId="0" borderId="106" applyBorder="0" applyAlignment="0">
      <alignment horizont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7" fontId="74" fillId="0" borderId="112">
      <alignment horizontal="center"/>
    </xf>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230" fontId="74" fillId="0" borderId="106"/>
    <xf numFmtId="0" fontId="154" fillId="44" borderId="106">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10" fontId="119" fillId="23" borderId="106" applyNumberFormat="0" applyBorder="0" applyAlignment="0" applyProtection="0"/>
    <xf numFmtId="0" fontId="123" fillId="0" borderId="108">
      <alignment horizontal="left" vertical="center"/>
    </xf>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0" fontId="123" fillId="0" borderId="108">
      <alignment horizontal="left" vertical="center"/>
    </xf>
    <xf numFmtId="43" fontId="2" fillId="0" borderId="0" applyFont="0" applyFill="0" applyBorder="0" applyAlignment="0" applyProtection="0"/>
    <xf numFmtId="43" fontId="167" fillId="0" borderId="0" applyFont="0" applyFill="0" applyBorder="0" applyAlignment="0" applyProtection="0"/>
    <xf numFmtId="0" fontId="76" fillId="21" borderId="105" applyNumberFormat="0" applyAlignment="0" applyProtection="0"/>
    <xf numFmtId="0" fontId="63" fillId="21" borderId="107" applyNumberFormat="0" applyAlignment="0" applyProtection="0"/>
    <xf numFmtId="43" fontId="167" fillId="0" borderId="0" applyFont="0" applyFill="0" applyBorder="0" applyAlignment="0" applyProtection="0"/>
    <xf numFmtId="43" fontId="167" fillId="0" borderId="0" applyFont="0" applyFill="0" applyBorder="0" applyAlignment="0" applyProtection="0"/>
    <xf numFmtId="0" fontId="71" fillId="8" borderId="107" applyNumberFormat="0" applyAlignment="0" applyProtection="0"/>
    <xf numFmtId="0" fontId="71" fillId="8" borderId="107" applyNumberFormat="0" applyAlignment="0" applyProtection="0"/>
    <xf numFmtId="0" fontId="71" fillId="8" borderId="107" applyNumberFormat="0" applyAlignment="0" applyProtection="0"/>
    <xf numFmtId="0" fontId="71" fillId="8" borderId="107" applyNumberFormat="0" applyAlignment="0" applyProtection="0"/>
    <xf numFmtId="43" fontId="167" fillId="0" borderId="0" applyFont="0" applyFill="0" applyBorder="0" applyAlignment="0" applyProtection="0"/>
    <xf numFmtId="0" fontId="63" fillId="21" borderId="107" applyNumberFormat="0" applyAlignment="0" applyProtection="0"/>
    <xf numFmtId="0" fontId="63" fillId="21" borderId="107" applyNumberFormat="0" applyAlignment="0" applyProtection="0"/>
    <xf numFmtId="0" fontId="71" fillId="8" borderId="107" applyNumberFormat="0" applyAlignment="0" applyProtection="0"/>
    <xf numFmtId="0" fontId="63" fillId="21" borderId="107" applyNumberFormat="0" applyAlignment="0" applyProtection="0"/>
    <xf numFmtId="0" fontId="71" fillId="8" borderId="107" applyNumberFormat="0" applyAlignment="0" applyProtection="0"/>
    <xf numFmtId="43" fontId="167" fillId="0" borderId="0" applyFont="0" applyFill="0" applyBorder="0" applyAlignment="0" applyProtection="0"/>
    <xf numFmtId="0" fontId="63" fillId="21" borderId="107" applyNumberFormat="0" applyAlignment="0" applyProtection="0"/>
    <xf numFmtId="0" fontId="63" fillId="21" borderId="107" applyNumberFormat="0" applyAlignment="0" applyProtection="0"/>
    <xf numFmtId="0" fontId="76" fillId="21" borderId="105"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vertical="center"/>
    </xf>
    <xf numFmtId="0" fontId="77" fillId="0" borderId="113" applyNumberFormat="0" applyFill="0" applyAlignment="0" applyProtection="0"/>
    <xf numFmtId="4" fontId="142" fillId="35"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4" fontId="142" fillId="39"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23" fillId="0" borderId="108">
      <alignment horizontal="left" vertical="center"/>
    </xf>
    <xf numFmtId="5" fontId="126" fillId="25" borderId="106" applyNumberFormat="0" applyAlignment="0">
      <alignment horizontal="left" vertical="top"/>
    </xf>
    <xf numFmtId="49" fontId="127" fillId="0" borderId="106">
      <alignment vertical="center"/>
    </xf>
    <xf numFmtId="218" fontId="18" fillId="0" borderId="109"/>
    <xf numFmtId="0" fontId="63" fillId="21" borderId="107" applyNumberFormat="0" applyAlignment="0" applyProtection="0"/>
    <xf numFmtId="4" fontId="140" fillId="41" borderId="110" applyNumberFormat="0" applyProtection="0">
      <alignment horizontal="left" vertical="center" indent="1"/>
    </xf>
    <xf numFmtId="10" fontId="119" fillId="23" borderId="106" applyNumberFormat="0" applyBorder="0" applyAlignment="0" applyProtection="0"/>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8"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4" fontId="142" fillId="41"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230" fontId="74"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29" borderId="110" applyNumberFormat="0" applyProtection="0">
      <alignment horizontal="left" vertical="center" indent="1"/>
    </xf>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4" fontId="143" fillId="42" borderId="110" applyNumberFormat="0" applyProtection="0">
      <alignment horizontal="right" vertical="center"/>
    </xf>
    <xf numFmtId="0" fontId="71" fillId="8" borderId="107" applyNumberFormat="0" applyAlignment="0" applyProtection="0"/>
    <xf numFmtId="4" fontId="142" fillId="3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0" borderId="114">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3" fontId="81" fillId="0" borderId="106"/>
    <xf numFmtId="4" fontId="142" fillId="31" borderId="110" applyNumberFormat="0" applyProtection="0">
      <alignment horizontal="right" vertical="center"/>
    </xf>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52" fillId="43" borderId="114">
      <alignment vertical="top"/>
    </xf>
    <xf numFmtId="218" fontId="18" fillId="0" borderId="109"/>
    <xf numFmtId="0" fontId="59" fillId="27" borderId="85" applyNumberFormat="0" applyFont="0" applyAlignment="0" applyProtection="0"/>
    <xf numFmtId="4" fontId="141" fillId="29" borderId="110" applyNumberFormat="0" applyProtection="0">
      <alignment vertical="center"/>
    </xf>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vertical="center"/>
    </xf>
    <xf numFmtId="0" fontId="154" fillId="44" borderId="106">
      <alignment horizontal="left" vertical="center"/>
    </xf>
    <xf numFmtId="0" fontId="59" fillId="27" borderId="85" applyNumberFormat="0" applyFont="0" applyAlignment="0" applyProtection="0"/>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0" fontId="59" fillId="27" borderId="85" applyNumberFormat="0" applyFont="0" applyAlignment="0" applyProtection="0"/>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5" fillId="42" borderId="110" applyNumberFormat="0" applyProtection="0">
      <alignment horizontal="right" vertical="center"/>
    </xf>
    <xf numFmtId="0" fontId="59" fillId="27" borderId="85" applyNumberFormat="0" applyFont="0" applyAlignment="0" applyProtection="0"/>
    <xf numFmtId="1" fontId="94" fillId="0" borderId="106" applyBorder="0" applyAlignment="0">
      <alignment horizontal="center"/>
    </xf>
    <xf numFmtId="3" fontId="81" fillId="0" borderId="106"/>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41" borderId="111"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10" fontId="119" fillId="23" borderId="106" applyNumberFormat="0" applyBorder="0" applyAlignment="0" applyProtection="0"/>
    <xf numFmtId="0" fontId="59" fillId="27" borderId="85" applyNumberFormat="0" applyFont="0" applyAlignment="0" applyProtection="0"/>
    <xf numFmtId="230" fontId="74" fillId="0" borderId="106"/>
    <xf numFmtId="0" fontId="59" fillId="27" borderId="85" applyNumberFormat="0" applyFont="0" applyAlignment="0" applyProtection="0"/>
    <xf numFmtId="0" fontId="59" fillId="27" borderId="85" applyNumberFormat="0" applyFont="0" applyAlignment="0" applyProtection="0"/>
    <xf numFmtId="230" fontId="74"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4" fontId="142" fillId="33" borderId="110" applyNumberFormat="0" applyProtection="0">
      <alignment horizontal="right" vertical="center"/>
    </xf>
    <xf numFmtId="0" fontId="138" fillId="1" borderId="108" applyNumberFormat="0" applyFont="0" applyAlignment="0">
      <alignment horizontal="center"/>
    </xf>
    <xf numFmtId="4" fontId="142" fillId="34"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9" fontId="127" fillId="0" borderId="106">
      <alignment vertical="center"/>
    </xf>
    <xf numFmtId="0" fontId="59" fillId="27" borderId="85" applyNumberFormat="0" applyFont="0" applyAlignment="0" applyProtection="0"/>
    <xf numFmtId="4" fontId="144" fillId="25" borderId="111"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6" fontId="155" fillId="45" borderId="114"/>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7"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29"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4" fontId="142" fillId="36"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10" fontId="119" fillId="23" borderId="106" applyNumberFormat="0" applyBorder="0" applyAlignment="0" applyProtection="0"/>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0" fontId="63" fillId="21" borderId="107" applyNumberFormat="0" applyAlignment="0" applyProtection="0"/>
    <xf numFmtId="0" fontId="63" fillId="21" borderId="107" applyNumberFormat="0" applyAlignment="0" applyProtection="0"/>
    <xf numFmtId="0" fontId="76" fillId="21" borderId="105" applyNumberFormat="0" applyAlignment="0" applyProtection="0"/>
    <xf numFmtId="0" fontId="71" fillId="8" borderId="107" applyNumberFormat="0" applyAlignment="0" applyProtection="0"/>
    <xf numFmtId="0" fontId="63" fillId="21" borderId="107" applyNumberFormat="0" applyAlignment="0" applyProtection="0"/>
    <xf numFmtId="0" fontId="76" fillId="21" borderId="105" applyNumberFormat="0" applyAlignment="0" applyProtection="0"/>
    <xf numFmtId="0" fontId="71" fillId="8" borderId="107" applyNumberFormat="0" applyAlignment="0" applyProtection="0"/>
    <xf numFmtId="43" fontId="167"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6" fillId="21" borderId="105"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4" fontId="142" fillId="34"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29" borderId="110"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3"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1" fillId="29" borderId="110" applyNumberFormat="0" applyProtection="0">
      <alignment vertical="center"/>
    </xf>
    <xf numFmtId="0" fontId="59" fillId="27" borderId="85" applyNumberFormat="0" applyFont="0" applyAlignment="0" applyProtection="0"/>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138" fillId="1" borderId="108" applyNumberFormat="0" applyFont="0" applyAlignment="0">
      <alignment horizont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4" fontId="140" fillId="41" borderId="111" applyNumberFormat="0" applyProtection="0">
      <alignment horizontal="left" vertical="center" indent="1"/>
    </xf>
    <xf numFmtId="0" fontId="59" fillId="27" borderId="85" applyNumberFormat="0" applyFont="0" applyAlignment="0" applyProtection="0"/>
    <xf numFmtId="4" fontId="142" fillId="39"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59" fillId="27" borderId="85" applyNumberFormat="0" applyFont="0" applyAlignment="0" applyProtection="0"/>
    <xf numFmtId="0" fontId="59" fillId="27" borderId="85" applyNumberFormat="0" applyFont="0" applyAlignment="0" applyProtection="0"/>
    <xf numFmtId="4" fontId="142" fillId="35" borderId="110" applyNumberFormat="0" applyProtection="0">
      <alignment horizontal="right" vertical="center"/>
    </xf>
    <xf numFmtId="0" fontId="59" fillId="27" borderId="85" applyNumberFormat="0" applyFont="0" applyAlignment="0" applyProtection="0"/>
    <xf numFmtId="49" fontId="127" fillId="0" borderId="106">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4" fillId="25" borderId="111"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123" fillId="0" borderId="108">
      <alignment horizontal="lef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29"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63" fillId="21" borderId="107" applyNumberFormat="0" applyAlignment="0" applyProtection="0"/>
    <xf numFmtId="5" fontId="152" fillId="43" borderId="114">
      <alignmen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3" fontId="81" fillId="0" borderId="106"/>
    <xf numFmtId="0" fontId="63" fillId="21"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7" fillId="0" borderId="113" applyNumberFormat="0" applyFill="0" applyAlignment="0" applyProtection="0"/>
    <xf numFmtId="4" fontId="140" fillId="41" borderId="110"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vertical="center"/>
    </xf>
    <xf numFmtId="4" fontId="142" fillId="38"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154" fillId="44" borderId="106">
      <alignment horizontal="left" vertical="center"/>
    </xf>
    <xf numFmtId="10" fontId="119" fillId="23" borderId="106" applyNumberFormat="0" applyBorder="0" applyAlignment="0" applyProtection="0"/>
    <xf numFmtId="4" fontId="142" fillId="3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vertical="center"/>
    </xf>
    <xf numFmtId="3" fontId="81" fillId="0" borderId="106"/>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230" fontId="74" fillId="0" borderId="106"/>
    <xf numFmtId="0" fontId="59" fillId="27" borderId="85" applyNumberFormat="0" applyFont="0" applyAlignment="0" applyProtection="0"/>
    <xf numFmtId="4" fontId="145"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1" fontId="94" fillId="0" borderId="106" applyBorder="0" applyAlignment="0">
      <alignment horizontal="center"/>
    </xf>
    <xf numFmtId="0" fontId="59" fillId="27" borderId="85" applyNumberFormat="0" applyFont="0" applyAlignment="0" applyProtection="0"/>
    <xf numFmtId="0" fontId="59" fillId="27" borderId="85" applyNumberFormat="0" applyFont="0" applyAlignment="0" applyProtection="0"/>
    <xf numFmtId="4" fontId="142" fillId="36"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71" fillId="8" borderId="107" applyNumberForma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5" fontId="126" fillId="25" borderId="106" applyNumberFormat="0" applyAlignment="0">
      <alignment horizontal="left" vertical="top"/>
    </xf>
    <xf numFmtId="0" fontId="59" fillId="27" borderId="85" applyNumberFormat="0" applyFont="0" applyAlignment="0" applyProtection="0"/>
    <xf numFmtId="0" fontId="59" fillId="27" borderId="85" applyNumberFormat="0" applyFont="0" applyAlignment="0" applyProtection="0"/>
    <xf numFmtId="6" fontId="155" fillId="45" borderId="114"/>
    <xf numFmtId="0" fontId="59" fillId="27" borderId="85" applyNumberFormat="0" applyFont="0" applyAlignment="0" applyProtection="0"/>
    <xf numFmtId="0" fontId="59" fillId="27" borderId="85" applyNumberFormat="0" applyFont="0" applyAlignment="0" applyProtection="0"/>
    <xf numFmtId="4" fontId="142" fillId="41" borderId="110" applyNumberFormat="0" applyProtection="0">
      <alignment horizontal="right" vertical="center"/>
    </xf>
    <xf numFmtId="43" fontId="2" fillId="0" borderId="0" applyFont="0" applyFill="0" applyBorder="0" applyAlignment="0" applyProtection="0"/>
    <xf numFmtId="5" fontId="126" fillId="0" borderId="114">
      <alignment horizontal="left" vertical="top"/>
    </xf>
    <xf numFmtId="4" fontId="142" fillId="37" borderId="110" applyNumberFormat="0" applyProtection="0">
      <alignment horizontal="right" vertical="center"/>
    </xf>
    <xf numFmtId="0" fontId="59" fillId="27" borderId="85" applyNumberFormat="0" applyFont="0" applyAlignment="0" applyProtection="0"/>
    <xf numFmtId="4" fontId="142" fillId="31" borderId="110" applyNumberFormat="0" applyProtection="0">
      <alignment horizontal="right" vertical="center"/>
    </xf>
    <xf numFmtId="0" fontId="59" fillId="27" borderId="85" applyNumberFormat="0" applyFont="0" applyAlignment="0" applyProtection="0"/>
    <xf numFmtId="0" fontId="63" fillId="21" borderId="107" applyNumberFormat="0" applyAlignment="0" applyProtection="0"/>
    <xf numFmtId="0" fontId="71" fillId="8" borderId="107" applyNumberFormat="0" applyAlignment="0" applyProtection="0"/>
    <xf numFmtId="0" fontId="63" fillId="21" borderId="107" applyNumberFormat="0" applyAlignment="0" applyProtection="0"/>
    <xf numFmtId="0" fontId="71" fillId="8" borderId="107" applyNumberFormat="0" applyAlignment="0" applyProtection="0"/>
    <xf numFmtId="0" fontId="154" fillId="44" borderId="106">
      <alignment horizontal="left" vertical="center"/>
    </xf>
    <xf numFmtId="230" fontId="74" fillId="0" borderId="106"/>
    <xf numFmtId="227" fontId="74" fillId="0" borderId="112">
      <alignment horizont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224" fontId="74" fillId="0" borderId="112">
      <alignment horizontal="right" vertical="center"/>
    </xf>
    <xf numFmtId="0" fontId="138" fillId="1" borderId="108" applyNumberFormat="0" applyFont="0" applyAlignment="0">
      <alignment horizontal="center"/>
    </xf>
    <xf numFmtId="0" fontId="63" fillId="21" borderId="107" applyNumberFormat="0" applyAlignment="0" applyProtection="0"/>
    <xf numFmtId="43" fontId="2" fillId="0" borderId="0" applyFont="0" applyFill="0" applyBorder="0" applyAlignment="0" applyProtection="0"/>
    <xf numFmtId="10" fontId="119" fillId="23" borderId="106" applyNumberFormat="0" applyBorder="0" applyAlignment="0" applyProtection="0"/>
    <xf numFmtId="49" fontId="127" fillId="0" borderId="106">
      <alignment vertical="center"/>
    </xf>
    <xf numFmtId="5" fontId="126" fillId="25" borderId="106" applyNumberFormat="0" applyAlignment="0">
      <alignment horizontal="left" vertical="top"/>
    </xf>
    <xf numFmtId="0" fontId="123" fillId="0" borderId="108">
      <alignment horizontal="left" vertical="center"/>
    </xf>
    <xf numFmtId="0" fontId="71" fillId="8" borderId="107" applyNumberFormat="0" applyAlignment="0" applyProtection="0"/>
    <xf numFmtId="3" fontId="81" fillId="0" borderId="106"/>
    <xf numFmtId="3" fontId="81" fillId="0" borderId="106"/>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1" fontId="94" fillId="0" borderId="106" applyBorder="0" applyAlignment="0">
      <alignment horizontal="center"/>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3" fontId="81" fillId="0" borderId="106"/>
    <xf numFmtId="43" fontId="167"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77" fillId="0" borderId="113" applyNumberFormat="0" applyFill="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7"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1" fillId="29"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3"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167"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6"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167" fillId="0" borderId="0" applyFont="0" applyFill="0" applyBorder="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2" borderId="110" applyNumberFormat="0" applyProtection="0">
      <alignment horizontal="right" vertical="center"/>
    </xf>
    <xf numFmtId="4" fontId="142" fillId="34"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4" fontId="142" fillId="39"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167" fillId="0" borderId="0" applyFont="0" applyFill="0" applyBorder="0" applyAlignment="0" applyProtection="0"/>
    <xf numFmtId="0" fontId="59" fillId="27" borderId="85" applyNumberFormat="0" applyFont="0" applyAlignment="0" applyProtection="0"/>
    <xf numFmtId="4" fontId="142" fillId="38"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5"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6" fontId="155" fillId="45" borderId="114"/>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41" borderId="111"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167" fillId="0" borderId="0" applyFont="0" applyFill="0" applyBorder="0" applyAlignment="0" applyProtection="0"/>
    <xf numFmtId="5" fontId="152" fillId="43" borderId="114">
      <alignmen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41" borderId="110"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29" borderId="110" applyNumberFormat="0" applyProtection="0">
      <alignmen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4" fillId="25" borderId="111"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4" fontId="145" fillId="42"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29" borderId="110" applyNumberFormat="0" applyProtection="0">
      <alignment horizontal="left" vertical="center" indent="1"/>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3"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3" fontId="2" fillId="0" borderId="0" applyFont="0" applyFill="0" applyBorder="0" applyAlignment="0" applyProtection="0"/>
    <xf numFmtId="4" fontId="143" fillId="42" borderId="110" applyNumberFormat="0" applyProtection="0">
      <alignment vertical="center"/>
    </xf>
    <xf numFmtId="0" fontId="77" fillId="0" borderId="113" applyNumberFormat="0" applyFill="0" applyAlignment="0" applyProtection="0"/>
    <xf numFmtId="4" fontId="142" fillId="35" borderId="110" applyNumberFormat="0" applyProtection="0">
      <alignment horizontal="right" vertical="center"/>
    </xf>
    <xf numFmtId="4" fontId="142" fillId="39" borderId="110" applyNumberFormat="0" applyProtection="0">
      <alignment horizontal="right" vertical="center"/>
    </xf>
    <xf numFmtId="218" fontId="18" fillId="0" borderId="109"/>
    <xf numFmtId="4" fontId="140" fillId="41" borderId="110" applyNumberFormat="0" applyProtection="0">
      <alignment horizontal="left" vertical="center" indent="1"/>
    </xf>
    <xf numFmtId="4" fontId="142" fillId="38" borderId="110" applyNumberFormat="0" applyProtection="0">
      <alignment horizontal="right" vertical="center"/>
    </xf>
    <xf numFmtId="43" fontId="2" fillId="0" borderId="0" applyFont="0" applyFill="0" applyBorder="0" applyAlignment="0" applyProtection="0"/>
    <xf numFmtId="4" fontId="142" fillId="41" borderId="110" applyNumberFormat="0" applyProtection="0">
      <alignment horizontal="right" vertical="center"/>
    </xf>
    <xf numFmtId="4" fontId="142" fillId="29" borderId="110" applyNumberFormat="0" applyProtection="0">
      <alignment horizontal="left" vertical="center" indent="1"/>
    </xf>
    <xf numFmtId="4" fontId="143" fillId="42" borderId="110" applyNumberFormat="0" applyProtection="0">
      <alignment horizontal="right" vertical="center"/>
    </xf>
    <xf numFmtId="4" fontId="142" fillId="32" borderId="110" applyNumberFormat="0" applyProtection="0">
      <alignment horizontal="right" vertical="center"/>
    </xf>
    <xf numFmtId="5" fontId="126" fillId="0" borderId="114">
      <alignment horizontal="left" vertical="top"/>
    </xf>
    <xf numFmtId="4" fontId="142" fillId="31" borderId="110" applyNumberFormat="0" applyProtection="0">
      <alignment horizontal="right" vertical="center"/>
    </xf>
    <xf numFmtId="5" fontId="152" fillId="43" borderId="114">
      <alignment vertical="top"/>
    </xf>
    <xf numFmtId="218" fontId="18" fillId="0" borderId="109"/>
    <xf numFmtId="4" fontId="141" fillId="29" borderId="110" applyNumberFormat="0" applyProtection="0">
      <alignment vertical="center"/>
    </xf>
    <xf numFmtId="4" fontId="142" fillId="42" borderId="110" applyNumberFormat="0" applyProtection="0">
      <alignment vertical="center"/>
    </xf>
    <xf numFmtId="4" fontId="142" fillId="42" borderId="110" applyNumberFormat="0" applyProtection="0">
      <alignment horizontal="right" vertical="center"/>
    </xf>
    <xf numFmtId="4" fontId="145" fillId="42" borderId="110" applyNumberFormat="0" applyProtection="0">
      <alignment horizontal="right" vertical="center"/>
    </xf>
    <xf numFmtId="4" fontId="140" fillId="41" borderId="111" applyNumberFormat="0" applyProtection="0">
      <alignment horizontal="left" vertical="center" indent="1"/>
    </xf>
    <xf numFmtId="43" fontId="2" fillId="0" borderId="0" applyFont="0" applyFill="0" applyBorder="0" applyAlignment="0" applyProtection="0"/>
    <xf numFmtId="4" fontId="142" fillId="33" borderId="110" applyNumberFormat="0" applyProtection="0">
      <alignment horizontal="right" vertical="center"/>
    </xf>
    <xf numFmtId="4" fontId="142" fillId="34" borderId="110" applyNumberFormat="0" applyProtection="0">
      <alignment horizontal="right" vertical="center"/>
    </xf>
    <xf numFmtId="4" fontId="144" fillId="25" borderId="111" applyNumberFormat="0" applyProtection="0">
      <alignment horizontal="left" vertical="center" indent="1"/>
    </xf>
    <xf numFmtId="6" fontId="155" fillId="45" borderId="114"/>
    <xf numFmtId="43" fontId="2" fillId="0" borderId="0" applyFont="0" applyFill="0" applyBorder="0" applyAlignment="0" applyProtection="0"/>
    <xf numFmtId="4" fontId="142" fillId="37" borderId="110" applyNumberFormat="0" applyProtection="0">
      <alignment horizontal="right" vertical="center"/>
    </xf>
    <xf numFmtId="4" fontId="140" fillId="29" borderId="110" applyNumberFormat="0" applyProtection="0">
      <alignment vertical="center"/>
    </xf>
    <xf numFmtId="43" fontId="2" fillId="0" borderId="0" applyFont="0" applyFill="0" applyBorder="0" applyAlignment="0" applyProtection="0"/>
    <xf numFmtId="4" fontId="142" fillId="36" borderId="110" applyNumberFormat="0" applyProtection="0">
      <alignment horizontal="right" vertical="center"/>
    </xf>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5" fontId="126" fillId="0" borderId="114">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2" fillId="31" borderId="110" applyNumberFormat="0" applyProtection="0">
      <alignment horizontal="right" vertical="center"/>
    </xf>
    <xf numFmtId="0" fontId="59" fillId="27" borderId="85" applyNumberFormat="0" applyFont="0" applyAlignment="0" applyProtection="0"/>
    <xf numFmtId="4" fontId="142" fillId="41" borderId="110" applyNumberFormat="0" applyProtection="0">
      <alignment horizontal="right" vertical="center"/>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4" fontId="140" fillId="29" borderId="110" applyNumberFormat="0" applyProtection="0">
      <alignment vertical="center"/>
    </xf>
    <xf numFmtId="4" fontId="141" fillId="29" borderId="110" applyNumberFormat="0" applyProtection="0">
      <alignment vertical="center"/>
    </xf>
    <xf numFmtId="4" fontId="142" fillId="29" borderId="110" applyNumberFormat="0" applyProtection="0">
      <alignment horizontal="left" vertical="center" indent="1"/>
    </xf>
    <xf numFmtId="4" fontId="142" fillId="31" borderId="110" applyNumberFormat="0" applyProtection="0">
      <alignment horizontal="right" vertical="center"/>
    </xf>
    <xf numFmtId="4" fontId="142" fillId="32" borderId="110" applyNumberFormat="0" applyProtection="0">
      <alignment horizontal="right" vertical="center"/>
    </xf>
    <xf numFmtId="4" fontId="142" fillId="33" borderId="110" applyNumberFormat="0" applyProtection="0">
      <alignment horizontal="right" vertical="center"/>
    </xf>
    <xf numFmtId="4" fontId="142" fillId="34" borderId="110" applyNumberFormat="0" applyProtection="0">
      <alignment horizontal="right" vertical="center"/>
    </xf>
    <xf numFmtId="4" fontId="142" fillId="35" borderId="110" applyNumberFormat="0" applyProtection="0">
      <alignment horizontal="right" vertical="center"/>
    </xf>
    <xf numFmtId="4" fontId="142" fillId="36" borderId="110" applyNumberFormat="0" applyProtection="0">
      <alignment horizontal="right" vertical="center"/>
    </xf>
    <xf numFmtId="4" fontId="142" fillId="37" borderId="110" applyNumberFormat="0" applyProtection="0">
      <alignment horizontal="right" vertical="center"/>
    </xf>
    <xf numFmtId="4" fontId="142" fillId="38" borderId="110" applyNumberFormat="0" applyProtection="0">
      <alignment horizontal="right" vertical="center"/>
    </xf>
    <xf numFmtId="4" fontId="142" fillId="39" borderId="110" applyNumberFormat="0" applyProtection="0">
      <alignment horizontal="right" vertical="center"/>
    </xf>
    <xf numFmtId="4" fontId="142" fillId="41" borderId="110" applyNumberFormat="0" applyProtection="0">
      <alignment horizontal="right" vertical="center"/>
    </xf>
    <xf numFmtId="4" fontId="142" fillId="42" borderId="110" applyNumberFormat="0" applyProtection="0">
      <alignment vertical="center"/>
    </xf>
    <xf numFmtId="4" fontId="143" fillId="42" borderId="110" applyNumberFormat="0" applyProtection="0">
      <alignment vertical="center"/>
    </xf>
    <xf numFmtId="4" fontId="140" fillId="41" borderId="111" applyNumberFormat="0" applyProtection="0">
      <alignment horizontal="left" vertical="center" indent="1"/>
    </xf>
    <xf numFmtId="4" fontId="142" fillId="42" borderId="110" applyNumberFormat="0" applyProtection="0">
      <alignment horizontal="right" vertical="center"/>
    </xf>
    <xf numFmtId="4" fontId="143" fillId="42" borderId="110" applyNumberFormat="0" applyProtection="0">
      <alignment horizontal="right" vertical="center"/>
    </xf>
    <xf numFmtId="4" fontId="140" fillId="41" borderId="110" applyNumberFormat="0" applyProtection="0">
      <alignment horizontal="left" vertical="center" indent="1"/>
    </xf>
    <xf numFmtId="4" fontId="144" fillId="25" borderId="111" applyNumberFormat="0" applyProtection="0">
      <alignment horizontal="left" vertical="center" indent="1"/>
    </xf>
    <xf numFmtId="4" fontId="145" fillId="42" borderId="110" applyNumberFormat="0" applyProtection="0">
      <alignment horizontal="right" vertical="center"/>
    </xf>
    <xf numFmtId="0" fontId="77" fillId="0" borderId="113" applyNumberFormat="0" applyFill="0" applyAlignment="0" applyProtection="0"/>
    <xf numFmtId="5" fontId="152" fillId="43" borderId="114">
      <alignment vertical="top"/>
    </xf>
    <xf numFmtId="6" fontId="155" fillId="45" borderId="114"/>
    <xf numFmtId="5" fontId="126" fillId="0" borderId="114">
      <alignment horizontal="left" vertical="top"/>
    </xf>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59" fillId="27" borderId="85" applyNumberFormat="0" applyFont="0" applyAlignment="0" applyProtection="0"/>
    <xf numFmtId="0" fontId="2" fillId="0" borderId="0"/>
    <xf numFmtId="0" fontId="167" fillId="0" borderId="0"/>
    <xf numFmtId="43" fontId="2" fillId="0" borderId="0" applyFont="0" applyFill="0" applyBorder="0" applyAlignment="0" applyProtection="0"/>
    <xf numFmtId="0" fontId="2" fillId="0" borderId="0"/>
    <xf numFmtId="0" fontId="167" fillId="0" borderId="0"/>
    <xf numFmtId="0" fontId="167" fillId="0" borderId="0"/>
    <xf numFmtId="0" fontId="8" fillId="0" borderId="0"/>
    <xf numFmtId="0" fontId="167" fillId="0" borderId="0"/>
    <xf numFmtId="0" fontId="185" fillId="0" borderId="0"/>
    <xf numFmtId="167" fontId="185" fillId="0" borderId="0" applyFont="0" applyFill="0" applyBorder="0" applyAlignment="0" applyProtection="0"/>
    <xf numFmtId="169" fontId="2" fillId="0" borderId="0" applyFont="0" applyFill="0" applyBorder="0" applyAlignment="0" applyProtection="0"/>
    <xf numFmtId="0" fontId="8" fillId="0" borderId="0"/>
    <xf numFmtId="167" fontId="36" fillId="0" borderId="0" applyFont="0" applyFill="0" applyBorder="0" applyAlignment="0" applyProtection="0"/>
    <xf numFmtId="43" fontId="113" fillId="0" borderId="0" applyFont="0" applyFill="0" applyBorder="0" applyAlignment="0" applyProtection="0"/>
    <xf numFmtId="0" fontId="113" fillId="0" borderId="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167" fontId="36" fillId="0" borderId="0" applyFont="0" applyFill="0" applyBorder="0" applyAlignment="0" applyProtection="0"/>
    <xf numFmtId="0" fontId="36" fillId="0" borderId="0"/>
    <xf numFmtId="167" fontId="36" fillId="0" borderId="0" applyFont="0" applyFill="0" applyBorder="0" applyAlignment="0" applyProtection="0"/>
    <xf numFmtId="0" fontId="167" fillId="0" borderId="0"/>
    <xf numFmtId="0" fontId="113" fillId="0" borderId="0"/>
    <xf numFmtId="169" fontId="2" fillId="0" borderId="0" applyFont="0" applyFill="0" applyBorder="0" applyAlignment="0" applyProtection="0"/>
    <xf numFmtId="167" fontId="36" fillId="0" borderId="0" applyFont="0" applyFill="0" applyBorder="0" applyAlignment="0" applyProtection="0"/>
    <xf numFmtId="169" fontId="42" fillId="0" borderId="0" applyFont="0" applyFill="0" applyBorder="0" applyAlignment="0" applyProtection="0"/>
    <xf numFmtId="167" fontId="36" fillId="0" borderId="0" applyFont="0" applyFill="0" applyBorder="0" applyAlignment="0" applyProtection="0"/>
    <xf numFmtId="0" fontId="36" fillId="0" borderId="0"/>
    <xf numFmtId="0" fontId="7" fillId="0" borderId="0"/>
    <xf numFmtId="0" fontId="36" fillId="0" borderId="0"/>
    <xf numFmtId="167" fontId="36" fillId="0" borderId="0" applyFont="0" applyFill="0" applyBorder="0" applyAlignment="0" applyProtection="0"/>
    <xf numFmtId="0" fontId="36" fillId="0" borderId="0"/>
    <xf numFmtId="167" fontId="36" fillId="0" borderId="0" applyFont="0" applyFill="0" applyBorder="0" applyAlignment="0" applyProtection="0"/>
    <xf numFmtId="167" fontId="36" fillId="0" borderId="0" applyFont="0" applyFill="0" applyBorder="0" applyAlignment="0" applyProtection="0"/>
  </cellStyleXfs>
  <cellXfs count="1179">
    <xf numFmtId="0" fontId="0" fillId="0" borderId="0" xfId="0"/>
    <xf numFmtId="171" fontId="15" fillId="0" borderId="1" xfId="658" applyNumberFormat="1" applyFont="1" applyFill="1" applyBorder="1" applyAlignment="1">
      <alignment horizontal="center" vertical="center" wrapText="1"/>
    </xf>
    <xf numFmtId="0" fontId="14" fillId="0" borderId="0" xfId="1280" applyFont="1"/>
    <xf numFmtId="171" fontId="14" fillId="0" borderId="0" xfId="658" applyNumberFormat="1" applyFont="1" applyFill="1"/>
    <xf numFmtId="0" fontId="3" fillId="0" borderId="26" xfId="1280" applyFont="1" applyBorder="1"/>
    <xf numFmtId="0" fontId="3" fillId="0" borderId="26" xfId="1280" applyFont="1" applyBorder="1" applyAlignment="1">
      <alignment horizontal="center"/>
    </xf>
    <xf numFmtId="0" fontId="16" fillId="0" borderId="0" xfId="1280" applyFont="1"/>
    <xf numFmtId="0" fontId="12" fillId="0" borderId="0" xfId="1280" applyFont="1"/>
    <xf numFmtId="171" fontId="13" fillId="0" borderId="1" xfId="658" applyNumberFormat="1" applyFont="1" applyFill="1" applyBorder="1" applyAlignment="1">
      <alignment horizontal="center" vertical="center" wrapText="1"/>
    </xf>
    <xf numFmtId="171" fontId="13" fillId="0" borderId="1" xfId="658" applyNumberFormat="1" applyFont="1" applyFill="1" applyBorder="1" applyAlignment="1">
      <alignment horizontal="center" vertical="center"/>
    </xf>
    <xf numFmtId="0" fontId="13" fillId="0" borderId="1" xfId="658" applyNumberFormat="1" applyFont="1" applyFill="1" applyBorder="1" applyAlignment="1">
      <alignment horizontal="center" vertical="center" wrapText="1"/>
    </xf>
    <xf numFmtId="0" fontId="13" fillId="0" borderId="1" xfId="658" applyNumberFormat="1" applyFont="1" applyFill="1" applyBorder="1" applyAlignment="1">
      <alignment horizontal="center" vertical="center"/>
    </xf>
    <xf numFmtId="0" fontId="19" fillId="0" borderId="0" xfId="1280" applyFont="1"/>
    <xf numFmtId="171" fontId="20" fillId="0" borderId="1" xfId="658" applyNumberFormat="1" applyFont="1" applyFill="1" applyBorder="1" applyAlignment="1">
      <alignment horizontal="center" vertical="center" wrapText="1"/>
    </xf>
    <xf numFmtId="3" fontId="15" fillId="0" borderId="1" xfId="658" applyNumberFormat="1" applyFont="1" applyFill="1" applyBorder="1" applyAlignment="1">
      <alignment vertical="center" wrapText="1"/>
    </xf>
    <xf numFmtId="0" fontId="16" fillId="0" borderId="0" xfId="1280" applyFont="1" applyAlignment="1">
      <alignment vertical="center"/>
    </xf>
    <xf numFmtId="0" fontId="15" fillId="0" borderId="1" xfId="658" applyNumberFormat="1" applyFont="1" applyFill="1" applyBorder="1" applyAlignment="1">
      <alignment horizontal="left" vertical="center" wrapText="1"/>
    </xf>
    <xf numFmtId="3" fontId="12" fillId="0" borderId="1" xfId="658" applyNumberFormat="1" applyFont="1" applyFill="1" applyBorder="1" applyAlignment="1">
      <alignment vertical="center" wrapText="1"/>
    </xf>
    <xf numFmtId="3" fontId="7" fillId="0" borderId="1" xfId="658" applyNumberFormat="1" applyFont="1" applyFill="1" applyBorder="1" applyAlignment="1">
      <alignment vertical="center" wrapText="1"/>
    </xf>
    <xf numFmtId="0" fontId="15" fillId="0" borderId="1" xfId="658" applyNumberFormat="1" applyFont="1" applyFill="1" applyBorder="1" applyAlignment="1">
      <alignment horizontal="center" vertical="center" wrapText="1"/>
    </xf>
    <xf numFmtId="0" fontId="15" fillId="0" borderId="1" xfId="1120" applyFont="1" applyBorder="1" applyAlignment="1">
      <alignment vertical="center" wrapText="1"/>
    </xf>
    <xf numFmtId="0" fontId="15" fillId="0" borderId="1" xfId="1280" applyFont="1" applyBorder="1" applyAlignment="1">
      <alignment horizontal="center" vertical="center" wrapText="1"/>
    </xf>
    <xf numFmtId="0" fontId="15" fillId="0" borderId="1" xfId="1280" applyFont="1" applyBorder="1" applyAlignment="1">
      <alignment horizontal="left" vertical="center" wrapText="1"/>
    </xf>
    <xf numFmtId="0" fontId="21" fillId="0" borderId="0" xfId="1280" applyFont="1" applyAlignment="1">
      <alignment vertical="center"/>
    </xf>
    <xf numFmtId="0" fontId="15" fillId="0" borderId="1" xfId="1280" quotePrefix="1" applyFont="1" applyBorder="1" applyAlignment="1">
      <alignment horizontal="center" vertical="center" wrapText="1"/>
    </xf>
    <xf numFmtId="172" fontId="15" fillId="0" borderId="1" xfId="1280" applyNumberFormat="1" applyFont="1" applyBorder="1" applyAlignment="1">
      <alignment horizontal="center" vertical="center" wrapText="1"/>
    </xf>
    <xf numFmtId="172" fontId="5" fillId="0" borderId="1" xfId="1280" quotePrefix="1" applyNumberFormat="1" applyFont="1" applyBorder="1" applyAlignment="1">
      <alignment horizontal="center" vertical="center" wrapText="1"/>
    </xf>
    <xf numFmtId="0" fontId="5" fillId="0" borderId="1" xfId="1280" applyFont="1" applyBorder="1" applyAlignment="1">
      <alignment horizontal="left" vertical="center" wrapText="1"/>
    </xf>
    <xf numFmtId="3" fontId="5" fillId="0" borderId="1" xfId="658" applyNumberFormat="1" applyFont="1" applyFill="1" applyBorder="1" applyAlignment="1">
      <alignment vertical="center" wrapText="1"/>
    </xf>
    <xf numFmtId="0" fontId="22" fillId="0" borderId="0" xfId="1280" applyFont="1" applyAlignment="1">
      <alignment vertical="center"/>
    </xf>
    <xf numFmtId="3" fontId="15" fillId="0" borderId="1" xfId="658" applyNumberFormat="1" applyFont="1" applyFill="1" applyBorder="1" applyAlignment="1" applyProtection="1">
      <alignment vertical="center" wrapText="1"/>
    </xf>
    <xf numFmtId="3" fontId="5" fillId="0" borderId="1" xfId="658" applyNumberFormat="1" applyFont="1" applyFill="1" applyBorder="1" applyAlignment="1" applyProtection="1">
      <alignment vertical="center" wrapText="1"/>
    </xf>
    <xf numFmtId="3" fontId="23" fillId="0" borderId="1" xfId="658" applyNumberFormat="1" applyFont="1" applyFill="1" applyBorder="1" applyAlignment="1">
      <alignment vertical="center" wrapText="1"/>
    </xf>
    <xf numFmtId="0" fontId="24" fillId="0" borderId="1" xfId="1280" applyFont="1" applyBorder="1" applyAlignment="1">
      <alignment vertical="center" wrapText="1"/>
    </xf>
    <xf numFmtId="0" fontId="5" fillId="0" borderId="1" xfId="1280" applyFont="1" applyBorder="1" applyAlignment="1">
      <alignment vertical="center" wrapText="1"/>
    </xf>
    <xf numFmtId="3" fontId="5" fillId="47" borderId="1" xfId="658" applyNumberFormat="1" applyFont="1" applyFill="1" applyBorder="1" applyAlignment="1">
      <alignment vertical="center" wrapText="1"/>
    </xf>
    <xf numFmtId="3" fontId="24" fillId="0" borderId="1" xfId="1280" applyNumberFormat="1" applyFont="1" applyBorder="1" applyAlignment="1">
      <alignment vertical="center" wrapText="1"/>
    </xf>
    <xf numFmtId="0" fontId="24" fillId="0" borderId="0" xfId="1280" applyFont="1" applyAlignment="1">
      <alignment vertical="center"/>
    </xf>
    <xf numFmtId="0" fontId="15" fillId="0" borderId="1" xfId="1280" applyFont="1" applyBorder="1" applyAlignment="1">
      <alignment vertical="center" wrapText="1"/>
    </xf>
    <xf numFmtId="3" fontId="15" fillId="0" borderId="1" xfId="1280" applyNumberFormat="1" applyFont="1" applyBorder="1" applyAlignment="1">
      <alignment vertical="center" wrapText="1"/>
    </xf>
    <xf numFmtId="0" fontId="15" fillId="0" borderId="0" xfId="1280" applyFont="1" applyAlignment="1">
      <alignment vertical="center"/>
    </xf>
    <xf numFmtId="0" fontId="25" fillId="0" borderId="0" xfId="1280" applyFont="1" applyAlignment="1">
      <alignment vertical="center"/>
    </xf>
    <xf numFmtId="172" fontId="26" fillId="0" borderId="1" xfId="1280" quotePrefix="1" applyNumberFormat="1" applyFont="1" applyBorder="1" applyAlignment="1">
      <alignment horizontal="center" vertical="center" wrapText="1"/>
    </xf>
    <xf numFmtId="0" fontId="13" fillId="0" borderId="1" xfId="1280" applyFont="1" applyBorder="1" applyAlignment="1">
      <alignment horizontal="left" vertical="center" wrapText="1"/>
    </xf>
    <xf numFmtId="3" fontId="13" fillId="0" borderId="1" xfId="658" applyNumberFormat="1" applyFont="1" applyFill="1" applyBorder="1" applyAlignment="1">
      <alignment vertical="center" wrapText="1"/>
    </xf>
    <xf numFmtId="3" fontId="13" fillId="47" borderId="1" xfId="658" applyNumberFormat="1" applyFont="1" applyFill="1" applyBorder="1" applyAlignment="1">
      <alignment vertical="center" wrapText="1"/>
    </xf>
    <xf numFmtId="0" fontId="27" fillId="0" borderId="0" xfId="1280" applyFont="1" applyAlignment="1">
      <alignment vertical="center"/>
    </xf>
    <xf numFmtId="3" fontId="28" fillId="0" borderId="1" xfId="658" applyNumberFormat="1" applyFont="1" applyFill="1" applyBorder="1" applyAlignment="1">
      <alignment vertical="center" wrapText="1"/>
    </xf>
    <xf numFmtId="172" fontId="15" fillId="0" borderId="1" xfId="1280" quotePrefix="1" applyNumberFormat="1" applyFont="1" applyBorder="1" applyAlignment="1">
      <alignment horizontal="center" vertical="center" wrapText="1"/>
    </xf>
    <xf numFmtId="172" fontId="13" fillId="0" borderId="1" xfId="1280" quotePrefix="1" applyNumberFormat="1" applyFont="1" applyBorder="1" applyAlignment="1">
      <alignment horizontal="center" vertical="center" wrapText="1"/>
    </xf>
    <xf numFmtId="0" fontId="29" fillId="0" borderId="0" xfId="1280" applyFont="1" applyAlignment="1">
      <alignment vertical="center"/>
    </xf>
    <xf numFmtId="0" fontId="5" fillId="0" borderId="0" xfId="1280" applyFont="1"/>
    <xf numFmtId="173" fontId="5" fillId="0" borderId="0" xfId="658" applyNumberFormat="1" applyFont="1" applyFill="1"/>
    <xf numFmtId="0" fontId="15" fillId="0" borderId="1" xfId="1280" applyFont="1" applyBorder="1" applyAlignment="1">
      <alignment horizontal="center" vertical="center"/>
    </xf>
    <xf numFmtId="0" fontId="15" fillId="0" borderId="1" xfId="1280" applyFont="1" applyBorder="1" applyAlignment="1">
      <alignment vertical="center"/>
    </xf>
    <xf numFmtId="171" fontId="15" fillId="0" borderId="1" xfId="658" applyNumberFormat="1" applyFont="1" applyFill="1" applyBorder="1" applyAlignment="1">
      <alignment vertical="center"/>
    </xf>
    <xf numFmtId="0" fontId="15" fillId="0" borderId="0" xfId="1280" applyFont="1"/>
    <xf numFmtId="0" fontId="8" fillId="0" borderId="0" xfId="0" applyFont="1" applyAlignment="1">
      <alignment vertical="center"/>
    </xf>
    <xf numFmtId="3" fontId="12" fillId="0" borderId="1" xfId="658" applyNumberFormat="1" applyFont="1" applyFill="1" applyBorder="1" applyAlignment="1">
      <alignment horizontal="right" vertical="center" wrapText="1"/>
    </xf>
    <xf numFmtId="171" fontId="32" fillId="0" borderId="0" xfId="658" applyNumberFormat="1" applyFont="1" applyFill="1" applyBorder="1"/>
    <xf numFmtId="171" fontId="12" fillId="0" borderId="0" xfId="658" applyNumberFormat="1" applyFont="1" applyFill="1" applyBorder="1" applyAlignment="1">
      <alignment horizontal="center"/>
    </xf>
    <xf numFmtId="171" fontId="12" fillId="0" borderId="0" xfId="658" applyNumberFormat="1" applyFont="1" applyFill="1" applyBorder="1"/>
    <xf numFmtId="171" fontId="8" fillId="0" borderId="0" xfId="658" applyNumberFormat="1" applyFont="1" applyFill="1" applyBorder="1" applyAlignment="1">
      <alignment horizontal="center"/>
    </xf>
    <xf numFmtId="171" fontId="8" fillId="0" borderId="0" xfId="658" applyNumberFormat="1" applyFont="1" applyFill="1" applyBorder="1" applyAlignment="1">
      <alignment horizontal="left"/>
    </xf>
    <xf numFmtId="171" fontId="5" fillId="0" borderId="0" xfId="658" applyNumberFormat="1" applyFont="1" applyFill="1" applyBorder="1" applyAlignment="1">
      <alignment horizontal="left"/>
    </xf>
    <xf numFmtId="173" fontId="8" fillId="0" borderId="0" xfId="658" applyNumberFormat="1" applyFont="1" applyFill="1"/>
    <xf numFmtId="0" fontId="12" fillId="23" borderId="0" xfId="0" applyFont="1" applyFill="1" applyAlignment="1">
      <alignment vertical="center"/>
    </xf>
    <xf numFmtId="0" fontId="5" fillId="0" borderId="0" xfId="1453" applyFont="1" applyAlignment="1">
      <alignment vertical="center"/>
    </xf>
    <xf numFmtId="184" fontId="5" fillId="0" borderId="0" xfId="1453" applyNumberFormat="1" applyFont="1" applyAlignment="1">
      <alignment horizontal="right" vertical="center"/>
    </xf>
    <xf numFmtId="184" fontId="8" fillId="0" borderId="28" xfId="1453" applyNumberFormat="1" applyFont="1" applyBorder="1" applyAlignment="1">
      <alignment horizontal="right" vertical="center"/>
    </xf>
    <xf numFmtId="0" fontId="8" fillId="0" borderId="28" xfId="1453" quotePrefix="1" applyFont="1" applyBorder="1" applyAlignment="1">
      <alignment horizontal="center" vertical="center"/>
    </xf>
    <xf numFmtId="184" fontId="12" fillId="0" borderId="29" xfId="1453" applyNumberFormat="1" applyFont="1" applyBorder="1" applyAlignment="1">
      <alignment horizontal="right" vertical="center"/>
    </xf>
    <xf numFmtId="0" fontId="12" fillId="0" borderId="29" xfId="1453" applyFont="1" applyBorder="1" applyAlignment="1">
      <alignment vertical="center"/>
    </xf>
    <xf numFmtId="0" fontId="12" fillId="0" borderId="29" xfId="1453" applyFont="1" applyBorder="1" applyAlignment="1">
      <alignment horizontal="center" vertical="center"/>
    </xf>
    <xf numFmtId="184" fontId="8" fillId="0" borderId="29" xfId="1453" applyNumberFormat="1" applyFont="1" applyBorder="1" applyAlignment="1">
      <alignment horizontal="right" vertical="center"/>
    </xf>
    <xf numFmtId="0" fontId="8" fillId="0" borderId="29" xfId="1453" applyFont="1" applyBorder="1" applyAlignment="1">
      <alignment vertical="center"/>
    </xf>
    <xf numFmtId="0" fontId="8" fillId="0" borderId="29" xfId="1453" quotePrefix="1" applyFont="1" applyBorder="1" applyAlignment="1">
      <alignment horizontal="center" vertical="center"/>
    </xf>
    <xf numFmtId="0" fontId="5" fillId="23" borderId="0" xfId="1453" applyFont="1" applyFill="1" applyAlignment="1">
      <alignment vertical="center"/>
    </xf>
    <xf numFmtId="184" fontId="12" fillId="23" borderId="29" xfId="1453" applyNumberFormat="1" applyFont="1" applyFill="1" applyBorder="1" applyAlignment="1">
      <alignment horizontal="right" vertical="center"/>
    </xf>
    <xf numFmtId="0" fontId="12" fillId="23" borderId="29" xfId="1453" applyFont="1" applyFill="1" applyBorder="1" applyAlignment="1">
      <alignment vertical="center"/>
    </xf>
    <xf numFmtId="0" fontId="12" fillId="23" borderId="29" xfId="1453" applyFont="1" applyFill="1" applyBorder="1" applyAlignment="1">
      <alignment horizontal="center" vertical="center"/>
    </xf>
    <xf numFmtId="0" fontId="8" fillId="0" borderId="29" xfId="1453" applyFont="1" applyBorder="1" applyAlignment="1">
      <alignment horizontal="center" vertical="center"/>
    </xf>
    <xf numFmtId="0" fontId="15" fillId="0" borderId="0" xfId="1453" applyFont="1" applyAlignment="1">
      <alignment vertical="center"/>
    </xf>
    <xf numFmtId="0" fontId="12" fillId="0" borderId="29" xfId="1453" quotePrefix="1" applyFont="1" applyBorder="1" applyAlignment="1">
      <alignment horizontal="center" vertical="center"/>
    </xf>
    <xf numFmtId="0" fontId="15" fillId="23" borderId="0" xfId="1453" applyFont="1" applyFill="1" applyAlignment="1">
      <alignment vertical="center"/>
    </xf>
    <xf numFmtId="184" fontId="15" fillId="23" borderId="0" xfId="1453" applyNumberFormat="1" applyFont="1" applyFill="1" applyAlignment="1">
      <alignment vertical="center"/>
    </xf>
    <xf numFmtId="184" fontId="8" fillId="23" borderId="29" xfId="1453" applyNumberFormat="1" applyFont="1" applyFill="1" applyBorder="1" applyAlignment="1">
      <alignment horizontal="right" vertical="center"/>
    </xf>
    <xf numFmtId="0" fontId="8" fillId="23" borderId="29" xfId="1453" applyFont="1" applyFill="1" applyBorder="1" applyAlignment="1">
      <alignment vertical="center"/>
    </xf>
    <xf numFmtId="0" fontId="8" fillId="23" borderId="29" xfId="1453" applyFont="1" applyFill="1" applyBorder="1" applyAlignment="1">
      <alignment horizontal="center" vertical="center"/>
    </xf>
    <xf numFmtId="184" fontId="15" fillId="0" borderId="0" xfId="1453" applyNumberFormat="1" applyFont="1" applyAlignment="1">
      <alignment vertical="center"/>
    </xf>
    <xf numFmtId="0" fontId="12" fillId="0" borderId="29" xfId="1453" applyFont="1" applyBorder="1" applyAlignment="1">
      <alignment vertical="center" wrapText="1"/>
    </xf>
    <xf numFmtId="184" fontId="5" fillId="0" borderId="0" xfId="1453" applyNumberFormat="1" applyFont="1" applyAlignment="1">
      <alignment vertical="center"/>
    </xf>
    <xf numFmtId="169" fontId="15" fillId="0" borderId="0" xfId="1453" applyNumberFormat="1" applyFont="1" applyAlignment="1">
      <alignment vertical="center"/>
    </xf>
    <xf numFmtId="169" fontId="5" fillId="0" borderId="0" xfId="484" applyFont="1" applyBorder="1" applyAlignment="1">
      <alignment horizontal="right" vertical="center"/>
    </xf>
    <xf numFmtId="169" fontId="5" fillId="0" borderId="0" xfId="484" applyFont="1" applyFill="1" applyBorder="1" applyAlignment="1">
      <alignment horizontal="right" vertical="center"/>
    </xf>
    <xf numFmtId="184" fontId="12" fillId="0" borderId="12" xfId="1453" applyNumberFormat="1" applyFont="1" applyBorder="1" applyAlignment="1">
      <alignment horizontal="right" vertical="center"/>
    </xf>
    <xf numFmtId="0" fontId="12" fillId="0" borderId="12" xfId="1453" applyFont="1" applyBorder="1" applyAlignment="1">
      <alignment horizontal="center" vertical="center"/>
    </xf>
    <xf numFmtId="169" fontId="5" fillId="0" borderId="0" xfId="484" applyFont="1" applyFill="1" applyAlignment="1">
      <alignment horizontal="right" vertical="center"/>
    </xf>
    <xf numFmtId="0" fontId="12" fillId="0" borderId="1" xfId="1453" applyFont="1" applyBorder="1" applyAlignment="1">
      <alignment horizontal="center" vertical="center" wrapText="1"/>
    </xf>
    <xf numFmtId="178" fontId="8" fillId="23" borderId="0" xfId="484" applyNumberFormat="1" applyFont="1" applyFill="1"/>
    <xf numFmtId="169" fontId="8" fillId="23" borderId="0" xfId="484" applyFont="1" applyFill="1"/>
    <xf numFmtId="0" fontId="8" fillId="23" borderId="0" xfId="0" applyFont="1" applyFill="1"/>
    <xf numFmtId="0" fontId="8" fillId="23" borderId="0" xfId="0" applyFont="1" applyFill="1" applyAlignment="1">
      <alignment horizontal="center"/>
    </xf>
    <xf numFmtId="0" fontId="12" fillId="23" borderId="0" xfId="0" applyFont="1" applyFill="1"/>
    <xf numFmtId="178" fontId="12" fillId="23" borderId="0" xfId="484" applyNumberFormat="1" applyFont="1" applyFill="1" applyBorder="1"/>
    <xf numFmtId="169" fontId="12" fillId="23" borderId="0" xfId="484" applyFont="1" applyFill="1" applyBorder="1"/>
    <xf numFmtId="0" fontId="12" fillId="23" borderId="0" xfId="0" applyFont="1" applyFill="1" applyAlignment="1">
      <alignment horizontal="center"/>
    </xf>
    <xf numFmtId="178" fontId="8" fillId="23" borderId="0" xfId="484" applyNumberFormat="1" applyFont="1" applyFill="1" applyBorder="1"/>
    <xf numFmtId="169" fontId="8" fillId="23" borderId="0" xfId="484" applyFont="1" applyFill="1" applyBorder="1"/>
    <xf numFmtId="0" fontId="8" fillId="23" borderId="30" xfId="0" applyFont="1" applyFill="1" applyBorder="1" applyAlignment="1">
      <alignment vertical="center" wrapText="1"/>
    </xf>
    <xf numFmtId="0" fontId="12" fillId="23" borderId="30" xfId="0" applyFont="1" applyFill="1" applyBorder="1" applyAlignment="1">
      <alignment vertical="center" wrapText="1"/>
    </xf>
    <xf numFmtId="183" fontId="8" fillId="23" borderId="30" xfId="484" applyNumberFormat="1" applyFont="1" applyFill="1" applyBorder="1" applyAlignment="1">
      <alignment vertical="center" wrapText="1"/>
    </xf>
    <xf numFmtId="0" fontId="8" fillId="23" borderId="30" xfId="0" applyFont="1" applyFill="1" applyBorder="1" applyAlignment="1">
      <alignment horizontal="center" vertical="center" wrapText="1"/>
    </xf>
    <xf numFmtId="170" fontId="41" fillId="23" borderId="30" xfId="1077" applyNumberFormat="1" applyFont="1" applyFill="1" applyBorder="1" applyAlignment="1" applyProtection="1">
      <alignment vertical="center" wrapText="1"/>
      <protection locked="0"/>
    </xf>
    <xf numFmtId="184" fontId="12" fillId="23" borderId="30" xfId="0" applyNumberFormat="1" applyFont="1" applyFill="1" applyBorder="1" applyAlignment="1">
      <alignment vertical="center" wrapText="1"/>
    </xf>
    <xf numFmtId="183" fontId="12" fillId="23" borderId="30" xfId="484" applyNumberFormat="1" applyFont="1" applyFill="1" applyBorder="1" applyAlignment="1">
      <alignment vertical="center" wrapText="1"/>
    </xf>
    <xf numFmtId="0" fontId="12" fillId="23" borderId="30" xfId="0" applyFont="1" applyFill="1" applyBorder="1" applyAlignment="1">
      <alignment horizontal="center" vertical="center" wrapText="1"/>
    </xf>
    <xf numFmtId="0" fontId="8" fillId="23" borderId="30" xfId="0" applyFont="1" applyFill="1" applyBorder="1" applyAlignment="1">
      <alignment horizontal="left" vertical="center" wrapText="1"/>
    </xf>
    <xf numFmtId="170" fontId="8" fillId="23" borderId="30" xfId="1077" applyNumberFormat="1" applyFont="1" applyFill="1" applyBorder="1" applyAlignment="1" applyProtection="1">
      <alignment vertical="center" wrapText="1"/>
      <protection locked="0"/>
    </xf>
    <xf numFmtId="0" fontId="41" fillId="23" borderId="30" xfId="1077" applyFont="1" applyFill="1" applyBorder="1" applyAlignment="1">
      <alignment vertical="center" wrapText="1"/>
    </xf>
    <xf numFmtId="0" fontId="28" fillId="23" borderId="0" xfId="0" applyFont="1" applyFill="1" applyAlignment="1">
      <alignment horizontal="center" vertical="center"/>
    </xf>
    <xf numFmtId="184" fontId="12" fillId="23" borderId="30" xfId="0" applyNumberFormat="1" applyFont="1" applyFill="1" applyBorder="1" applyAlignment="1">
      <alignment horizontal="right" vertical="center" wrapText="1"/>
    </xf>
    <xf numFmtId="183" fontId="12" fillId="23" borderId="30" xfId="484" applyNumberFormat="1" applyFont="1" applyFill="1" applyBorder="1" applyAlignment="1">
      <alignment horizontal="right" vertical="center" wrapText="1"/>
    </xf>
    <xf numFmtId="0" fontId="44" fillId="23" borderId="0" xfId="0" applyFont="1" applyFill="1" applyAlignment="1">
      <alignment horizontal="center" vertical="center"/>
    </xf>
    <xf numFmtId="0" fontId="8" fillId="23" borderId="0" xfId="0" applyFont="1" applyFill="1" applyAlignment="1">
      <alignment vertical="center"/>
    </xf>
    <xf numFmtId="0" fontId="45" fillId="23" borderId="30" xfId="0" applyFont="1" applyFill="1" applyBorder="1" applyAlignment="1">
      <alignment vertical="center" wrapText="1"/>
    </xf>
    <xf numFmtId="0" fontId="45" fillId="23" borderId="30" xfId="0" applyFont="1" applyFill="1" applyBorder="1" applyAlignment="1">
      <alignment horizontal="center" vertical="center" wrapText="1"/>
    </xf>
    <xf numFmtId="0" fontId="45" fillId="23" borderId="0" xfId="0" applyFont="1" applyFill="1" applyAlignment="1">
      <alignment vertical="center"/>
    </xf>
    <xf numFmtId="0" fontId="41" fillId="23" borderId="0" xfId="0" applyFont="1" applyFill="1" applyAlignment="1">
      <alignment vertical="center"/>
    </xf>
    <xf numFmtId="0" fontId="46" fillId="23" borderId="0" xfId="0" applyFont="1" applyFill="1" applyAlignment="1">
      <alignment vertical="center"/>
    </xf>
    <xf numFmtId="0" fontId="46" fillId="23" borderId="30" xfId="0" applyFont="1" applyFill="1" applyBorder="1" applyAlignment="1">
      <alignment vertical="center" wrapText="1"/>
    </xf>
    <xf numFmtId="183" fontId="45" fillId="23" borderId="30" xfId="484" applyNumberFormat="1" applyFont="1" applyFill="1" applyBorder="1" applyAlignment="1">
      <alignment vertical="center" wrapText="1"/>
    </xf>
    <xf numFmtId="0" fontId="41" fillId="23" borderId="30" xfId="1453" applyFont="1" applyFill="1" applyBorder="1" applyAlignment="1">
      <alignment vertical="center" wrapText="1"/>
    </xf>
    <xf numFmtId="170" fontId="8" fillId="23" borderId="30" xfId="1060" applyNumberFormat="1" applyFont="1" applyFill="1" applyBorder="1" applyAlignment="1" applyProtection="1">
      <alignment vertical="center" wrapText="1"/>
      <protection locked="0"/>
    </xf>
    <xf numFmtId="0" fontId="8" fillId="23" borderId="30" xfId="1060" applyFont="1" applyFill="1" applyBorder="1" applyAlignment="1">
      <alignment horizontal="left" vertical="center" wrapText="1"/>
    </xf>
    <xf numFmtId="0" fontId="8" fillId="23" borderId="30" xfId="1060" applyFont="1" applyFill="1" applyBorder="1" applyAlignment="1">
      <alignment vertical="center" wrapText="1"/>
    </xf>
    <xf numFmtId="170" fontId="49" fillId="23" borderId="30" xfId="1060" applyNumberFormat="1" applyFont="1" applyFill="1" applyBorder="1" applyAlignment="1">
      <alignment vertical="center" wrapText="1"/>
    </xf>
    <xf numFmtId="0" fontId="8" fillId="23" borderId="30" xfId="1108" applyFont="1" applyFill="1" applyBorder="1" applyAlignment="1">
      <alignment horizontal="left" vertical="center" wrapText="1"/>
    </xf>
    <xf numFmtId="0" fontId="8" fillId="23" borderId="30" xfId="1077" applyFont="1" applyFill="1" applyBorder="1" applyAlignment="1">
      <alignment vertical="center" wrapText="1"/>
    </xf>
    <xf numFmtId="0" fontId="8" fillId="23" borderId="30" xfId="1281" applyFont="1" applyFill="1" applyBorder="1" applyAlignment="1">
      <alignment vertical="center" wrapText="1"/>
    </xf>
    <xf numFmtId="0" fontId="8" fillId="23" borderId="30" xfId="1077" applyFont="1" applyFill="1" applyBorder="1" applyAlignment="1">
      <alignment horizontal="left" vertical="center" wrapText="1"/>
    </xf>
    <xf numFmtId="0" fontId="8" fillId="23" borderId="30" xfId="1108" applyFont="1" applyFill="1" applyBorder="1" applyAlignment="1">
      <alignment vertical="center" wrapText="1"/>
    </xf>
    <xf numFmtId="170" fontId="41" fillId="23" borderId="30" xfId="1060" applyNumberFormat="1" applyFont="1" applyFill="1" applyBorder="1" applyAlignment="1" applyProtection="1">
      <alignment vertical="center" wrapText="1"/>
      <protection locked="0"/>
    </xf>
    <xf numFmtId="0" fontId="12" fillId="23" borderId="30" xfId="1060" applyFont="1" applyFill="1" applyBorder="1" applyAlignment="1">
      <alignment vertical="center" wrapText="1"/>
    </xf>
    <xf numFmtId="170" fontId="46" fillId="23" borderId="30" xfId="1060" applyNumberFormat="1" applyFont="1" applyFill="1" applyBorder="1" applyAlignment="1" applyProtection="1">
      <alignment vertical="center" wrapText="1"/>
      <protection locked="0"/>
    </xf>
    <xf numFmtId="170" fontId="34" fillId="23" borderId="30" xfId="1060" applyNumberFormat="1" applyFont="1" applyFill="1" applyBorder="1" applyAlignment="1">
      <alignment vertical="center" wrapText="1"/>
    </xf>
    <xf numFmtId="0" fontId="8" fillId="23" borderId="30" xfId="1282" applyFont="1" applyFill="1" applyBorder="1" applyAlignment="1">
      <alignment vertical="center" wrapText="1"/>
    </xf>
    <xf numFmtId="0" fontId="12" fillId="23" borderId="30" xfId="1108" applyFont="1" applyFill="1" applyBorder="1" applyAlignment="1">
      <alignment vertical="center" wrapText="1"/>
    </xf>
    <xf numFmtId="0" fontId="12" fillId="23" borderId="30" xfId="1108" applyFont="1" applyFill="1" applyBorder="1" applyAlignment="1">
      <alignment horizontal="left" vertical="center" wrapText="1"/>
    </xf>
    <xf numFmtId="0" fontId="12" fillId="23" borderId="30" xfId="1460" applyFont="1" applyFill="1" applyBorder="1" applyAlignment="1">
      <alignment vertical="center" wrapText="1"/>
    </xf>
    <xf numFmtId="0" fontId="8" fillId="23" borderId="30" xfId="1091" applyFont="1" applyFill="1" applyBorder="1" applyAlignment="1">
      <alignment vertical="center" wrapText="1"/>
    </xf>
    <xf numFmtId="0" fontId="8" fillId="23" borderId="30" xfId="1460" applyFont="1" applyFill="1" applyBorder="1" applyAlignment="1">
      <alignment vertical="center" wrapText="1"/>
    </xf>
    <xf numFmtId="0" fontId="8" fillId="23" borderId="30" xfId="1454" applyFont="1" applyFill="1" applyBorder="1" applyAlignment="1">
      <alignment vertical="center" wrapText="1"/>
    </xf>
    <xf numFmtId="1" fontId="8" fillId="23" borderId="30" xfId="1454" applyNumberFormat="1" applyFont="1" applyFill="1" applyBorder="1" applyAlignment="1">
      <alignment vertical="center" wrapText="1"/>
    </xf>
    <xf numFmtId="187" fontId="8" fillId="23" borderId="30" xfId="484" applyNumberFormat="1" applyFont="1" applyFill="1" applyBorder="1" applyAlignment="1">
      <alignment horizontal="left" vertical="center" wrapText="1"/>
    </xf>
    <xf numFmtId="187" fontId="12" fillId="23" borderId="30" xfId="484" applyNumberFormat="1" applyFont="1" applyFill="1" applyBorder="1" applyAlignment="1">
      <alignment horizontal="left" vertical="center" wrapText="1"/>
    </xf>
    <xf numFmtId="0" fontId="12" fillId="23" borderId="30" xfId="1281" applyFont="1" applyFill="1" applyBorder="1" applyAlignment="1">
      <alignment vertical="center" wrapText="1"/>
    </xf>
    <xf numFmtId="0" fontId="12" fillId="23" borderId="30" xfId="0" applyFont="1" applyFill="1" applyBorder="1" applyAlignment="1">
      <alignment horizontal="left" vertical="center" wrapText="1"/>
    </xf>
    <xf numFmtId="1" fontId="12" fillId="23" borderId="30" xfId="0" applyNumberFormat="1" applyFont="1" applyFill="1" applyBorder="1" applyAlignment="1">
      <alignment horizontal="center" vertical="center" wrapText="1"/>
    </xf>
    <xf numFmtId="0" fontId="37" fillId="23" borderId="30" xfId="0" applyFont="1" applyFill="1" applyBorder="1" applyAlignment="1">
      <alignment vertical="center" wrapText="1"/>
    </xf>
    <xf numFmtId="187" fontId="12" fillId="23" borderId="30" xfId="444" applyNumberFormat="1" applyFont="1" applyFill="1" applyBorder="1" applyAlignment="1">
      <alignment horizontal="right" vertical="center" wrapText="1"/>
    </xf>
    <xf numFmtId="0" fontId="12" fillId="23" borderId="30" xfId="1273" applyFont="1" applyFill="1" applyBorder="1" applyAlignment="1">
      <alignment vertical="center" wrapText="1"/>
    </xf>
    <xf numFmtId="0" fontId="50" fillId="23" borderId="0" xfId="0" applyFont="1" applyFill="1"/>
    <xf numFmtId="0" fontId="12" fillId="23" borderId="30" xfId="1273" applyFont="1" applyFill="1" applyBorder="1" applyAlignment="1">
      <alignment horizontal="left" vertical="center" wrapText="1"/>
    </xf>
    <xf numFmtId="1" fontId="12" fillId="23" borderId="30" xfId="1273" applyNumberFormat="1" applyFont="1" applyFill="1" applyBorder="1" applyAlignment="1">
      <alignment horizontal="center" vertical="center" wrapText="1"/>
    </xf>
    <xf numFmtId="183" fontId="12" fillId="23" borderId="0" xfId="0" applyNumberFormat="1" applyFont="1" applyFill="1"/>
    <xf numFmtId="43" fontId="12" fillId="23" borderId="0" xfId="0" applyNumberFormat="1" applyFont="1" applyFill="1"/>
    <xf numFmtId="49" fontId="37" fillId="23" borderId="31" xfId="0" applyNumberFormat="1" applyFont="1" applyFill="1" applyBorder="1" applyAlignment="1">
      <alignment horizontal="center" vertical="center"/>
    </xf>
    <xf numFmtId="49" fontId="37" fillId="23" borderId="31" xfId="484" applyNumberFormat="1" applyFont="1" applyFill="1" applyBorder="1" applyAlignment="1">
      <alignment horizontal="center" vertical="center"/>
    </xf>
    <xf numFmtId="169" fontId="37" fillId="23" borderId="31" xfId="484" applyFont="1" applyFill="1" applyBorder="1" applyAlignment="1">
      <alignment horizontal="center" vertical="center" wrapText="1"/>
    </xf>
    <xf numFmtId="178" fontId="37" fillId="23" borderId="31" xfId="484" applyNumberFormat="1" applyFont="1" applyFill="1" applyBorder="1" applyAlignment="1">
      <alignment horizontal="center" vertical="center" wrapText="1"/>
    </xf>
    <xf numFmtId="178" fontId="37" fillId="23" borderId="31" xfId="484" applyNumberFormat="1" applyFont="1" applyFill="1" applyBorder="1" applyAlignment="1">
      <alignment horizontal="center" vertical="center"/>
    </xf>
    <xf numFmtId="0" fontId="37" fillId="23" borderId="31" xfId="0" applyFont="1" applyFill="1" applyBorder="1" applyAlignment="1">
      <alignment horizontal="center" vertical="center"/>
    </xf>
    <xf numFmtId="178" fontId="12" fillId="23" borderId="31" xfId="484" applyNumberFormat="1" applyFont="1" applyFill="1" applyBorder="1" applyAlignment="1">
      <alignment horizontal="center" vertical="center" wrapText="1"/>
    </xf>
    <xf numFmtId="169" fontId="12" fillId="23" borderId="31" xfId="484" applyFont="1" applyFill="1" applyBorder="1" applyAlignment="1">
      <alignment horizontal="center" vertical="center" wrapText="1"/>
    </xf>
    <xf numFmtId="176" fontId="8" fillId="0" borderId="29" xfId="0" applyNumberFormat="1" applyFont="1" applyBorder="1" applyAlignment="1">
      <alignment horizontal="left" vertical="center" wrapText="1"/>
    </xf>
    <xf numFmtId="0" fontId="8" fillId="0" borderId="28" xfId="1453" applyFont="1" applyBorder="1" applyAlignment="1">
      <alignment vertical="center" wrapText="1"/>
    </xf>
    <xf numFmtId="0" fontId="8" fillId="0" borderId="12" xfId="1453" applyFont="1" applyBorder="1" applyAlignment="1">
      <alignment vertical="center"/>
    </xf>
    <xf numFmtId="0" fontId="12" fillId="23" borderId="32" xfId="0" applyFont="1" applyFill="1" applyBorder="1" applyAlignment="1">
      <alignment horizontal="center" vertical="center" wrapText="1"/>
    </xf>
    <xf numFmtId="0" fontId="12" fillId="23" borderId="32" xfId="0" applyFont="1" applyFill="1" applyBorder="1" applyAlignment="1">
      <alignment vertical="center" wrapText="1"/>
    </xf>
    <xf numFmtId="183" fontId="12" fillId="23" borderId="32" xfId="484" applyNumberFormat="1" applyFont="1" applyFill="1" applyBorder="1" applyAlignment="1">
      <alignment horizontal="right" vertical="center" wrapText="1"/>
    </xf>
    <xf numFmtId="178" fontId="8" fillId="23" borderId="30" xfId="484" applyNumberFormat="1" applyFont="1" applyFill="1" applyBorder="1" applyAlignment="1">
      <alignment vertical="center" wrapText="1"/>
    </xf>
    <xf numFmtId="0" fontId="8" fillId="23" borderId="30" xfId="1132" applyFill="1" applyBorder="1" applyAlignment="1">
      <alignment horizontal="center" vertical="center" wrapText="1"/>
    </xf>
    <xf numFmtId="0" fontId="8" fillId="23" borderId="30" xfId="1132" applyFill="1" applyBorder="1" applyAlignment="1">
      <alignment vertical="center" wrapText="1"/>
    </xf>
    <xf numFmtId="0" fontId="12" fillId="23" borderId="30" xfId="1273" applyFont="1" applyFill="1" applyBorder="1" applyAlignment="1">
      <alignment horizontal="center" vertical="center" wrapText="1"/>
    </xf>
    <xf numFmtId="178" fontId="8" fillId="23" borderId="30" xfId="484" applyNumberFormat="1" applyFont="1" applyFill="1" applyBorder="1" applyAlignment="1">
      <alignment horizontal="right" vertical="center" wrapText="1"/>
    </xf>
    <xf numFmtId="0" fontId="3" fillId="23" borderId="30" xfId="0" applyFont="1" applyFill="1" applyBorder="1" applyAlignment="1">
      <alignment horizontal="center" vertical="center" wrapText="1"/>
    </xf>
    <xf numFmtId="0" fontId="37" fillId="23" borderId="30" xfId="0" applyFont="1" applyFill="1" applyBorder="1" applyAlignment="1">
      <alignment horizontal="center" vertical="center" wrapText="1"/>
    </xf>
    <xf numFmtId="183" fontId="8" fillId="23" borderId="30" xfId="0" applyNumberFormat="1" applyFont="1" applyFill="1" applyBorder="1" applyAlignment="1">
      <alignment vertical="center" wrapText="1"/>
    </xf>
    <xf numFmtId="183" fontId="12" fillId="23" borderId="30" xfId="0" applyNumberFormat="1" applyFont="1" applyFill="1" applyBorder="1" applyAlignment="1">
      <alignment vertical="center" wrapText="1"/>
    </xf>
    <xf numFmtId="169" fontId="12" fillId="23" borderId="30" xfId="484" applyFont="1" applyFill="1" applyBorder="1" applyAlignment="1">
      <alignment vertical="center" wrapText="1"/>
    </xf>
    <xf numFmtId="0" fontId="12" fillId="23" borderId="30" xfId="1077" applyFont="1" applyFill="1" applyBorder="1" applyAlignment="1">
      <alignment horizontal="center" vertical="center" wrapText="1"/>
    </xf>
    <xf numFmtId="0" fontId="12" fillId="23" borderId="30" xfId="1060" applyFont="1" applyFill="1" applyBorder="1" applyAlignment="1">
      <alignment horizontal="left" vertical="center" wrapText="1"/>
    </xf>
    <xf numFmtId="184" fontId="12" fillId="23" borderId="30" xfId="1077" applyNumberFormat="1" applyFont="1" applyFill="1" applyBorder="1" applyAlignment="1">
      <alignment horizontal="right" vertical="center" wrapText="1"/>
    </xf>
    <xf numFmtId="184" fontId="12" fillId="23" borderId="30" xfId="1077" applyNumberFormat="1" applyFont="1" applyFill="1" applyBorder="1" applyAlignment="1">
      <alignment vertical="center" wrapText="1"/>
    </xf>
    <xf numFmtId="184" fontId="8" fillId="23" borderId="30" xfId="1077" applyNumberFormat="1" applyFont="1" applyFill="1" applyBorder="1" applyAlignment="1">
      <alignment vertical="center" wrapText="1"/>
    </xf>
    <xf numFmtId="183" fontId="6" fillId="23" borderId="30" xfId="484" applyNumberFormat="1" applyFont="1" applyFill="1" applyBorder="1" applyAlignment="1">
      <alignment vertical="center" wrapText="1"/>
    </xf>
    <xf numFmtId="183" fontId="36" fillId="23" borderId="30" xfId="484" applyNumberFormat="1" applyFont="1" applyFill="1" applyBorder="1" applyAlignment="1">
      <alignment vertical="center" wrapText="1"/>
    </xf>
    <xf numFmtId="0" fontId="12" fillId="23" borderId="30" xfId="1077" applyFont="1" applyFill="1" applyBorder="1" applyAlignment="1">
      <alignment horizontal="left" vertical="center" wrapText="1"/>
    </xf>
    <xf numFmtId="0" fontId="12" fillId="23" borderId="30" xfId="1077" applyFont="1" applyFill="1" applyBorder="1" applyAlignment="1">
      <alignment vertical="center" wrapText="1"/>
    </xf>
    <xf numFmtId="184" fontId="8" fillId="23" borderId="30" xfId="902" applyNumberFormat="1" applyFont="1" applyFill="1" applyBorder="1" applyAlignment="1">
      <alignment vertical="center" wrapText="1"/>
    </xf>
    <xf numFmtId="0" fontId="46" fillId="23" borderId="30" xfId="0" applyFont="1" applyFill="1" applyBorder="1" applyAlignment="1">
      <alignment horizontal="center" vertical="center" wrapText="1"/>
    </xf>
    <xf numFmtId="183" fontId="46" fillId="23" borderId="30" xfId="484" applyNumberFormat="1" applyFont="1" applyFill="1" applyBorder="1" applyAlignment="1">
      <alignment vertical="center" wrapText="1"/>
    </xf>
    <xf numFmtId="0" fontId="41" fillId="23" borderId="30" xfId="0" applyFont="1" applyFill="1" applyBorder="1" applyAlignment="1">
      <alignment horizontal="center" vertical="center" wrapText="1"/>
    </xf>
    <xf numFmtId="0" fontId="8" fillId="23" borderId="30" xfId="0" quotePrefix="1" applyFont="1" applyFill="1" applyBorder="1" applyAlignment="1">
      <alignment horizontal="center" vertical="center" wrapText="1"/>
    </xf>
    <xf numFmtId="170" fontId="8" fillId="23" borderId="30" xfId="0" applyNumberFormat="1" applyFont="1" applyFill="1" applyBorder="1" applyAlignment="1" applyProtection="1">
      <alignment vertical="center" wrapText="1"/>
      <protection locked="0"/>
    </xf>
    <xf numFmtId="43" fontId="8" fillId="23" borderId="30" xfId="484" applyNumberFormat="1" applyFont="1" applyFill="1" applyBorder="1" applyAlignment="1">
      <alignment vertical="center" wrapText="1"/>
    </xf>
    <xf numFmtId="0" fontId="8" fillId="23" borderId="33" xfId="0" applyFont="1" applyFill="1" applyBorder="1" applyAlignment="1">
      <alignment horizontal="center" vertical="center" wrapText="1"/>
    </xf>
    <xf numFmtId="0" fontId="8" fillId="23" borderId="33" xfId="0" applyFont="1" applyFill="1" applyBorder="1" applyAlignment="1">
      <alignment vertical="center" wrapText="1"/>
    </xf>
    <xf numFmtId="170" fontId="8" fillId="23" borderId="33" xfId="0" applyNumberFormat="1" applyFont="1" applyFill="1" applyBorder="1" applyAlignment="1" applyProtection="1">
      <alignment vertical="center" wrapText="1"/>
      <protection locked="0"/>
    </xf>
    <xf numFmtId="183" fontId="8" fillId="23" borderId="33" xfId="484" applyNumberFormat="1" applyFont="1" applyFill="1" applyBorder="1" applyAlignment="1">
      <alignment horizontal="right" vertical="center" wrapText="1"/>
    </xf>
    <xf numFmtId="0" fontId="11" fillId="0" borderId="0" xfId="0" applyFont="1" applyAlignment="1">
      <alignment vertical="center"/>
    </xf>
    <xf numFmtId="0" fontId="38" fillId="0" borderId="1" xfId="1141" applyFont="1" applyBorder="1" applyAlignment="1">
      <alignment horizontal="center" vertical="center"/>
    </xf>
    <xf numFmtId="49" fontId="38" fillId="0" borderId="1" xfId="1461" applyNumberFormat="1" applyFont="1" applyBorder="1" applyAlignment="1">
      <alignment horizontal="center" vertical="center" wrapText="1"/>
    </xf>
    <xf numFmtId="49" fontId="3" fillId="0" borderId="1" xfId="1461" applyNumberFormat="1" applyFont="1" applyBorder="1" applyAlignment="1">
      <alignment horizontal="center" vertical="center" wrapText="1"/>
    </xf>
    <xf numFmtId="178" fontId="3" fillId="0" borderId="1" xfId="277" applyNumberFormat="1" applyFont="1" applyFill="1" applyBorder="1" applyAlignment="1">
      <alignment horizontal="center" vertical="center" wrapText="1"/>
    </xf>
    <xf numFmtId="178" fontId="52" fillId="0" borderId="0" xfId="277" applyNumberFormat="1" applyFont="1" applyFill="1"/>
    <xf numFmtId="0" fontId="52" fillId="0" borderId="0" xfId="1078" applyFont="1"/>
    <xf numFmtId="0" fontId="38" fillId="0" borderId="0" xfId="0" applyFont="1" applyAlignment="1">
      <alignment vertical="center"/>
    </xf>
    <xf numFmtId="0" fontId="9" fillId="23" borderId="12" xfId="1141" applyFont="1" applyFill="1" applyBorder="1" applyAlignment="1">
      <alignment horizontal="center" vertical="center" wrapText="1"/>
    </xf>
    <xf numFmtId="49" fontId="9" fillId="23" borderId="12" xfId="1461" applyNumberFormat="1" applyFont="1" applyFill="1" applyBorder="1" applyAlignment="1">
      <alignment horizontal="center" vertical="center" wrapText="1"/>
    </xf>
    <xf numFmtId="0" fontId="9" fillId="23" borderId="12" xfId="1122" applyFont="1" applyFill="1" applyBorder="1" applyAlignment="1">
      <alignment horizontal="center" vertical="center" wrapText="1"/>
    </xf>
    <xf numFmtId="169" fontId="9" fillId="23" borderId="12" xfId="875" applyNumberFormat="1" applyFont="1" applyFill="1" applyBorder="1" applyAlignment="1">
      <alignment horizontal="right" vertical="center" wrapText="1"/>
    </xf>
    <xf numFmtId="0" fontId="9" fillId="23" borderId="29" xfId="1141" applyFont="1" applyFill="1" applyBorder="1" applyAlignment="1">
      <alignment horizontal="center" vertical="center" wrapText="1"/>
    </xf>
    <xf numFmtId="49" fontId="9" fillId="23" borderId="29" xfId="1461" applyNumberFormat="1" applyFont="1" applyFill="1" applyBorder="1" applyAlignment="1">
      <alignment horizontal="left" vertical="center" wrapText="1"/>
    </xf>
    <xf numFmtId="49" fontId="9" fillId="23" borderId="29" xfId="1461" applyNumberFormat="1" applyFont="1" applyFill="1" applyBorder="1" applyAlignment="1">
      <alignment horizontal="center" vertical="center" wrapText="1"/>
    </xf>
    <xf numFmtId="0" fontId="9" fillId="23" borderId="29" xfId="1122" applyFont="1" applyFill="1" applyBorder="1" applyAlignment="1">
      <alignment horizontal="center" vertical="center" wrapText="1"/>
    </xf>
    <xf numFmtId="169" fontId="9" fillId="23" borderId="29" xfId="875" applyNumberFormat="1" applyFont="1" applyFill="1" applyBorder="1" applyAlignment="1">
      <alignment horizontal="right" vertical="center" wrapText="1"/>
    </xf>
    <xf numFmtId="0" fontId="11" fillId="23" borderId="29" xfId="1141" applyFont="1" applyFill="1" applyBorder="1" applyAlignment="1">
      <alignment horizontal="center" vertical="center" wrapText="1"/>
    </xf>
    <xf numFmtId="0" fontId="11" fillId="23" borderId="29" xfId="1388" applyFont="1" applyFill="1" applyBorder="1" applyAlignment="1">
      <alignment vertical="center" wrapText="1"/>
    </xf>
    <xf numFmtId="184" fontId="11" fillId="23" borderId="29" xfId="1388" applyNumberFormat="1" applyFont="1" applyFill="1" applyBorder="1" applyAlignment="1">
      <alignment horizontal="center" vertical="center" wrapText="1"/>
    </xf>
    <xf numFmtId="0" fontId="11" fillId="23" borderId="29" xfId="1122" applyFont="1" applyFill="1" applyBorder="1" applyAlignment="1">
      <alignment horizontal="center" vertical="center" wrapText="1"/>
    </xf>
    <xf numFmtId="169" fontId="11" fillId="23" borderId="29" xfId="875" applyNumberFormat="1" applyFont="1" applyFill="1" applyBorder="1" applyAlignment="1">
      <alignment horizontal="right" vertical="center" wrapText="1"/>
    </xf>
    <xf numFmtId="43" fontId="11" fillId="23" borderId="29" xfId="277" applyFont="1" applyFill="1" applyBorder="1" applyAlignment="1">
      <alignment horizontal="center" vertical="center" wrapText="1"/>
    </xf>
    <xf numFmtId="0" fontId="11" fillId="23" borderId="29" xfId="1122" applyFont="1" applyFill="1" applyBorder="1" applyAlignment="1">
      <alignment vertical="center" wrapText="1"/>
    </xf>
    <xf numFmtId="0" fontId="11" fillId="23" borderId="29" xfId="1388" applyFont="1" applyFill="1" applyBorder="1" applyAlignment="1">
      <alignment horizontal="center" vertical="center" wrapText="1"/>
    </xf>
    <xf numFmtId="0" fontId="11" fillId="23" borderId="29" xfId="1461" applyFont="1" applyFill="1" applyBorder="1" applyAlignment="1">
      <alignment horizontal="center" vertical="center" wrapText="1"/>
    </xf>
    <xf numFmtId="43" fontId="11" fillId="23" borderId="29" xfId="277" quotePrefix="1" applyFont="1" applyFill="1" applyBorder="1" applyAlignment="1">
      <alignment horizontal="center" vertical="center" wrapText="1"/>
    </xf>
    <xf numFmtId="0" fontId="11" fillId="23" borderId="29" xfId="1461" applyFont="1" applyFill="1" applyBorder="1" applyAlignment="1">
      <alignment horizontal="left" vertical="center" wrapText="1"/>
    </xf>
    <xf numFmtId="0" fontId="11" fillId="23" borderId="29" xfId="1141" applyFont="1" applyFill="1" applyBorder="1" applyAlignment="1">
      <alignment horizontal="left" vertical="center" wrapText="1"/>
    </xf>
    <xf numFmtId="43" fontId="11" fillId="23" borderId="29" xfId="277" applyFont="1" applyFill="1" applyBorder="1" applyAlignment="1">
      <alignment horizontal="left" vertical="center" wrapText="1"/>
    </xf>
    <xf numFmtId="49" fontId="11" fillId="23" borderId="29" xfId="1461" applyNumberFormat="1" applyFont="1" applyFill="1" applyBorder="1" applyAlignment="1">
      <alignment horizontal="center" vertical="center" wrapText="1"/>
    </xf>
    <xf numFmtId="0" fontId="11" fillId="0" borderId="29" xfId="1141" applyFont="1" applyBorder="1" applyAlignment="1">
      <alignment horizontal="center" vertical="center" wrapText="1"/>
    </xf>
    <xf numFmtId="0" fontId="11" fillId="0" borderId="29" xfId="1078" applyFont="1" applyBorder="1" applyAlignment="1">
      <alignment horizontal="left" vertical="center" wrapText="1"/>
    </xf>
    <xf numFmtId="0" fontId="11" fillId="23" borderId="29" xfId="1078" applyFont="1" applyFill="1" applyBorder="1" applyAlignment="1">
      <alignment horizontal="left" vertical="center" wrapText="1"/>
    </xf>
    <xf numFmtId="1" fontId="11" fillId="23" borderId="29" xfId="1388" applyNumberFormat="1" applyFont="1" applyFill="1" applyBorder="1" applyAlignment="1">
      <alignment horizontal="center" vertical="center" wrapText="1"/>
    </xf>
    <xf numFmtId="0" fontId="9" fillId="23" borderId="29" xfId="1141" applyFont="1" applyFill="1" applyBorder="1" applyAlignment="1">
      <alignment horizontal="left" vertical="center" wrapText="1"/>
    </xf>
    <xf numFmtId="0" fontId="11" fillId="23" borderId="29" xfId="1122" applyFont="1" applyFill="1" applyBorder="1" applyAlignment="1">
      <alignment horizontal="left" vertical="center" wrapText="1"/>
    </xf>
    <xf numFmtId="0" fontId="11" fillId="23" borderId="29" xfId="1078" applyFont="1" applyFill="1" applyBorder="1" applyAlignment="1">
      <alignment horizontal="justify" vertical="center" wrapText="1"/>
    </xf>
    <xf numFmtId="178" fontId="11" fillId="23" borderId="29" xfId="239" applyNumberFormat="1" applyFont="1" applyFill="1" applyBorder="1" applyAlignment="1">
      <alignment horizontal="right" vertical="center" wrapText="1"/>
    </xf>
    <xf numFmtId="0" fontId="11" fillId="23" borderId="29" xfId="1078" applyFont="1" applyFill="1" applyBorder="1" applyAlignment="1">
      <alignment vertical="center" wrapText="1"/>
    </xf>
    <xf numFmtId="0" fontId="11" fillId="23" borderId="29" xfId="1078" applyFont="1" applyFill="1" applyBorder="1" applyAlignment="1">
      <alignment horizontal="center" vertical="center" wrapText="1"/>
    </xf>
    <xf numFmtId="2" fontId="11" fillId="23" borderId="29" xfId="1386" applyNumberFormat="1" applyFont="1" applyFill="1" applyBorder="1" applyAlignment="1">
      <alignment horizontal="center" vertical="center" wrapText="1"/>
    </xf>
    <xf numFmtId="178" fontId="11" fillId="23" borderId="29" xfId="277" applyNumberFormat="1" applyFont="1" applyFill="1" applyBorder="1" applyAlignment="1">
      <alignment vertical="center" wrapText="1"/>
    </xf>
    <xf numFmtId="169" fontId="11" fillId="23" borderId="29" xfId="875" applyNumberFormat="1" applyFont="1" applyFill="1" applyBorder="1" applyAlignment="1">
      <alignment horizontal="center" vertical="center" wrapText="1"/>
    </xf>
    <xf numFmtId="2" fontId="11" fillId="23" borderId="29" xfId="1379" applyNumberFormat="1" applyFont="1" applyFill="1" applyBorder="1" applyAlignment="1">
      <alignment vertical="center" wrapText="1"/>
    </xf>
    <xf numFmtId="2" fontId="11" fillId="23" borderId="29" xfId="1382" applyNumberFormat="1" applyFont="1" applyFill="1" applyBorder="1" applyAlignment="1">
      <alignment horizontal="center" vertical="center" wrapText="1"/>
    </xf>
    <xf numFmtId="2" fontId="11" fillId="23" borderId="29" xfId="1397" applyNumberFormat="1" applyFont="1" applyFill="1" applyBorder="1" applyAlignment="1">
      <alignment horizontal="center" vertical="center" wrapText="1"/>
    </xf>
    <xf numFmtId="2" fontId="11" fillId="23" borderId="29" xfId="1397" applyNumberFormat="1" applyFont="1" applyFill="1" applyBorder="1" applyAlignment="1">
      <alignment horizontal="left" vertical="center" wrapText="1"/>
    </xf>
    <xf numFmtId="1" fontId="11" fillId="23" borderId="29" xfId="1461" applyNumberFormat="1" applyFont="1" applyFill="1" applyBorder="1" applyAlignment="1">
      <alignment horizontal="center" vertical="center" wrapText="1"/>
    </xf>
    <xf numFmtId="1" fontId="11" fillId="23" borderId="29" xfId="1386" applyNumberFormat="1" applyFont="1" applyFill="1" applyBorder="1" applyAlignment="1">
      <alignment horizontal="center" vertical="center" wrapText="1"/>
    </xf>
    <xf numFmtId="1" fontId="11" fillId="23" borderId="28" xfId="1461" applyNumberFormat="1" applyFont="1" applyFill="1" applyBorder="1" applyAlignment="1">
      <alignment horizontal="center" vertical="center" wrapText="1"/>
    </xf>
    <xf numFmtId="2" fontId="11" fillId="23" borderId="28" xfId="1379" applyNumberFormat="1" applyFont="1" applyFill="1" applyBorder="1" applyAlignment="1">
      <alignment vertical="center" wrapText="1"/>
    </xf>
    <xf numFmtId="0" fontId="11" fillId="23" borderId="28" xfId="1078" applyFont="1" applyFill="1" applyBorder="1" applyAlignment="1">
      <alignment horizontal="center" vertical="center" wrapText="1"/>
    </xf>
    <xf numFmtId="1" fontId="11" fillId="23" borderId="28" xfId="1386" applyNumberFormat="1" applyFont="1" applyFill="1" applyBorder="1" applyAlignment="1">
      <alignment horizontal="center" vertical="center" wrapText="1"/>
    </xf>
    <xf numFmtId="169" fontId="11" fillId="23" borderId="28" xfId="875" applyNumberFormat="1" applyFont="1" applyFill="1" applyBorder="1" applyAlignment="1">
      <alignment horizontal="right" vertical="center" wrapText="1"/>
    </xf>
    <xf numFmtId="0" fontId="11" fillId="23" borderId="28" xfId="1122" applyFont="1" applyFill="1" applyBorder="1" applyAlignment="1">
      <alignment horizontal="center" vertical="center" wrapText="1"/>
    </xf>
    <xf numFmtId="0" fontId="11" fillId="23" borderId="28" xfId="1078" applyFont="1" applyFill="1" applyBorder="1" applyAlignment="1">
      <alignment horizontal="left" vertical="center" wrapText="1"/>
    </xf>
    <xf numFmtId="43" fontId="38" fillId="0" borderId="0" xfId="0" applyNumberFormat="1" applyFont="1" applyAlignment="1">
      <alignment vertical="center"/>
    </xf>
    <xf numFmtId="172" fontId="26" fillId="0" borderId="1" xfId="1280" applyNumberFormat="1" applyFont="1" applyBorder="1" applyAlignment="1">
      <alignment horizontal="center" vertical="center" wrapText="1"/>
    </xf>
    <xf numFmtId="171" fontId="15" fillId="0" borderId="1" xfId="658" applyNumberFormat="1" applyFont="1" applyFill="1" applyBorder="1" applyAlignment="1">
      <alignment horizontal="left" vertical="center" wrapText="1"/>
    </xf>
    <xf numFmtId="0" fontId="38" fillId="0" borderId="0" xfId="0" applyFont="1" applyAlignment="1">
      <alignment horizontal="center" vertical="center"/>
    </xf>
    <xf numFmtId="0" fontId="38" fillId="0" borderId="0" xfId="0" applyFont="1" applyAlignment="1">
      <alignment horizontal="justify" vertical="center"/>
    </xf>
    <xf numFmtId="180" fontId="38" fillId="0" borderId="0" xfId="484" applyNumberFormat="1" applyFont="1" applyFill="1" applyAlignment="1">
      <alignment horizontal="center" vertical="center"/>
    </xf>
    <xf numFmtId="179" fontId="38" fillId="0" borderId="0" xfId="484" applyNumberFormat="1" applyFont="1" applyFill="1" applyAlignment="1">
      <alignment horizontal="right" vertical="center"/>
    </xf>
    <xf numFmtId="169" fontId="38" fillId="0" borderId="0" xfId="484" applyFont="1" applyFill="1" applyAlignment="1">
      <alignment horizontal="right" vertical="center"/>
    </xf>
    <xf numFmtId="179" fontId="3" fillId="0" borderId="26" xfId="484" applyNumberFormat="1" applyFont="1" applyFill="1" applyBorder="1" applyAlignment="1">
      <alignment horizontal="right" vertical="center"/>
    </xf>
    <xf numFmtId="0" fontId="34" fillId="0" borderId="1" xfId="1458" applyFont="1" applyBorder="1" applyAlignment="1">
      <alignment horizontal="center" vertical="center" wrapText="1"/>
    </xf>
    <xf numFmtId="180" fontId="34" fillId="0" borderId="27" xfId="484" applyNumberFormat="1" applyFont="1" applyFill="1" applyBorder="1" applyAlignment="1">
      <alignment horizontal="center" vertical="center"/>
    </xf>
    <xf numFmtId="179" fontId="34" fillId="0" borderId="27" xfId="484" applyNumberFormat="1" applyFont="1" applyFill="1" applyBorder="1" applyAlignment="1">
      <alignment horizontal="center" vertical="center"/>
    </xf>
    <xf numFmtId="179" fontId="34" fillId="0" borderId="27" xfId="484" applyNumberFormat="1" applyFont="1" applyFill="1" applyBorder="1" applyAlignment="1">
      <alignment horizontal="right" vertical="center"/>
    </xf>
    <xf numFmtId="169" fontId="34" fillId="0" borderId="27" xfId="484" applyFont="1" applyFill="1" applyBorder="1" applyAlignment="1">
      <alignment horizontal="center" vertical="center"/>
    </xf>
    <xf numFmtId="179" fontId="34" fillId="0" borderId="27" xfId="484" applyNumberFormat="1" applyFont="1" applyFill="1" applyBorder="1" applyAlignment="1">
      <alignment horizontal="center" vertical="center" wrapText="1"/>
    </xf>
    <xf numFmtId="0" fontId="34" fillId="0" borderId="27" xfId="0" applyFont="1" applyBorder="1" applyAlignment="1">
      <alignment horizontal="center" vertical="center" wrapText="1"/>
    </xf>
    <xf numFmtId="180" fontId="33" fillId="0" borderId="0" xfId="484" applyNumberFormat="1" applyFont="1" applyFill="1" applyBorder="1" applyAlignment="1">
      <alignment horizontal="center" vertical="center"/>
    </xf>
    <xf numFmtId="0" fontId="34" fillId="0" borderId="0" xfId="0" applyFont="1" applyAlignment="1">
      <alignment horizontal="center" vertical="center"/>
    </xf>
    <xf numFmtId="181" fontId="11" fillId="0" borderId="24" xfId="1458" applyNumberFormat="1" applyFont="1" applyBorder="1" applyAlignment="1">
      <alignment horizontal="center" vertical="center" wrapText="1"/>
    </xf>
    <xf numFmtId="181" fontId="9" fillId="0" borderId="24" xfId="1458" applyNumberFormat="1" applyFont="1" applyBorder="1" applyAlignment="1">
      <alignment horizontal="center" vertical="center" wrapText="1"/>
    </xf>
    <xf numFmtId="181" fontId="40" fillId="0" borderId="24" xfId="484" applyNumberFormat="1" applyFont="1" applyFill="1" applyBorder="1" applyAlignment="1">
      <alignment horizontal="right" vertical="center" wrapText="1"/>
    </xf>
    <xf numFmtId="179" fontId="40" fillId="0" borderId="24" xfId="484" applyNumberFormat="1" applyFont="1" applyFill="1" applyBorder="1" applyAlignment="1">
      <alignment horizontal="right" vertical="center" wrapText="1"/>
    </xf>
    <xf numFmtId="179" fontId="38" fillId="0" borderId="24" xfId="0" applyNumberFormat="1" applyFont="1" applyBorder="1" applyAlignment="1">
      <alignment horizontal="justify" vertical="center" wrapText="1"/>
    </xf>
    <xf numFmtId="182" fontId="38" fillId="0" borderId="0" xfId="0" applyNumberFormat="1" applyFont="1" applyAlignment="1">
      <alignment vertical="center" wrapText="1"/>
    </xf>
    <xf numFmtId="0" fontId="38" fillId="0" borderId="0" xfId="0" applyFont="1" applyAlignment="1">
      <alignment vertical="center" wrapText="1"/>
    </xf>
    <xf numFmtId="185" fontId="38" fillId="0" borderId="0" xfId="0" applyNumberFormat="1" applyFont="1" applyAlignment="1">
      <alignment vertical="center" wrapText="1"/>
    </xf>
    <xf numFmtId="179" fontId="38" fillId="0" borderId="0" xfId="0" applyNumberFormat="1" applyFont="1" applyAlignment="1">
      <alignment vertical="center" wrapText="1"/>
    </xf>
    <xf numFmtId="181" fontId="9" fillId="0" borderId="34" xfId="1458" applyNumberFormat="1" applyFont="1" applyBorder="1" applyAlignment="1">
      <alignment horizontal="center" vertical="center" wrapText="1"/>
    </xf>
    <xf numFmtId="181" fontId="9" fillId="0" borderId="34" xfId="1458" applyNumberFormat="1" applyFont="1" applyBorder="1" applyAlignment="1">
      <alignment horizontal="justify" vertical="center" wrapText="1"/>
    </xf>
    <xf numFmtId="181" fontId="40" fillId="0" borderId="34" xfId="484" applyNumberFormat="1" applyFont="1" applyFill="1" applyBorder="1" applyAlignment="1">
      <alignment horizontal="right" vertical="center" wrapText="1"/>
    </xf>
    <xf numFmtId="179" fontId="40" fillId="0" borderId="34" xfId="484" applyNumberFormat="1" applyFont="1" applyFill="1" applyBorder="1" applyAlignment="1">
      <alignment horizontal="right" vertical="center" wrapText="1"/>
    </xf>
    <xf numFmtId="179" fontId="3" fillId="0" borderId="34" xfId="0" applyNumberFormat="1" applyFont="1" applyBorder="1" applyAlignment="1">
      <alignment horizontal="justify" vertical="center" wrapText="1"/>
    </xf>
    <xf numFmtId="0" fontId="3" fillId="0" borderId="0" xfId="0" applyFont="1" applyAlignment="1">
      <alignment vertical="center" wrapText="1"/>
    </xf>
    <xf numFmtId="186" fontId="3" fillId="0" borderId="34" xfId="0" applyNumberFormat="1" applyFont="1" applyBorder="1" applyAlignment="1">
      <alignment horizontal="justify" vertical="center" wrapText="1"/>
    </xf>
    <xf numFmtId="0" fontId="38" fillId="0" borderId="34" xfId="1458" applyFont="1" applyBorder="1" applyAlignment="1">
      <alignment horizontal="justify" vertical="center" wrapText="1"/>
    </xf>
    <xf numFmtId="182" fontId="3" fillId="0" borderId="0" xfId="0" applyNumberFormat="1" applyFont="1" applyAlignment="1">
      <alignment vertical="center" wrapText="1"/>
    </xf>
    <xf numFmtId="181" fontId="11" fillId="0" borderId="34" xfId="0" applyNumberFormat="1" applyFont="1" applyBorder="1" applyAlignment="1">
      <alignment horizontal="center" vertical="center" wrapText="1"/>
    </xf>
    <xf numFmtId="181" fontId="11" fillId="0" borderId="34" xfId="0" applyNumberFormat="1" applyFont="1" applyBorder="1" applyAlignment="1">
      <alignment horizontal="justify" vertical="center" wrapText="1"/>
    </xf>
    <xf numFmtId="183" fontId="39" fillId="0" borderId="34" xfId="484" applyNumberFormat="1" applyFont="1" applyFill="1" applyBorder="1" applyAlignment="1">
      <alignment horizontal="right" vertical="center" wrapText="1"/>
    </xf>
    <xf numFmtId="179" fontId="39" fillId="0" borderId="34" xfId="484" applyNumberFormat="1" applyFont="1" applyFill="1" applyBorder="1" applyAlignment="1">
      <alignment horizontal="right" vertical="center" wrapText="1"/>
    </xf>
    <xf numFmtId="0" fontId="38" fillId="0" borderId="34" xfId="0" applyFont="1" applyBorder="1" applyAlignment="1">
      <alignment horizontal="left" vertical="center" wrapText="1"/>
    </xf>
    <xf numFmtId="183" fontId="40" fillId="0" borderId="34" xfId="484" applyNumberFormat="1" applyFont="1" applyFill="1" applyBorder="1" applyAlignment="1">
      <alignment horizontal="right" vertical="center" wrapText="1"/>
    </xf>
    <xf numFmtId="181" fontId="11" fillId="0" borderId="34" xfId="1458" applyNumberFormat="1" applyFont="1" applyBorder="1" applyAlignment="1">
      <alignment horizontal="justify" vertical="center" wrapText="1"/>
    </xf>
    <xf numFmtId="181" fontId="39" fillId="0" borderId="34" xfId="484" applyNumberFormat="1" applyFont="1" applyFill="1" applyBorder="1" applyAlignment="1">
      <alignment horizontal="right" vertical="center" wrapText="1"/>
    </xf>
    <xf numFmtId="0" fontId="3" fillId="0" borderId="34" xfId="0" applyFont="1" applyBorder="1" applyAlignment="1">
      <alignment horizontal="left" vertical="center" wrapText="1"/>
    </xf>
    <xf numFmtId="181" fontId="11" fillId="0" borderId="34" xfId="1458" applyNumberFormat="1" applyFont="1" applyBorder="1" applyAlignment="1">
      <alignment horizontal="center" vertical="center" wrapText="1"/>
    </xf>
    <xf numFmtId="181" fontId="11" fillId="0" borderId="34" xfId="1458" applyNumberFormat="1" applyFont="1" applyBorder="1" applyAlignment="1">
      <alignment vertical="center" wrapText="1"/>
    </xf>
    <xf numFmtId="185" fontId="39" fillId="0" borderId="34" xfId="484" applyNumberFormat="1" applyFont="1" applyFill="1" applyBorder="1" applyAlignment="1">
      <alignment horizontal="right" vertical="center" wrapText="1"/>
    </xf>
    <xf numFmtId="0" fontId="38" fillId="0" borderId="29" xfId="0" applyFont="1" applyBorder="1" applyAlignment="1">
      <alignment horizontal="left" vertical="center" wrapText="1"/>
    </xf>
    <xf numFmtId="1" fontId="38" fillId="0" borderId="34" xfId="0" applyNumberFormat="1" applyFont="1" applyBorder="1" applyAlignment="1">
      <alignment horizontal="left" vertical="center" wrapText="1"/>
    </xf>
    <xf numFmtId="0" fontId="12" fillId="0" borderId="0" xfId="0" applyFont="1" applyAlignment="1">
      <alignment vertical="center"/>
    </xf>
    <xf numFmtId="0" fontId="38" fillId="0" borderId="34" xfId="1411" applyFont="1" applyBorder="1" applyAlignment="1">
      <alignment horizontal="left" vertical="center" wrapText="1"/>
    </xf>
    <xf numFmtId="3" fontId="38" fillId="0" borderId="34" xfId="0" applyNumberFormat="1" applyFont="1" applyBorder="1" applyAlignment="1">
      <alignment horizontal="left" vertical="center" wrapText="1"/>
    </xf>
    <xf numFmtId="0" fontId="38" fillId="0" borderId="29" xfId="1400" applyFont="1" applyBorder="1" applyAlignment="1">
      <alignment horizontal="left" vertical="center" wrapText="1"/>
    </xf>
    <xf numFmtId="181" fontId="43" fillId="0" borderId="34" xfId="484" applyNumberFormat="1" applyFont="1" applyFill="1" applyBorder="1" applyAlignment="1">
      <alignment horizontal="right" vertical="center" wrapText="1"/>
    </xf>
    <xf numFmtId="179" fontId="43" fillId="0" borderId="34" xfId="484" applyNumberFormat="1" applyFont="1" applyFill="1" applyBorder="1" applyAlignment="1">
      <alignment horizontal="right" vertical="center" wrapText="1"/>
    </xf>
    <xf numFmtId="0" fontId="3" fillId="0" borderId="34" xfId="484" applyNumberFormat="1" applyFont="1" applyFill="1" applyBorder="1" applyAlignment="1">
      <alignment horizontal="left" vertical="center" wrapText="1"/>
    </xf>
    <xf numFmtId="0" fontId="9" fillId="0" borderId="34" xfId="0" applyFont="1" applyBorder="1" applyAlignment="1">
      <alignment horizontal="justify" vertical="center" wrapText="1"/>
    </xf>
    <xf numFmtId="0" fontId="3" fillId="0" borderId="34" xfId="1458" applyFont="1" applyBorder="1" applyAlignment="1">
      <alignment horizontal="left" vertical="center" wrapText="1"/>
    </xf>
    <xf numFmtId="0" fontId="3" fillId="0" borderId="34" xfId="1459" applyFont="1" applyBorder="1" applyAlignment="1">
      <alignment horizontal="left" vertical="center" wrapText="1"/>
    </xf>
    <xf numFmtId="183" fontId="3" fillId="0" borderId="0" xfId="0" applyNumberFormat="1" applyFont="1" applyAlignment="1">
      <alignment vertical="center" wrapText="1"/>
    </xf>
    <xf numFmtId="0" fontId="11" fillId="0" borderId="34" xfId="0" applyFont="1" applyBorder="1" applyAlignment="1">
      <alignment horizontal="justify" vertical="center" wrapText="1"/>
    </xf>
    <xf numFmtId="179" fontId="40" fillId="0" borderId="34" xfId="484" applyNumberFormat="1" applyFont="1" applyFill="1" applyBorder="1" applyAlignment="1">
      <alignment horizontal="center" vertical="center" wrapText="1"/>
    </xf>
    <xf numFmtId="0" fontId="38" fillId="0" borderId="34" xfId="1459" applyFont="1" applyBorder="1" applyAlignment="1">
      <alignment horizontal="left" vertical="center" wrapText="1"/>
    </xf>
    <xf numFmtId="0" fontId="38" fillId="0" borderId="34" xfId="213" applyNumberFormat="1" applyFont="1" applyFill="1" applyBorder="1" applyAlignment="1">
      <alignment horizontal="left" vertical="center" wrapText="1"/>
    </xf>
    <xf numFmtId="0" fontId="38" fillId="0" borderId="34" xfId="1458" applyFont="1" applyBorder="1" applyAlignment="1">
      <alignment horizontal="left" vertical="center" wrapText="1"/>
    </xf>
    <xf numFmtId="181" fontId="9" fillId="0" borderId="34" xfId="1458" quotePrefix="1" applyNumberFormat="1" applyFont="1" applyBorder="1" applyAlignment="1">
      <alignment horizontal="center" vertical="center" wrapText="1"/>
    </xf>
    <xf numFmtId="184" fontId="38" fillId="0" borderId="35" xfId="1119" applyNumberFormat="1" applyFont="1" applyBorder="1" applyAlignment="1">
      <alignment horizontal="left" vertical="center" wrapText="1"/>
    </xf>
    <xf numFmtId="167" fontId="38" fillId="0" borderId="29" xfId="763" applyNumberFormat="1" applyFont="1" applyFill="1" applyBorder="1" applyAlignment="1">
      <alignment horizontal="left" vertical="center" wrapText="1"/>
    </xf>
    <xf numFmtId="0" fontId="11" fillId="0" borderId="29" xfId="0" applyFont="1" applyBorder="1" applyAlignment="1">
      <alignment vertical="center" wrapText="1"/>
    </xf>
    <xf numFmtId="179" fontId="39" fillId="0" borderId="34" xfId="484" applyNumberFormat="1" applyFont="1" applyFill="1" applyBorder="1" applyAlignment="1">
      <alignment horizontal="center" vertical="center" wrapText="1"/>
    </xf>
    <xf numFmtId="0" fontId="38" fillId="0" borderId="36" xfId="0" applyFont="1" applyBorder="1" applyAlignment="1">
      <alignment horizontal="left" vertical="center" wrapText="1"/>
    </xf>
    <xf numFmtId="0" fontId="3" fillId="0" borderId="34" xfId="938" applyNumberFormat="1" applyFont="1" applyFill="1" applyBorder="1" applyAlignment="1">
      <alignment horizontal="left" vertical="center" wrapText="1"/>
    </xf>
    <xf numFmtId="179" fontId="3" fillId="0" borderId="0" xfId="0" applyNumberFormat="1" applyFont="1" applyAlignment="1">
      <alignment vertical="center" wrapText="1"/>
    </xf>
    <xf numFmtId="183" fontId="38" fillId="0" borderId="0" xfId="0" applyNumberFormat="1" applyFont="1" applyAlignment="1">
      <alignment vertical="center" wrapText="1"/>
    </xf>
    <xf numFmtId="0" fontId="38" fillId="0" borderId="34" xfId="484" applyNumberFormat="1" applyFont="1" applyFill="1" applyBorder="1" applyAlignment="1">
      <alignment horizontal="left" vertical="center" wrapText="1"/>
    </xf>
    <xf numFmtId="181" fontId="39" fillId="0" borderId="35" xfId="484" applyNumberFormat="1" applyFont="1" applyFill="1" applyBorder="1" applyAlignment="1">
      <alignment horizontal="right" vertical="center" wrapText="1"/>
    </xf>
    <xf numFmtId="179" fontId="39" fillId="0" borderId="35" xfId="484" applyNumberFormat="1" applyFont="1" applyFill="1" applyBorder="1" applyAlignment="1">
      <alignment horizontal="right" vertical="center" wrapText="1"/>
    </xf>
    <xf numFmtId="179" fontId="38" fillId="0" borderId="0" xfId="484" applyNumberFormat="1" applyFont="1" applyFill="1" applyBorder="1" applyAlignment="1">
      <alignment vertical="center" wrapText="1"/>
    </xf>
    <xf numFmtId="179" fontId="39" fillId="0" borderId="37" xfId="484" applyNumberFormat="1" applyFont="1" applyFill="1" applyBorder="1" applyAlignment="1">
      <alignment horizontal="right" vertical="center" wrapText="1"/>
    </xf>
    <xf numFmtId="0" fontId="3" fillId="0" borderId="34" xfId="1404" applyFont="1" applyBorder="1" applyAlignment="1">
      <alignment horizontal="left" vertical="center" wrapText="1"/>
    </xf>
    <xf numFmtId="0" fontId="38" fillId="0" borderId="34" xfId="1404" applyFont="1" applyBorder="1" applyAlignment="1">
      <alignment horizontal="left" vertical="center" wrapText="1"/>
    </xf>
    <xf numFmtId="181" fontId="40" fillId="0" borderId="35" xfId="484" applyNumberFormat="1" applyFont="1" applyFill="1" applyBorder="1" applyAlignment="1">
      <alignment horizontal="right" vertical="center" wrapText="1"/>
    </xf>
    <xf numFmtId="179" fontId="40" fillId="0" borderId="35" xfId="484" applyNumberFormat="1" applyFont="1" applyFill="1" applyBorder="1" applyAlignment="1">
      <alignment horizontal="center" vertical="center" wrapText="1"/>
    </xf>
    <xf numFmtId="179" fontId="40" fillId="0" borderId="20" xfId="484" applyNumberFormat="1" applyFont="1" applyFill="1" applyBorder="1" applyAlignment="1">
      <alignment horizontal="center" vertical="center" wrapText="1"/>
    </xf>
    <xf numFmtId="181" fontId="40" fillId="0" borderId="37" xfId="484" applyNumberFormat="1" applyFont="1" applyFill="1" applyBorder="1" applyAlignment="1">
      <alignment horizontal="right" vertical="center" wrapText="1"/>
    </xf>
    <xf numFmtId="179" fontId="40" fillId="0" borderId="37" xfId="484" applyNumberFormat="1" applyFont="1" applyFill="1" applyBorder="1" applyAlignment="1">
      <alignment horizontal="center" vertical="center" wrapText="1"/>
    </xf>
    <xf numFmtId="179" fontId="3" fillId="0" borderId="0" xfId="760" applyNumberFormat="1" applyFont="1" applyFill="1" applyBorder="1" applyAlignment="1">
      <alignment vertical="center" wrapText="1"/>
    </xf>
    <xf numFmtId="179" fontId="3" fillId="0" borderId="0" xfId="760" applyNumberFormat="1" applyFont="1" applyFill="1" applyBorder="1" applyAlignment="1">
      <alignment horizontal="right" vertical="center" wrapText="1"/>
    </xf>
    <xf numFmtId="181" fontId="9" fillId="0" borderId="34" xfId="0" applyNumberFormat="1" applyFont="1" applyBorder="1" applyAlignment="1">
      <alignment horizontal="left" vertical="center" wrapText="1"/>
    </xf>
    <xf numFmtId="181" fontId="9" fillId="0" borderId="35" xfId="1458" applyNumberFormat="1" applyFont="1" applyBorder="1" applyAlignment="1">
      <alignment vertical="center" wrapText="1"/>
    </xf>
    <xf numFmtId="179" fontId="40" fillId="0" borderId="35" xfId="484" applyNumberFormat="1" applyFont="1" applyFill="1" applyBorder="1" applyAlignment="1">
      <alignment vertical="center" wrapText="1"/>
    </xf>
    <xf numFmtId="171" fontId="12" fillId="0" borderId="0" xfId="1380" applyNumberFormat="1" applyFont="1" applyAlignment="1">
      <alignment vertical="center" wrapText="1"/>
    </xf>
    <xf numFmtId="181" fontId="9" fillId="0" borderId="37" xfId="1458" applyNumberFormat="1" applyFont="1" applyBorder="1" applyAlignment="1">
      <alignment vertical="center" wrapText="1"/>
    </xf>
    <xf numFmtId="179" fontId="40" fillId="0" borderId="37" xfId="484" applyNumberFormat="1" applyFont="1" applyFill="1" applyBorder="1" applyAlignment="1">
      <alignment vertical="center" wrapText="1"/>
    </xf>
    <xf numFmtId="0" fontId="38" fillId="0" borderId="38" xfId="1403" applyFont="1" applyBorder="1" applyAlignment="1">
      <alignment horizontal="left" vertical="center" wrapText="1"/>
    </xf>
    <xf numFmtId="181" fontId="11" fillId="0" borderId="34" xfId="1458" quotePrefix="1" applyNumberFormat="1" applyFont="1" applyBorder="1" applyAlignment="1">
      <alignment horizontal="center" vertical="center" wrapText="1"/>
    </xf>
    <xf numFmtId="0" fontId="38" fillId="0" borderId="38" xfId="1399" applyFont="1" applyBorder="1" applyAlignment="1">
      <alignment horizontal="left" vertical="center" wrapText="1"/>
    </xf>
    <xf numFmtId="171" fontId="12" fillId="0" borderId="0" xfId="1399" applyNumberFormat="1" applyFont="1" applyAlignment="1">
      <alignment vertical="center" wrapText="1"/>
    </xf>
    <xf numFmtId="0" fontId="38" fillId="0" borderId="38" xfId="1398" applyFont="1" applyBorder="1" applyAlignment="1">
      <alignment horizontal="left" vertical="center" wrapText="1"/>
    </xf>
    <xf numFmtId="171" fontId="12" fillId="0" borderId="0" xfId="1398" applyNumberFormat="1" applyFont="1" applyAlignment="1">
      <alignment vertical="center" wrapText="1"/>
    </xf>
    <xf numFmtId="0" fontId="38" fillId="0" borderId="20" xfId="0" applyFont="1" applyBorder="1" applyAlignment="1">
      <alignment horizontal="left" vertical="center" wrapText="1"/>
    </xf>
    <xf numFmtId="0" fontId="38" fillId="0" borderId="29" xfId="1401" applyFont="1" applyBorder="1" applyAlignment="1">
      <alignment horizontal="left" vertical="center" wrapText="1"/>
    </xf>
    <xf numFmtId="171" fontId="12" fillId="0" borderId="0" xfId="1401" applyNumberFormat="1" applyFont="1" applyAlignment="1">
      <alignment vertical="center" wrapText="1"/>
    </xf>
    <xf numFmtId="0" fontId="38" fillId="0" borderId="38" xfId="1396" applyFont="1" applyBorder="1" applyAlignment="1">
      <alignment horizontal="left" vertical="center" wrapText="1"/>
    </xf>
    <xf numFmtId="171" fontId="12" fillId="0" borderId="0" xfId="1396" applyNumberFormat="1" applyFont="1" applyAlignment="1">
      <alignment vertical="center" wrapText="1"/>
    </xf>
    <xf numFmtId="181" fontId="11" fillId="0" borderId="34" xfId="0" quotePrefix="1" applyNumberFormat="1" applyFont="1" applyBorder="1" applyAlignment="1">
      <alignment horizontal="center" vertical="center" wrapText="1"/>
    </xf>
    <xf numFmtId="0" fontId="38" fillId="0" borderId="38" xfId="1384" applyFont="1" applyBorder="1" applyAlignment="1">
      <alignment horizontal="left" vertical="center" wrapText="1"/>
    </xf>
    <xf numFmtId="0" fontId="12" fillId="0" borderId="0" xfId="1384" applyFont="1" applyAlignment="1">
      <alignment vertical="center" wrapText="1"/>
    </xf>
    <xf numFmtId="0" fontId="38" fillId="0" borderId="34" xfId="1381" applyFont="1" applyBorder="1" applyAlignment="1">
      <alignment horizontal="left" vertical="center" wrapText="1"/>
    </xf>
    <xf numFmtId="171" fontId="12" fillId="0" borderId="0" xfId="1381" applyNumberFormat="1" applyFont="1" applyAlignment="1">
      <alignment vertical="center" wrapText="1"/>
    </xf>
    <xf numFmtId="0" fontId="38" fillId="0" borderId="29" xfId="1402" applyFont="1" applyBorder="1" applyAlignment="1">
      <alignment horizontal="left" vertical="center" wrapText="1"/>
    </xf>
    <xf numFmtId="171" fontId="12" fillId="0" borderId="0" xfId="1402" applyNumberFormat="1" applyFont="1" applyAlignment="1">
      <alignment horizontal="left" vertical="center" wrapText="1"/>
    </xf>
    <xf numFmtId="0" fontId="38" fillId="0" borderId="29" xfId="1383" applyFont="1" applyBorder="1" applyAlignment="1">
      <alignment horizontal="left" vertical="center" wrapText="1"/>
    </xf>
    <xf numFmtId="181" fontId="11" fillId="0" borderId="35" xfId="1458" applyNumberFormat="1" applyFont="1" applyBorder="1" applyAlignment="1">
      <alignment horizontal="justify" vertical="center" wrapText="1"/>
    </xf>
    <xf numFmtId="181" fontId="11" fillId="0" borderId="35" xfId="1458" applyNumberFormat="1" applyFont="1" applyBorder="1" applyAlignment="1">
      <alignment vertical="center" wrapText="1"/>
    </xf>
    <xf numFmtId="179" fontId="39" fillId="0" borderId="35" xfId="484" applyNumberFormat="1" applyFont="1" applyFill="1" applyBorder="1" applyAlignment="1">
      <alignment vertical="center" wrapText="1"/>
    </xf>
    <xf numFmtId="1" fontId="38" fillId="0" borderId="34" xfId="0" applyNumberFormat="1" applyFont="1" applyBorder="1" applyAlignment="1">
      <alignment horizontal="justify" vertical="center" wrapText="1"/>
    </xf>
    <xf numFmtId="179" fontId="39" fillId="0" borderId="37" xfId="484" applyNumberFormat="1" applyFont="1" applyFill="1" applyBorder="1" applyAlignment="1">
      <alignment vertical="center" wrapText="1"/>
    </xf>
    <xf numFmtId="181" fontId="9" fillId="0" borderId="34" xfId="0" applyNumberFormat="1" applyFont="1" applyBorder="1" applyAlignment="1">
      <alignment horizontal="justify" vertical="center" wrapText="1"/>
    </xf>
    <xf numFmtId="180" fontId="38" fillId="0" borderId="0" xfId="761" applyNumberFormat="1" applyFont="1" applyFill="1" applyBorder="1" applyAlignment="1">
      <alignment horizontal="right" vertical="center" wrapText="1"/>
    </xf>
    <xf numFmtId="181" fontId="39" fillId="0" borderId="0" xfId="0" applyNumberFormat="1" applyFont="1" applyAlignment="1">
      <alignment horizontal="right" vertical="center" wrapText="1"/>
    </xf>
    <xf numFmtId="0" fontId="38" fillId="0" borderId="34" xfId="1378" applyFont="1" applyBorder="1" applyAlignment="1">
      <alignment horizontal="left" vertical="center" wrapText="1"/>
    </xf>
    <xf numFmtId="171" fontId="8" fillId="0" borderId="0" xfId="1378" applyNumberFormat="1" applyFont="1" applyAlignment="1">
      <alignment vertical="center" wrapText="1"/>
    </xf>
    <xf numFmtId="181" fontId="11" fillId="0" borderId="39" xfId="1458" applyNumberFormat="1" applyFont="1" applyBorder="1" applyAlignment="1">
      <alignment horizontal="center" vertical="center"/>
    </xf>
    <xf numFmtId="181" fontId="11" fillId="0" borderId="39" xfId="0" applyNumberFormat="1" applyFont="1" applyBorder="1" applyAlignment="1">
      <alignment horizontal="justify" vertical="center" wrapText="1"/>
    </xf>
    <xf numFmtId="181" fontId="39" fillId="0" borderId="39" xfId="484" applyNumberFormat="1" applyFont="1" applyFill="1" applyBorder="1" applyAlignment="1">
      <alignment horizontal="right" vertical="center" wrapText="1"/>
    </xf>
    <xf numFmtId="179" fontId="39" fillId="0" borderId="39" xfId="484" applyNumberFormat="1" applyFont="1" applyFill="1" applyBorder="1" applyAlignment="1">
      <alignment horizontal="right" vertical="center" wrapText="1"/>
    </xf>
    <xf numFmtId="0" fontId="38" fillId="0" borderId="39" xfId="1458" applyFont="1" applyBorder="1" applyAlignment="1">
      <alignment horizontal="left" vertical="center" wrapText="1"/>
    </xf>
    <xf numFmtId="0" fontId="8" fillId="0" borderId="0" xfId="0" applyFont="1" applyAlignment="1">
      <alignment horizontal="center" vertical="center"/>
    </xf>
    <xf numFmtId="0" fontId="8" fillId="0" borderId="0" xfId="0" applyFont="1" applyAlignment="1">
      <alignment horizontal="justify" vertical="center"/>
    </xf>
    <xf numFmtId="180" fontId="8" fillId="0" borderId="0" xfId="484" applyNumberFormat="1" applyFont="1" applyFill="1" applyAlignment="1">
      <alignment horizontal="center" vertical="center"/>
    </xf>
    <xf numFmtId="179" fontId="8" fillId="0" borderId="0" xfId="484" applyNumberFormat="1" applyFont="1" applyFill="1" applyAlignment="1">
      <alignment horizontal="right" vertical="center"/>
    </xf>
    <xf numFmtId="169" fontId="8" fillId="0" borderId="0" xfId="484" applyFont="1" applyFill="1" applyAlignment="1">
      <alignment horizontal="right" vertical="center"/>
    </xf>
    <xf numFmtId="0" fontId="8" fillId="0" borderId="0" xfId="0" applyFont="1" applyAlignment="1">
      <alignment horizontal="justify" vertical="center" wrapText="1"/>
    </xf>
    <xf numFmtId="183" fontId="8" fillId="23" borderId="30" xfId="484" applyNumberFormat="1" applyFont="1" applyFill="1" applyBorder="1" applyAlignment="1">
      <alignment horizontal="right" vertical="center" wrapText="1"/>
    </xf>
    <xf numFmtId="183" fontId="41" fillId="23" borderId="30" xfId="484" applyNumberFormat="1" applyFont="1" applyFill="1" applyBorder="1" applyAlignment="1">
      <alignment vertical="center" wrapText="1"/>
    </xf>
    <xf numFmtId="0" fontId="41" fillId="23" borderId="30" xfId="0" applyFont="1" applyFill="1" applyBorder="1" applyAlignment="1">
      <alignment vertical="center" wrapText="1"/>
    </xf>
    <xf numFmtId="183" fontId="8" fillId="23" borderId="30" xfId="484" applyNumberFormat="1" applyFont="1" applyFill="1" applyBorder="1" applyAlignment="1">
      <alignment horizontal="center" vertical="center" wrapText="1"/>
    </xf>
    <xf numFmtId="0" fontId="8" fillId="23" borderId="30" xfId="1077" applyFont="1" applyFill="1" applyBorder="1" applyAlignment="1">
      <alignment horizontal="center" vertical="center" wrapText="1"/>
    </xf>
    <xf numFmtId="0" fontId="31" fillId="0" borderId="0" xfId="0" applyFont="1" applyAlignment="1">
      <alignment horizontal="right" vertical="center" wrapText="1"/>
    </xf>
    <xf numFmtId="172" fontId="5" fillId="0" borderId="1" xfId="1280" applyNumberFormat="1" applyFont="1" applyBorder="1" applyAlignment="1">
      <alignment horizontal="center" vertical="center" wrapText="1"/>
    </xf>
    <xf numFmtId="177" fontId="12" fillId="0" borderId="27" xfId="1088" applyNumberFormat="1" applyFont="1" applyBorder="1" applyAlignment="1">
      <alignment horizontal="center" vertical="center" wrapText="1"/>
    </xf>
    <xf numFmtId="177" fontId="38" fillId="0" borderId="0" xfId="1088" applyNumberFormat="1" applyFont="1"/>
    <xf numFmtId="177" fontId="38" fillId="0" borderId="0" xfId="1088" applyNumberFormat="1" applyFont="1" applyAlignment="1">
      <alignment horizontal="center"/>
    </xf>
    <xf numFmtId="177" fontId="4" fillId="0" borderId="26" xfId="1088" applyNumberFormat="1" applyFont="1" applyBorder="1"/>
    <xf numFmtId="3" fontId="6" fillId="0" borderId="1" xfId="1088" applyNumberFormat="1" applyFont="1" applyBorder="1" applyAlignment="1">
      <alignment horizontal="center" vertical="center" wrapText="1"/>
    </xf>
    <xf numFmtId="3" fontId="32" fillId="0" borderId="29" xfId="1088" applyNumberFormat="1" applyFont="1" applyBorder="1" applyAlignment="1">
      <alignment vertical="center"/>
    </xf>
    <xf numFmtId="2" fontId="12" fillId="0" borderId="29" xfId="1088" applyNumberFormat="1" applyFont="1" applyBorder="1" applyAlignment="1">
      <alignment horizontal="center" vertical="center"/>
    </xf>
    <xf numFmtId="2" fontId="12" fillId="0" borderId="29" xfId="1088" applyNumberFormat="1" applyFont="1" applyBorder="1" applyAlignment="1">
      <alignment vertical="center"/>
    </xf>
    <xf numFmtId="3" fontId="12" fillId="0" borderId="29" xfId="1088" applyNumberFormat="1" applyFont="1" applyBorder="1" applyAlignment="1">
      <alignment vertical="center"/>
    </xf>
    <xf numFmtId="3" fontId="32" fillId="0" borderId="29" xfId="246" applyNumberFormat="1" applyFont="1" applyFill="1" applyBorder="1" applyAlignment="1">
      <alignment vertical="center"/>
    </xf>
    <xf numFmtId="172" fontId="172" fillId="0" borderId="1" xfId="1280" applyNumberFormat="1" applyFont="1" applyBorder="1" applyAlignment="1">
      <alignment horizontal="center" vertical="center" wrapText="1"/>
    </xf>
    <xf numFmtId="0" fontId="172" fillId="0" borderId="1" xfId="1280" applyFont="1" applyBorder="1" applyAlignment="1">
      <alignment horizontal="left" vertical="center" wrapText="1"/>
    </xf>
    <xf numFmtId="3" fontId="172" fillId="0" borderId="1" xfId="658" applyNumberFormat="1" applyFont="1" applyFill="1" applyBorder="1" applyAlignment="1">
      <alignment vertical="center" wrapText="1"/>
    </xf>
    <xf numFmtId="3" fontId="173" fillId="0" borderId="1" xfId="658" applyNumberFormat="1" applyFont="1" applyFill="1" applyBorder="1" applyAlignment="1">
      <alignment vertical="center" wrapText="1"/>
    </xf>
    <xf numFmtId="0" fontId="174" fillId="0" borderId="0" xfId="1280" applyFont="1" applyAlignment="1">
      <alignment vertical="center"/>
    </xf>
    <xf numFmtId="171" fontId="12" fillId="0" borderId="1" xfId="203" applyNumberFormat="1" applyFont="1" applyFill="1" applyBorder="1" applyAlignment="1">
      <alignment horizontal="right" vertical="center" wrapText="1"/>
    </xf>
    <xf numFmtId="171" fontId="8" fillId="0" borderId="1" xfId="203" applyNumberFormat="1" applyFont="1" applyFill="1" applyBorder="1" applyAlignment="1">
      <alignment horizontal="right" vertical="center" wrapText="1"/>
    </xf>
    <xf numFmtId="0" fontId="79" fillId="0" borderId="0" xfId="1280" applyFont="1"/>
    <xf numFmtId="0" fontId="13" fillId="0" borderId="1" xfId="1120" applyFont="1" applyBorder="1" applyAlignment="1">
      <alignment horizontal="center" vertical="center"/>
    </xf>
    <xf numFmtId="43" fontId="175" fillId="0" borderId="0" xfId="203" applyFont="1" applyFill="1" applyAlignment="1">
      <alignment vertical="center"/>
    </xf>
    <xf numFmtId="0" fontId="175" fillId="0" borderId="0" xfId="1280" applyFont="1" applyAlignment="1">
      <alignment vertical="center"/>
    </xf>
    <xf numFmtId="0" fontId="176" fillId="0" borderId="0" xfId="1280" applyFont="1" applyAlignment="1">
      <alignment vertical="center"/>
    </xf>
    <xf numFmtId="0" fontId="177" fillId="0" borderId="0" xfId="1280" applyFont="1" applyAlignment="1">
      <alignment vertical="center"/>
    </xf>
    <xf numFmtId="0" fontId="178" fillId="0" borderId="0" xfId="1280" applyFont="1" applyAlignment="1">
      <alignment vertical="center"/>
    </xf>
    <xf numFmtId="0" fontId="179" fillId="0" borderId="0" xfId="1280" applyFont="1" applyAlignment="1">
      <alignment vertical="center"/>
    </xf>
    <xf numFmtId="171" fontId="79" fillId="0" borderId="0" xfId="658" applyNumberFormat="1" applyFont="1" applyFill="1"/>
    <xf numFmtId="171" fontId="180" fillId="0" borderId="1" xfId="658" applyNumberFormat="1" applyFont="1" applyFill="1" applyBorder="1" applyAlignment="1">
      <alignment vertical="center"/>
    </xf>
    <xf numFmtId="3" fontId="181" fillId="48" borderId="1" xfId="658" applyNumberFormat="1" applyFont="1" applyFill="1" applyBorder="1" applyAlignment="1">
      <alignment vertical="center" wrapText="1"/>
    </xf>
    <xf numFmtId="2" fontId="8" fillId="0" borderId="29" xfId="6797" applyNumberFormat="1" applyFont="1" applyBorder="1" applyAlignment="1">
      <alignment vertical="center"/>
    </xf>
    <xf numFmtId="177" fontId="8" fillId="0" borderId="20" xfId="1452" applyNumberFormat="1" applyFont="1" applyBorder="1" applyAlignment="1">
      <alignment vertical="center" wrapText="1"/>
    </xf>
    <xf numFmtId="177" fontId="8" fillId="0" borderId="29" xfId="6785" applyNumberFormat="1" applyFont="1" applyBorder="1" applyAlignment="1">
      <alignment vertical="center" wrapText="1"/>
    </xf>
    <xf numFmtId="3" fontId="8" fillId="0" borderId="28" xfId="1088" applyNumberFormat="1" applyFont="1" applyBorder="1" applyAlignment="1">
      <alignment vertical="center"/>
    </xf>
    <xf numFmtId="3" fontId="8" fillId="0" borderId="29" xfId="1088" applyNumberFormat="1" applyFont="1" applyBorder="1" applyAlignment="1">
      <alignment vertical="center"/>
    </xf>
    <xf numFmtId="3" fontId="8" fillId="0" borderId="29" xfId="246" applyNumberFormat="1" applyFont="1" applyFill="1" applyBorder="1" applyAlignment="1">
      <alignment vertical="center"/>
    </xf>
    <xf numFmtId="177" fontId="8" fillId="0" borderId="29" xfId="6795" applyNumberFormat="1" applyFont="1" applyBorder="1" applyAlignment="1">
      <alignment vertical="center" wrapText="1"/>
    </xf>
    <xf numFmtId="2" fontId="32" fillId="0" borderId="29" xfId="6795" applyNumberFormat="1" applyFont="1" applyBorder="1" applyAlignment="1">
      <alignment vertical="center"/>
    </xf>
    <xf numFmtId="177" fontId="8" fillId="0" borderId="29" xfId="6796" applyNumberFormat="1" applyFont="1" applyBorder="1" applyAlignment="1">
      <alignment vertical="center" wrapText="1"/>
    </xf>
    <xf numFmtId="177" fontId="8" fillId="0" borderId="29" xfId="1452" applyNumberFormat="1" applyFont="1" applyBorder="1" applyAlignment="1">
      <alignment vertical="center" wrapText="1"/>
    </xf>
    <xf numFmtId="177" fontId="32" fillId="0" borderId="29" xfId="1452" applyNumberFormat="1" applyFont="1" applyBorder="1" applyAlignment="1">
      <alignment horizontal="center" vertical="center" wrapText="1"/>
    </xf>
    <xf numFmtId="177" fontId="32" fillId="0" borderId="29" xfId="1452" applyNumberFormat="1" applyFont="1" applyBorder="1" applyAlignment="1">
      <alignment vertical="center" wrapText="1"/>
    </xf>
    <xf numFmtId="0" fontId="8" fillId="0" borderId="28" xfId="6797" applyFont="1" applyBorder="1" applyAlignment="1">
      <alignment vertical="center" wrapText="1"/>
    </xf>
    <xf numFmtId="177" fontId="8" fillId="0" borderId="28" xfId="6797" applyNumberFormat="1" applyFont="1" applyBorder="1" applyAlignment="1">
      <alignment vertical="center" wrapText="1"/>
    </xf>
    <xf numFmtId="172" fontId="13" fillId="0" borderId="1" xfId="1280" applyNumberFormat="1" applyFont="1" applyBorder="1" applyAlignment="1">
      <alignment horizontal="center" vertical="center" wrapText="1"/>
    </xf>
    <xf numFmtId="3" fontId="5" fillId="0" borderId="0" xfId="1280" applyNumberFormat="1" applyFont="1"/>
    <xf numFmtId="165" fontId="8" fillId="0" borderId="0" xfId="212" applyNumberFormat="1" applyFont="1" applyFill="1" applyBorder="1" applyAlignment="1">
      <alignment horizontal="center"/>
    </xf>
    <xf numFmtId="0" fontId="8" fillId="0" borderId="0" xfId="0" applyFont="1"/>
    <xf numFmtId="0" fontId="12" fillId="0" borderId="24" xfId="0" applyFont="1" applyBorder="1" applyAlignment="1">
      <alignment horizontal="center" vertical="center" wrapText="1"/>
    </xf>
    <xf numFmtId="0" fontId="12" fillId="0" borderId="0" xfId="0" applyFont="1"/>
    <xf numFmtId="0" fontId="12" fillId="0" borderId="20" xfId="0" applyFont="1" applyBorder="1" applyAlignment="1">
      <alignment horizontal="center" vertical="center" wrapText="1"/>
    </xf>
    <xf numFmtId="0" fontId="12" fillId="0" borderId="24" xfId="0" applyFont="1" applyBorder="1" applyAlignment="1">
      <alignment vertical="center" wrapText="1"/>
    </xf>
    <xf numFmtId="0" fontId="12" fillId="0" borderId="27" xfId="0" applyFont="1" applyBorder="1" applyAlignment="1">
      <alignment horizontal="center" vertical="center" wrapText="1"/>
    </xf>
    <xf numFmtId="171" fontId="12" fillId="0" borderId="27" xfId="0" applyNumberFormat="1" applyFont="1" applyBorder="1" applyAlignment="1">
      <alignment horizontal="center" vertical="center" wrapText="1"/>
    </xf>
    <xf numFmtId="0" fontId="8" fillId="0" borderId="20" xfId="0" applyFont="1" applyBorder="1" applyAlignment="1">
      <alignment horizontal="center" vertical="center" wrapText="1"/>
    </xf>
    <xf numFmtId="3" fontId="8" fillId="0" borderId="1" xfId="0" applyNumberFormat="1" applyFont="1" applyBorder="1" applyAlignment="1">
      <alignment horizontal="center" vertical="center" wrapText="1"/>
    </xf>
    <xf numFmtId="3" fontId="8" fillId="0" borderId="20" xfId="0" applyNumberFormat="1" applyFont="1" applyBorder="1" applyAlignment="1">
      <alignment horizontal="center" vertical="center" wrapText="1"/>
    </xf>
    <xf numFmtId="3" fontId="12" fillId="0" borderId="1" xfId="0" applyNumberFormat="1" applyFont="1" applyBorder="1" applyAlignment="1">
      <alignment horizontal="right" vertical="center" wrapText="1"/>
    </xf>
    <xf numFmtId="3" fontId="8" fillId="0" borderId="1" xfId="0" applyNumberFormat="1" applyFont="1" applyBorder="1" applyAlignment="1">
      <alignment horizontal="right" vertical="center" wrapText="1"/>
    </xf>
    <xf numFmtId="3" fontId="8" fillId="0" borderId="0" xfId="0" applyNumberFormat="1" applyFont="1"/>
    <xf numFmtId="0" fontId="6" fillId="0" borderId="0" xfId="0" applyFont="1"/>
    <xf numFmtId="0" fontId="33" fillId="0" borderId="0" xfId="0" applyFont="1"/>
    <xf numFmtId="0" fontId="34" fillId="0" borderId="0" xfId="0" applyFont="1"/>
    <xf numFmtId="0" fontId="49" fillId="0" borderId="0" xfId="0" applyFont="1" applyAlignment="1">
      <alignment vertical="center"/>
    </xf>
    <xf numFmtId="0" fontId="35" fillId="0" borderId="0" xfId="0" applyFont="1"/>
    <xf numFmtId="171" fontId="8" fillId="0" borderId="0" xfId="0" applyNumberFormat="1" applyFont="1"/>
    <xf numFmtId="171" fontId="12" fillId="0" borderId="0" xfId="0" applyNumberFormat="1" applyFont="1" applyAlignment="1">
      <alignment horizontal="left"/>
    </xf>
    <xf numFmtId="3" fontId="12" fillId="0" borderId="0" xfId="0" applyNumberFormat="1" applyFont="1"/>
    <xf numFmtId="0" fontId="8" fillId="0" borderId="0" xfId="0" applyFont="1" applyAlignment="1">
      <alignment horizontal="center"/>
    </xf>
    <xf numFmtId="0" fontId="182" fillId="0" borderId="0" xfId="0" applyFont="1"/>
    <xf numFmtId="49" fontId="33" fillId="0" borderId="115" xfId="1461" applyNumberFormat="1" applyFont="1" applyBorder="1" applyAlignment="1">
      <alignment horizontal="center" vertical="center" wrapText="1"/>
    </xf>
    <xf numFmtId="178" fontId="33" fillId="0" borderId="115" xfId="13385" applyNumberFormat="1" applyFont="1" applyFill="1" applyBorder="1" applyAlignment="1">
      <alignment horizontal="center" vertical="center" wrapText="1"/>
    </xf>
    <xf numFmtId="49" fontId="34" fillId="0" borderId="115" xfId="1461" applyNumberFormat="1" applyFont="1" applyBorder="1" applyAlignment="1">
      <alignment horizontal="center" vertical="center" wrapText="1"/>
    </xf>
    <xf numFmtId="0" fontId="33" fillId="0" borderId="115" xfId="13387" applyFont="1" applyBorder="1" applyAlignment="1">
      <alignment horizontal="center" vertical="center" wrapText="1"/>
    </xf>
    <xf numFmtId="184" fontId="33" fillId="0" borderId="115" xfId="2466" applyNumberFormat="1" applyFont="1" applyFill="1" applyBorder="1" applyAlignment="1">
      <alignment horizontal="right" vertical="center" wrapText="1"/>
    </xf>
    <xf numFmtId="0" fontId="33" fillId="0" borderId="115" xfId="13386" applyFont="1" applyBorder="1" applyAlignment="1">
      <alignment horizontal="center" vertical="center" wrapText="1"/>
    </xf>
    <xf numFmtId="49" fontId="33" fillId="0" borderId="115" xfId="1461" applyNumberFormat="1" applyFont="1" applyBorder="1" applyAlignment="1">
      <alignment horizontal="left" vertical="center" wrapText="1"/>
    </xf>
    <xf numFmtId="184" fontId="182" fillId="0" borderId="0" xfId="0" applyNumberFormat="1" applyFont="1"/>
    <xf numFmtId="3" fontId="182" fillId="0" borderId="0" xfId="0" applyNumberFormat="1" applyFont="1"/>
    <xf numFmtId="0" fontId="34" fillId="0" borderId="115" xfId="13384" applyFont="1" applyBorder="1" applyAlignment="1">
      <alignment horizontal="left" vertical="center" wrapText="1"/>
    </xf>
    <xf numFmtId="0" fontId="34" fillId="0" borderId="115" xfId="13387" applyFont="1" applyBorder="1" applyAlignment="1">
      <alignment horizontal="center" vertical="center" wrapText="1"/>
    </xf>
    <xf numFmtId="184" fontId="34" fillId="0" borderId="115" xfId="2466" applyNumberFormat="1" applyFont="1" applyFill="1" applyBorder="1" applyAlignment="1">
      <alignment horizontal="right" vertical="center" wrapText="1"/>
    </xf>
    <xf numFmtId="0" fontId="34" fillId="0" borderId="115" xfId="13386" applyFont="1" applyBorder="1" applyAlignment="1">
      <alignment horizontal="center" vertical="center" wrapText="1"/>
    </xf>
    <xf numFmtId="0" fontId="182" fillId="0" borderId="0" xfId="0" applyFont="1" applyAlignment="1">
      <alignment vertical="center"/>
    </xf>
    <xf numFmtId="0" fontId="34" fillId="0" borderId="115" xfId="1388" applyFont="1" applyBorder="1" applyAlignment="1">
      <alignment vertical="center" wrapText="1"/>
    </xf>
    <xf numFmtId="0" fontId="34" fillId="0" borderId="115" xfId="1388" applyFont="1" applyBorder="1" applyAlignment="1">
      <alignment horizontal="center" vertical="center" wrapText="1"/>
    </xf>
    <xf numFmtId="0" fontId="34" fillId="0" borderId="115" xfId="13387" applyFont="1" applyBorder="1" applyAlignment="1">
      <alignment horizontal="left" vertical="center" wrapText="1"/>
    </xf>
    <xf numFmtId="2" fontId="34" fillId="0" borderId="115" xfId="13388" applyNumberFormat="1" applyFont="1" applyBorder="1" applyAlignment="1">
      <alignment horizontal="center" vertical="center" wrapText="1"/>
    </xf>
    <xf numFmtId="184" fontId="34" fillId="0" borderId="115" xfId="1388" applyNumberFormat="1" applyFont="1" applyBorder="1" applyAlignment="1">
      <alignment horizontal="center" vertical="center" wrapText="1"/>
    </xf>
    <xf numFmtId="184" fontId="34" fillId="0" borderId="115" xfId="13386" applyNumberFormat="1" applyFont="1" applyBorder="1" applyAlignment="1">
      <alignment horizontal="center" vertical="center" wrapText="1"/>
    </xf>
    <xf numFmtId="2" fontId="34" fillId="0" borderId="115" xfId="1379" applyNumberFormat="1" applyFont="1" applyBorder="1" applyAlignment="1">
      <alignment vertical="center" wrapText="1"/>
    </xf>
    <xf numFmtId="2" fontId="34" fillId="0" borderId="115" xfId="13389" applyNumberFormat="1" applyFont="1" applyBorder="1" applyAlignment="1">
      <alignment horizontal="center" vertical="center" wrapText="1"/>
    </xf>
    <xf numFmtId="2" fontId="34" fillId="0" borderId="115" xfId="13390" applyNumberFormat="1" applyFont="1" applyBorder="1" applyAlignment="1">
      <alignment horizontal="center" vertical="center" wrapText="1"/>
    </xf>
    <xf numFmtId="0" fontId="34" fillId="0" borderId="115" xfId="0" applyFont="1" applyBorder="1" applyAlignment="1">
      <alignment vertical="center" wrapText="1"/>
    </xf>
    <xf numFmtId="184" fontId="34" fillId="0" borderId="115" xfId="239" applyNumberFormat="1" applyFont="1" applyFill="1" applyBorder="1" applyAlignment="1">
      <alignment horizontal="right" vertical="center" wrapText="1"/>
    </xf>
    <xf numFmtId="3" fontId="15" fillId="0" borderId="1" xfId="658" applyNumberFormat="1" applyFont="1" applyFill="1" applyBorder="1" applyAlignment="1">
      <alignment horizontal="right" vertical="center" wrapText="1"/>
    </xf>
    <xf numFmtId="3" fontId="5" fillId="0" borderId="1" xfId="658" applyNumberFormat="1" applyFont="1" applyFill="1" applyBorder="1" applyAlignment="1">
      <alignment horizontal="right" vertical="center" wrapText="1"/>
    </xf>
    <xf numFmtId="3" fontId="15" fillId="0" borderId="1" xfId="658" applyNumberFormat="1" applyFont="1" applyFill="1" applyBorder="1" applyAlignment="1" applyProtection="1">
      <alignment horizontal="right" vertical="center" wrapText="1"/>
    </xf>
    <xf numFmtId="3" fontId="5" fillId="0" borderId="1" xfId="658" applyNumberFormat="1" applyFont="1" applyFill="1" applyBorder="1" applyAlignment="1" applyProtection="1">
      <alignment horizontal="right" vertical="center" wrapText="1"/>
    </xf>
    <xf numFmtId="3" fontId="13" fillId="0" borderId="1" xfId="658" applyNumberFormat="1" applyFont="1" applyFill="1" applyBorder="1" applyAlignment="1">
      <alignment horizontal="right" vertical="center" wrapText="1"/>
    </xf>
    <xf numFmtId="3" fontId="24" fillId="0" borderId="1" xfId="1280" applyNumberFormat="1" applyFont="1" applyBorder="1" applyAlignment="1">
      <alignment horizontal="right" vertical="center" wrapText="1"/>
    </xf>
    <xf numFmtId="3" fontId="15" fillId="0" borderId="1" xfId="1280" applyNumberFormat="1" applyFont="1" applyBorder="1" applyAlignment="1">
      <alignment horizontal="right" vertical="center" wrapText="1"/>
    </xf>
    <xf numFmtId="3" fontId="34" fillId="0" borderId="1" xfId="235" applyNumberFormat="1" applyFont="1" applyFill="1" applyBorder="1" applyAlignment="1">
      <alignment horizontal="right" vertical="center" wrapText="1"/>
    </xf>
    <xf numFmtId="2" fontId="12" fillId="0" borderId="109" xfId="658" applyNumberFormat="1" applyFont="1" applyFill="1" applyBorder="1" applyAlignment="1">
      <alignment horizontal="center" vertical="center" wrapText="1"/>
    </xf>
    <xf numFmtId="171" fontId="12" fillId="0" borderId="109" xfId="0" applyNumberFormat="1" applyFont="1" applyBorder="1" applyAlignment="1">
      <alignment horizontal="left" vertical="center" wrapText="1"/>
    </xf>
    <xf numFmtId="3" fontId="12" fillId="0" borderId="109" xfId="658" applyNumberFormat="1" applyFont="1" applyFill="1" applyBorder="1" applyAlignment="1">
      <alignment horizontal="right" vertical="center" wrapText="1"/>
    </xf>
    <xf numFmtId="2" fontId="12" fillId="0" borderId="52" xfId="658" applyNumberFormat="1" applyFont="1" applyFill="1" applyBorder="1" applyAlignment="1">
      <alignment horizontal="center" vertical="center" wrapText="1"/>
    </xf>
    <xf numFmtId="171" fontId="12" fillId="0" borderId="52" xfId="0" applyNumberFormat="1" applyFont="1" applyBorder="1" applyAlignment="1">
      <alignment horizontal="left" vertical="center" wrapText="1"/>
    </xf>
    <xf numFmtId="3" fontId="12" fillId="0" borderId="52" xfId="658" applyNumberFormat="1" applyFont="1" applyFill="1" applyBorder="1" applyAlignment="1">
      <alignment horizontal="right" vertical="center" wrapText="1"/>
    </xf>
    <xf numFmtId="3" fontId="12" fillId="0" borderId="52" xfId="0" applyNumberFormat="1" applyFont="1" applyBorder="1" applyAlignment="1">
      <alignment horizontal="right" vertical="center" wrapText="1"/>
    </xf>
    <xf numFmtId="0" fontId="12" fillId="0" borderId="52" xfId="658" applyNumberFormat="1" applyFont="1" applyFill="1" applyBorder="1" applyAlignment="1">
      <alignment horizontal="center" vertical="center" wrapText="1"/>
    </xf>
    <xf numFmtId="0" fontId="12" fillId="0" borderId="52" xfId="658" applyNumberFormat="1" applyFont="1" applyFill="1" applyBorder="1" applyAlignment="1">
      <alignment horizontal="left" vertical="center" wrapText="1"/>
    </xf>
    <xf numFmtId="0" fontId="12" fillId="0" borderId="52" xfId="1120" applyFont="1" applyBorder="1" applyAlignment="1">
      <alignment vertical="center" wrapText="1"/>
    </xf>
    <xf numFmtId="171" fontId="8" fillId="0" borderId="52" xfId="0" applyNumberFormat="1" applyFont="1" applyBorder="1" applyAlignment="1">
      <alignment horizontal="left" vertical="center" wrapText="1"/>
    </xf>
    <xf numFmtId="3" fontId="8" fillId="0" borderId="52" xfId="0" applyNumberFormat="1" applyFont="1" applyBorder="1" applyAlignment="1">
      <alignment horizontal="right" vertical="center" wrapText="1"/>
    </xf>
    <xf numFmtId="3" fontId="8" fillId="0" borderId="52" xfId="658" applyNumberFormat="1" applyFont="1" applyFill="1" applyBorder="1" applyAlignment="1">
      <alignment horizontal="right" vertical="center" wrapText="1"/>
    </xf>
    <xf numFmtId="171" fontId="12" fillId="0" borderId="52" xfId="203" applyNumberFormat="1" applyFont="1" applyFill="1" applyBorder="1" applyAlignment="1">
      <alignment horizontal="right" vertical="center" wrapText="1"/>
    </xf>
    <xf numFmtId="1" fontId="12" fillId="0" borderId="52" xfId="658" applyNumberFormat="1" applyFont="1" applyFill="1" applyBorder="1" applyAlignment="1">
      <alignment horizontal="center" vertical="center" wrapText="1"/>
    </xf>
    <xf numFmtId="2" fontId="8" fillId="0" borderId="52" xfId="658" applyNumberFormat="1" applyFont="1" applyFill="1" applyBorder="1" applyAlignment="1">
      <alignment horizontal="center" vertical="center" wrapText="1"/>
    </xf>
    <xf numFmtId="171" fontId="8" fillId="0" borderId="52" xfId="203" applyNumberFormat="1" applyFont="1" applyFill="1" applyBorder="1" applyAlignment="1">
      <alignment horizontal="right" vertical="center" wrapText="1"/>
    </xf>
    <xf numFmtId="2" fontId="6" fillId="0" borderId="52" xfId="658" applyNumberFormat="1" applyFont="1" applyFill="1" applyBorder="1" applyAlignment="1">
      <alignment horizontal="center" vertical="center" wrapText="1"/>
    </xf>
    <xf numFmtId="171" fontId="6" fillId="0" borderId="52" xfId="0" applyNumberFormat="1" applyFont="1" applyBorder="1" applyAlignment="1">
      <alignment horizontal="left" vertical="center" wrapText="1"/>
    </xf>
    <xf numFmtId="3" fontId="6" fillId="0" borderId="52" xfId="658" applyNumberFormat="1" applyFont="1" applyFill="1" applyBorder="1" applyAlignment="1">
      <alignment horizontal="right" vertical="center" wrapText="1"/>
    </xf>
    <xf numFmtId="171" fontId="6" fillId="0" borderId="52" xfId="203" applyNumberFormat="1" applyFont="1" applyFill="1" applyBorder="1" applyAlignment="1">
      <alignment horizontal="right" vertical="center" wrapText="1"/>
    </xf>
    <xf numFmtId="173" fontId="6" fillId="0" borderId="52" xfId="658" applyNumberFormat="1" applyFont="1" applyFill="1" applyBorder="1" applyAlignment="1">
      <alignment horizontal="left" vertical="center" wrapText="1"/>
    </xf>
    <xf numFmtId="171" fontId="8" fillId="0" borderId="52" xfId="0" quotePrefix="1" applyNumberFormat="1" applyFont="1" applyBorder="1" applyAlignment="1">
      <alignment horizontal="left" vertical="center" wrapText="1"/>
    </xf>
    <xf numFmtId="171" fontId="8" fillId="0" borderId="52" xfId="203" applyNumberFormat="1" applyFont="1" applyFill="1" applyBorder="1" applyAlignment="1" applyProtection="1">
      <alignment horizontal="right" vertical="center" wrapText="1"/>
    </xf>
    <xf numFmtId="3" fontId="6" fillId="0" borderId="52" xfId="0" applyNumberFormat="1" applyFont="1" applyBorder="1" applyAlignment="1">
      <alignment horizontal="right" vertical="center" wrapText="1"/>
    </xf>
    <xf numFmtId="171" fontId="6" fillId="0" borderId="52" xfId="203" applyNumberFormat="1" applyFont="1" applyFill="1" applyBorder="1" applyAlignment="1" applyProtection="1">
      <alignment horizontal="right" vertical="center" wrapText="1"/>
    </xf>
    <xf numFmtId="171" fontId="8" fillId="0" borderId="52" xfId="0" quotePrefix="1" applyNumberFormat="1" applyFont="1" applyBorder="1" applyAlignment="1">
      <alignment horizontal="left" vertical="center" wrapText="1" shrinkToFit="1"/>
    </xf>
    <xf numFmtId="0" fontId="8" fillId="0" borderId="52" xfId="1120" quotePrefix="1" applyFont="1" applyBorder="1" applyAlignment="1">
      <alignment vertical="center" wrapText="1"/>
    </xf>
    <xf numFmtId="174" fontId="8" fillId="0" borderId="52" xfId="0" quotePrefix="1" applyNumberFormat="1" applyFont="1" applyBorder="1" applyAlignment="1">
      <alignment horizontal="left" vertical="center" wrapText="1"/>
    </xf>
    <xf numFmtId="175" fontId="6" fillId="0" borderId="52" xfId="1457" quotePrefix="1" applyNumberFormat="1" applyFont="1" applyBorder="1" applyAlignment="1">
      <alignment horizontal="left" vertical="center" wrapText="1"/>
    </xf>
    <xf numFmtId="3" fontId="6" fillId="0" borderId="52" xfId="1457" applyNumberFormat="1" applyFont="1" applyBorder="1" applyAlignment="1">
      <alignment horizontal="right" vertical="center" wrapText="1"/>
    </xf>
    <xf numFmtId="175" fontId="6" fillId="0" borderId="52" xfId="1457" applyNumberFormat="1" applyFont="1" applyBorder="1" applyAlignment="1">
      <alignment horizontal="left" vertical="center" wrapText="1"/>
    </xf>
    <xf numFmtId="171" fontId="34" fillId="0" borderId="52" xfId="0" applyNumberFormat="1" applyFont="1" applyBorder="1" applyAlignment="1">
      <alignment horizontal="right" vertical="center" wrapText="1"/>
    </xf>
    <xf numFmtId="0" fontId="8" fillId="0" borderId="52" xfId="0" quotePrefix="1" applyFont="1" applyBorder="1" applyAlignment="1">
      <alignment horizontal="left" vertical="center" wrapText="1"/>
    </xf>
    <xf numFmtId="171" fontId="34" fillId="0" borderId="52" xfId="0" applyNumberFormat="1" applyFont="1" applyBorder="1" applyAlignment="1">
      <alignment horizontal="center" vertical="center" wrapText="1"/>
    </xf>
    <xf numFmtId="171" fontId="49" fillId="0" borderId="52" xfId="0" applyNumberFormat="1" applyFont="1" applyBorder="1" applyAlignment="1">
      <alignment horizontal="center" vertical="center" wrapText="1"/>
    </xf>
    <xf numFmtId="2" fontId="32" fillId="0" borderId="52" xfId="658" applyNumberFormat="1" applyFont="1" applyFill="1" applyBorder="1" applyAlignment="1">
      <alignment horizontal="center" vertical="center" wrapText="1"/>
    </xf>
    <xf numFmtId="171" fontId="6" fillId="0" borderId="52" xfId="0" quotePrefix="1" applyNumberFormat="1" applyFont="1" applyBorder="1" applyAlignment="1">
      <alignment horizontal="left" vertical="center" wrapText="1"/>
    </xf>
    <xf numFmtId="43" fontId="34" fillId="0" borderId="52" xfId="203" applyFont="1" applyFill="1" applyBorder="1" applyAlignment="1">
      <alignment vertical="center" wrapText="1"/>
    </xf>
    <xf numFmtId="171" fontId="6" fillId="0" borderId="52" xfId="203" applyNumberFormat="1" applyFont="1" applyFill="1" applyBorder="1" applyAlignment="1">
      <alignment vertical="center" wrapText="1"/>
    </xf>
    <xf numFmtId="173" fontId="6" fillId="0" borderId="52" xfId="658" applyNumberFormat="1" applyFont="1" applyFill="1" applyBorder="1" applyAlignment="1">
      <alignment horizontal="center" vertical="center" wrapText="1"/>
    </xf>
    <xf numFmtId="173" fontId="6" fillId="0" borderId="52" xfId="658" quotePrefix="1" applyNumberFormat="1" applyFont="1" applyFill="1" applyBorder="1" applyAlignment="1">
      <alignment horizontal="left" vertical="center" wrapText="1"/>
    </xf>
    <xf numFmtId="175" fontId="12" fillId="0" borderId="52" xfId="1457" applyNumberFormat="1" applyFont="1" applyBorder="1" applyAlignment="1">
      <alignment horizontal="left" vertical="center" wrapText="1"/>
    </xf>
    <xf numFmtId="171" fontId="8" fillId="0" borderId="52" xfId="0" quotePrefix="1" applyNumberFormat="1" applyFont="1" applyBorder="1" applyAlignment="1">
      <alignment vertical="center" wrapText="1"/>
    </xf>
    <xf numFmtId="171" fontId="8" fillId="0" borderId="52" xfId="203" applyNumberFormat="1" applyFont="1" applyFill="1" applyBorder="1" applyAlignment="1">
      <alignment vertical="center" wrapText="1"/>
    </xf>
    <xf numFmtId="171" fontId="12" fillId="0" borderId="52" xfId="0" applyNumberFormat="1" applyFont="1" applyBorder="1" applyAlignment="1">
      <alignment vertical="center" wrapText="1"/>
    </xf>
    <xf numFmtId="1" fontId="8" fillId="0" borderId="52" xfId="658" applyNumberFormat="1" applyFont="1" applyFill="1" applyBorder="1" applyAlignment="1">
      <alignment horizontal="center" vertical="center" wrapText="1"/>
    </xf>
    <xf numFmtId="171" fontId="8" fillId="0" borderId="52" xfId="0" applyNumberFormat="1" applyFont="1" applyBorder="1" applyAlignment="1">
      <alignment vertical="center" wrapText="1"/>
    </xf>
    <xf numFmtId="176" fontId="8" fillId="0" borderId="52" xfId="658" applyNumberFormat="1" applyFont="1" applyFill="1" applyBorder="1" applyAlignment="1">
      <alignment horizontal="center" vertical="center" wrapText="1"/>
    </xf>
    <xf numFmtId="2" fontId="12" fillId="0" borderId="52" xfId="0" applyNumberFormat="1" applyFont="1" applyBorder="1" applyAlignment="1">
      <alignment horizontal="center" vertical="center" wrapText="1"/>
    </xf>
    <xf numFmtId="0" fontId="12" fillId="0" borderId="52" xfId="0" applyFont="1" applyBorder="1" applyAlignment="1">
      <alignment vertical="center" wrapText="1"/>
    </xf>
    <xf numFmtId="1" fontId="12" fillId="0" borderId="52" xfId="0" applyNumberFormat="1" applyFont="1" applyBorder="1" applyAlignment="1">
      <alignment horizontal="center" vertical="center" wrapText="1"/>
    </xf>
    <xf numFmtId="1" fontId="8" fillId="0" borderId="52" xfId="0" applyNumberFormat="1" applyFont="1" applyBorder="1" applyAlignment="1">
      <alignment horizontal="center" vertical="center" wrapText="1"/>
    </xf>
    <xf numFmtId="0" fontId="8" fillId="0" borderId="52" xfId="0" applyFont="1" applyBorder="1" applyAlignment="1">
      <alignment vertical="center" wrapText="1"/>
    </xf>
    <xf numFmtId="0" fontId="8" fillId="0" borderId="52" xfId="0" quotePrefix="1" applyFont="1" applyBorder="1" applyAlignment="1">
      <alignment vertical="center" wrapText="1"/>
    </xf>
    <xf numFmtId="0" fontId="12" fillId="0" borderId="52" xfId="1455" applyFont="1" applyBorder="1" applyAlignment="1">
      <alignment vertical="center" wrapText="1"/>
    </xf>
    <xf numFmtId="2" fontId="12" fillId="0" borderId="53" xfId="658" applyNumberFormat="1" applyFont="1" applyFill="1" applyBorder="1" applyAlignment="1">
      <alignment horizontal="center" vertical="center" wrapText="1"/>
    </xf>
    <xf numFmtId="0" fontId="12" fillId="0" borderId="53" xfId="0" applyFont="1" applyBorder="1" applyAlignment="1">
      <alignment vertical="center" wrapText="1"/>
    </xf>
    <xf numFmtId="3" fontId="12" fillId="0" borderId="53" xfId="0" applyNumberFormat="1" applyFont="1" applyBorder="1" applyAlignment="1">
      <alignment horizontal="right" vertical="center" wrapText="1"/>
    </xf>
    <xf numFmtId="3" fontId="12" fillId="0" borderId="53" xfId="658" applyNumberFormat="1" applyFont="1" applyFill="1" applyBorder="1" applyAlignment="1">
      <alignment horizontal="right" vertical="center" wrapText="1"/>
    </xf>
    <xf numFmtId="171" fontId="12" fillId="0" borderId="53" xfId="203" applyNumberFormat="1" applyFont="1" applyFill="1" applyBorder="1" applyAlignment="1">
      <alignment horizontal="right" vertical="center" wrapText="1"/>
    </xf>
    <xf numFmtId="0" fontId="5" fillId="0" borderId="0" xfId="0" applyFont="1" applyAlignment="1">
      <alignment vertical="center"/>
    </xf>
    <xf numFmtId="0" fontId="4" fillId="0" borderId="0" xfId="0" applyFont="1" applyAlignment="1">
      <alignment horizontal="right" vertical="center"/>
    </xf>
    <xf numFmtId="0" fontId="5"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0" xfId="0" applyFont="1" applyAlignment="1">
      <alignment vertical="center"/>
    </xf>
    <xf numFmtId="0" fontId="15" fillId="0" borderId="12" xfId="0" applyFont="1" applyBorder="1" applyAlignment="1">
      <alignment horizontal="center" vertical="center" wrapText="1"/>
    </xf>
    <xf numFmtId="43" fontId="15" fillId="0" borderId="12" xfId="0" applyNumberFormat="1" applyFont="1" applyBorder="1" applyAlignment="1">
      <alignment horizontal="center" vertical="center" wrapText="1"/>
    </xf>
    <xf numFmtId="169" fontId="15" fillId="0" borderId="51" xfId="0" applyNumberFormat="1" applyFont="1" applyBorder="1" applyAlignment="1">
      <alignment horizontal="right" vertical="center" wrapText="1"/>
    </xf>
    <xf numFmtId="169" fontId="15" fillId="0" borderId="12" xfId="0" applyNumberFormat="1" applyFont="1" applyBorder="1" applyAlignment="1">
      <alignment horizontal="right" vertical="center" wrapText="1"/>
    </xf>
    <xf numFmtId="0" fontId="5" fillId="0" borderId="12" xfId="0" applyFont="1" applyBorder="1" applyAlignment="1">
      <alignment horizontal="left" vertical="center" wrapText="1"/>
    </xf>
    <xf numFmtId="43" fontId="5" fillId="0" borderId="12" xfId="0" applyNumberFormat="1" applyFont="1" applyBorder="1" applyAlignment="1">
      <alignment vertical="center" wrapText="1"/>
    </xf>
    <xf numFmtId="0" fontId="15" fillId="0" borderId="29" xfId="0" applyFont="1" applyBorder="1" applyAlignment="1">
      <alignment horizontal="center" vertical="center" wrapText="1"/>
    </xf>
    <xf numFmtId="0" fontId="15" fillId="0" borderId="29" xfId="0" applyFont="1" applyBorder="1" applyAlignment="1">
      <alignment horizontal="left" vertical="center" wrapText="1"/>
    </xf>
    <xf numFmtId="43" fontId="15" fillId="0" borderId="29" xfId="0" applyNumberFormat="1" applyFont="1" applyBorder="1" applyAlignment="1">
      <alignment horizontal="center" vertical="center" wrapText="1"/>
    </xf>
    <xf numFmtId="169" fontId="15" fillId="0" borderId="52" xfId="0" applyNumberFormat="1" applyFont="1" applyBorder="1" applyAlignment="1">
      <alignment horizontal="right" vertical="center" wrapText="1"/>
    </xf>
    <xf numFmtId="169" fontId="15" fillId="0" borderId="29" xfId="0" applyNumberFormat="1" applyFont="1" applyBorder="1" applyAlignment="1">
      <alignment horizontal="right" vertical="center" wrapText="1"/>
    </xf>
    <xf numFmtId="0" fontId="5" fillId="0" borderId="29" xfId="0" applyFont="1" applyBorder="1" applyAlignment="1">
      <alignment horizontal="left" vertical="center" wrapText="1"/>
    </xf>
    <xf numFmtId="43" fontId="5" fillId="0" borderId="29" xfId="0" applyNumberFormat="1" applyFont="1" applyBorder="1" applyAlignment="1">
      <alignment vertical="center" wrapText="1"/>
    </xf>
    <xf numFmtId="0" fontId="15" fillId="0" borderId="29" xfId="0" applyFont="1" applyBorder="1" applyAlignment="1">
      <alignment vertical="center" wrapText="1"/>
    </xf>
    <xf numFmtId="0" fontId="5" fillId="0" borderId="29" xfId="0" applyFont="1" applyBorder="1" applyAlignment="1">
      <alignment vertical="center" wrapText="1"/>
    </xf>
    <xf numFmtId="0" fontId="5" fillId="0" borderId="29" xfId="0" applyFont="1" applyBorder="1" applyAlignment="1">
      <alignment horizontal="center" vertical="center" wrapText="1"/>
    </xf>
    <xf numFmtId="43" fontId="5" fillId="0" borderId="29" xfId="0" applyNumberFormat="1" applyFont="1" applyBorder="1" applyAlignment="1">
      <alignment horizontal="center" vertical="center" wrapText="1"/>
    </xf>
    <xf numFmtId="169" fontId="5" fillId="0" borderId="52" xfId="0" applyNumberFormat="1" applyFont="1" applyBorder="1" applyAlignment="1">
      <alignment horizontal="right" vertical="center" wrapText="1"/>
    </xf>
    <xf numFmtId="169" fontId="5" fillId="0" borderId="29" xfId="0" applyNumberFormat="1" applyFont="1" applyBorder="1" applyAlignment="1">
      <alignment horizontal="right" vertical="center" wrapText="1"/>
    </xf>
    <xf numFmtId="169" fontId="5" fillId="0" borderId="0" xfId="0" applyNumberFormat="1" applyFont="1" applyAlignment="1">
      <alignment vertical="center"/>
    </xf>
    <xf numFmtId="169" fontId="15" fillId="0" borderId="0" xfId="0" applyNumberFormat="1" applyFont="1" applyAlignment="1">
      <alignment vertical="center"/>
    </xf>
    <xf numFmtId="0" fontId="15" fillId="0" borderId="0" xfId="0" applyFont="1" applyAlignment="1">
      <alignment vertical="center"/>
    </xf>
    <xf numFmtId="0" fontId="183" fillId="0" borderId="0" xfId="0" applyFont="1"/>
    <xf numFmtId="43" fontId="15" fillId="0" borderId="52" xfId="0" applyNumberFormat="1" applyFont="1" applyBorder="1" applyAlignment="1">
      <alignment horizontal="right" vertical="center" wrapText="1"/>
    </xf>
    <xf numFmtId="43" fontId="15" fillId="0" borderId="29" xfId="0" applyNumberFormat="1" applyFont="1" applyBorder="1" applyAlignment="1">
      <alignment horizontal="right" vertical="center" wrapText="1"/>
    </xf>
    <xf numFmtId="0" fontId="5" fillId="0" borderId="28" xfId="0" applyFont="1" applyBorder="1" applyAlignment="1">
      <alignment horizontal="center" vertical="center" wrapText="1"/>
    </xf>
    <xf numFmtId="0" fontId="5" fillId="0" borderId="28" xfId="0" applyFont="1" applyBorder="1" applyAlignment="1">
      <alignment vertical="center" wrapText="1"/>
    </xf>
    <xf numFmtId="43" fontId="5" fillId="0" borderId="28" xfId="0" applyNumberFormat="1" applyFont="1" applyBorder="1" applyAlignment="1">
      <alignment horizontal="center" vertical="center" wrapText="1"/>
    </xf>
    <xf numFmtId="169" fontId="5" fillId="0" borderId="53" xfId="0" applyNumberFormat="1" applyFont="1" applyBorder="1" applyAlignment="1">
      <alignment horizontal="right" vertical="center" wrapText="1"/>
    </xf>
    <xf numFmtId="169" fontId="5" fillId="0" borderId="28" xfId="0" applyNumberFormat="1" applyFont="1" applyBorder="1" applyAlignment="1">
      <alignment horizontal="right" vertical="center" wrapText="1"/>
    </xf>
    <xf numFmtId="0" fontId="5" fillId="0" borderId="28" xfId="0" applyFont="1" applyBorder="1" applyAlignment="1">
      <alignment horizontal="left" vertical="center" wrapText="1"/>
    </xf>
    <xf numFmtId="0" fontId="34" fillId="0" borderId="115" xfId="13384" applyFont="1" applyBorder="1" applyAlignment="1">
      <alignment horizontal="justify" vertical="center" wrapText="1"/>
    </xf>
    <xf numFmtId="0" fontId="184" fillId="0" borderId="0" xfId="0" applyFont="1"/>
    <xf numFmtId="0" fontId="11" fillId="0" borderId="0" xfId="13384" applyFont="1"/>
    <xf numFmtId="178" fontId="11" fillId="0" borderId="0" xfId="13385" applyNumberFormat="1" applyFont="1" applyFill="1"/>
    <xf numFmtId="0" fontId="4" fillId="0" borderId="26" xfId="1461" applyFont="1" applyBorder="1" applyAlignment="1">
      <alignment vertical="center"/>
    </xf>
    <xf numFmtId="184" fontId="4" fillId="0" borderId="26" xfId="1461" applyNumberFormat="1" applyFont="1" applyBorder="1" applyAlignment="1">
      <alignment vertical="center"/>
    </xf>
    <xf numFmtId="3" fontId="4" fillId="0" borderId="26" xfId="1461" applyNumberFormat="1" applyFont="1" applyBorder="1" applyAlignment="1">
      <alignment vertical="center"/>
    </xf>
    <xf numFmtId="0" fontId="11" fillId="0" borderId="0" xfId="0" applyFont="1"/>
    <xf numFmtId="0" fontId="182" fillId="0" borderId="0" xfId="0" applyFont="1" applyAlignment="1">
      <alignment horizontal="center"/>
    </xf>
    <xf numFmtId="0" fontId="39" fillId="0" borderId="0" xfId="13391" applyFont="1" applyAlignment="1">
      <alignment vertical="center" wrapText="1"/>
    </xf>
    <xf numFmtId="187" fontId="39" fillId="0" borderId="0" xfId="13392" applyNumberFormat="1" applyFont="1" applyFill="1" applyBorder="1" applyAlignment="1">
      <alignment vertical="center" wrapText="1"/>
    </xf>
    <xf numFmtId="0" fontId="39" fillId="0" borderId="0" xfId="13391" applyFont="1" applyAlignment="1">
      <alignment horizontal="left" vertical="center" wrapText="1"/>
    </xf>
    <xf numFmtId="187" fontId="39" fillId="0" borderId="0" xfId="13392" applyNumberFormat="1" applyFont="1" applyFill="1" applyAlignment="1">
      <alignment horizontal="right" vertical="center" wrapText="1"/>
    </xf>
    <xf numFmtId="179" fontId="39" fillId="0" borderId="0" xfId="13393" applyNumberFormat="1" applyFont="1" applyFill="1" applyAlignment="1">
      <alignment horizontal="right" vertical="center" wrapText="1"/>
    </xf>
    <xf numFmtId="180" fontId="39" fillId="0" borderId="0" xfId="13393" applyNumberFormat="1" applyFont="1" applyFill="1" applyAlignment="1">
      <alignment horizontal="center" vertical="center" wrapText="1"/>
    </xf>
    <xf numFmtId="0" fontId="39" fillId="0" borderId="0" xfId="13391" applyFont="1" applyAlignment="1">
      <alignment horizontal="center" vertical="center" wrapText="1"/>
    </xf>
    <xf numFmtId="187" fontId="39" fillId="0" borderId="115" xfId="13392" applyNumberFormat="1" applyFont="1" applyFill="1" applyBorder="1" applyAlignment="1">
      <alignment horizontal="right" vertical="center" wrapText="1"/>
    </xf>
    <xf numFmtId="0" fontId="39" fillId="0" borderId="115" xfId="1458" applyFont="1" applyBorder="1" applyAlignment="1">
      <alignment horizontal="left" vertical="center" wrapText="1"/>
    </xf>
    <xf numFmtId="179" fontId="39" fillId="0" borderId="115" xfId="13393" applyNumberFormat="1" applyFont="1" applyFill="1" applyBorder="1" applyAlignment="1">
      <alignment horizontal="right" vertical="center" wrapText="1"/>
    </xf>
    <xf numFmtId="181" fontId="39" fillId="0" borderId="115" xfId="13393" applyNumberFormat="1" applyFont="1" applyFill="1" applyBorder="1" applyAlignment="1">
      <alignment horizontal="right" vertical="center" wrapText="1"/>
    </xf>
    <xf numFmtId="181" fontId="39" fillId="0" borderId="115" xfId="13391" applyNumberFormat="1" applyFont="1" applyBorder="1" applyAlignment="1">
      <alignment horizontal="left" vertical="center" wrapText="1"/>
    </xf>
    <xf numFmtId="181" fontId="39" fillId="0" borderId="115" xfId="1458" applyNumberFormat="1" applyFont="1" applyBorder="1" applyAlignment="1">
      <alignment horizontal="center" vertical="center" wrapText="1"/>
    </xf>
    <xf numFmtId="187" fontId="40" fillId="0" borderId="115" xfId="13392" applyNumberFormat="1" applyFont="1" applyFill="1" applyBorder="1" applyAlignment="1">
      <alignment horizontal="right" vertical="center" wrapText="1"/>
    </xf>
    <xf numFmtId="0" fontId="39" fillId="0" borderId="115" xfId="13391" applyFont="1" applyBorder="1" applyAlignment="1">
      <alignment horizontal="left" vertical="center" wrapText="1"/>
    </xf>
    <xf numFmtId="179" fontId="40" fillId="0" borderId="115" xfId="13393" applyNumberFormat="1" applyFont="1" applyFill="1" applyBorder="1" applyAlignment="1">
      <alignment horizontal="right" vertical="center" wrapText="1"/>
    </xf>
    <xf numFmtId="181" fontId="40" fillId="0" borderId="115" xfId="13393" applyNumberFormat="1" applyFont="1" applyFill="1" applyBorder="1" applyAlignment="1">
      <alignment horizontal="right" vertical="center" wrapText="1"/>
    </xf>
    <xf numFmtId="181" fontId="40" fillId="0" borderId="115" xfId="1458" applyNumberFormat="1" applyFont="1" applyBorder="1" applyAlignment="1">
      <alignment horizontal="left" vertical="center" wrapText="1"/>
    </xf>
    <xf numFmtId="181" fontId="40" fillId="0" borderId="115" xfId="1458" applyNumberFormat="1" applyFont="1" applyBorder="1" applyAlignment="1">
      <alignment horizontal="center" vertical="center" wrapText="1"/>
    </xf>
    <xf numFmtId="181" fontId="39" fillId="0" borderId="115" xfId="1458" applyNumberFormat="1" applyFont="1" applyBorder="1" applyAlignment="1">
      <alignment horizontal="left" vertical="center" wrapText="1"/>
    </xf>
    <xf numFmtId="0" fontId="39" fillId="0" borderId="115" xfId="1411" applyFont="1" applyBorder="1" applyAlignment="1">
      <alignment horizontal="left" vertical="center" wrapText="1"/>
    </xf>
    <xf numFmtId="171" fontId="39" fillId="0" borderId="0" xfId="1378" applyNumberFormat="1" applyFont="1" applyAlignment="1">
      <alignment vertical="center" wrapText="1"/>
    </xf>
    <xf numFmtId="0" fontId="39" fillId="0" borderId="115" xfId="1383" applyFont="1" applyBorder="1" applyAlignment="1">
      <alignment horizontal="left" vertical="center" wrapText="1"/>
    </xf>
    <xf numFmtId="182" fontId="39" fillId="0" borderId="0" xfId="13391" applyNumberFormat="1" applyFont="1" applyAlignment="1">
      <alignment vertical="center" wrapText="1"/>
    </xf>
    <xf numFmtId="180" fontId="39" fillId="0" borderId="0" xfId="761" applyNumberFormat="1" applyFont="1" applyFill="1" applyBorder="1" applyAlignment="1">
      <alignment horizontal="right" vertical="center" wrapText="1"/>
    </xf>
    <xf numFmtId="0" fontId="39" fillId="0" borderId="115" xfId="13394" applyFont="1" applyBorder="1" applyAlignment="1">
      <alignment horizontal="left" vertical="center" wrapText="1"/>
    </xf>
    <xf numFmtId="1" fontId="39" fillId="0" borderId="115" xfId="13391" applyNumberFormat="1" applyFont="1" applyBorder="1" applyAlignment="1">
      <alignment horizontal="left" vertical="center" wrapText="1"/>
    </xf>
    <xf numFmtId="0" fontId="40" fillId="0" borderId="0" xfId="13391" applyFont="1" applyAlignment="1">
      <alignment vertical="center" wrapText="1"/>
    </xf>
    <xf numFmtId="187" fontId="40" fillId="0" borderId="0" xfId="13392" applyNumberFormat="1" applyFont="1" applyFill="1" applyBorder="1" applyAlignment="1">
      <alignment vertical="center" wrapText="1"/>
    </xf>
    <xf numFmtId="0" fontId="40" fillId="0" borderId="115" xfId="13391" applyFont="1" applyBorder="1" applyAlignment="1">
      <alignment horizontal="left" vertical="center" wrapText="1"/>
    </xf>
    <xf numFmtId="181" fontId="40" fillId="0" borderId="115" xfId="13391" applyNumberFormat="1" applyFont="1" applyBorder="1" applyAlignment="1">
      <alignment horizontal="left" vertical="center" wrapText="1"/>
    </xf>
    <xf numFmtId="187" fontId="39" fillId="0" borderId="0" xfId="13395" applyNumberFormat="1" applyFont="1" applyFill="1" applyBorder="1" applyAlignment="1">
      <alignment vertical="center" wrapText="1"/>
    </xf>
    <xf numFmtId="187" fontId="39" fillId="0" borderId="115" xfId="13392" applyNumberFormat="1" applyFont="1" applyFill="1" applyBorder="1" applyAlignment="1">
      <alignment horizontal="center" vertical="center" wrapText="1"/>
    </xf>
    <xf numFmtId="179" fontId="39" fillId="0" borderId="115" xfId="13393" applyNumberFormat="1" applyFont="1" applyFill="1" applyBorder="1" applyAlignment="1">
      <alignment horizontal="center" vertical="center" wrapText="1"/>
    </xf>
    <xf numFmtId="181" fontId="39" fillId="0" borderId="115" xfId="13393" applyNumberFormat="1" applyFont="1" applyFill="1" applyBorder="1" applyAlignment="1">
      <alignment horizontal="center" vertical="center" wrapText="1"/>
    </xf>
    <xf numFmtId="187" fontId="39" fillId="0" borderId="27" xfId="13392" applyNumberFormat="1" applyFont="1" applyFill="1" applyBorder="1" applyAlignment="1">
      <alignment horizontal="center" vertical="center" wrapText="1"/>
    </xf>
    <xf numFmtId="187" fontId="39" fillId="0" borderId="115" xfId="13392" applyNumberFormat="1" applyFont="1" applyFill="1" applyBorder="1" applyAlignment="1">
      <alignment vertical="center" wrapText="1"/>
    </xf>
    <xf numFmtId="179" fontId="39" fillId="0" borderId="115" xfId="13393" applyNumberFormat="1" applyFont="1" applyFill="1" applyBorder="1" applyAlignment="1">
      <alignment vertical="center" wrapText="1"/>
    </xf>
    <xf numFmtId="183" fontId="39" fillId="0" borderId="0" xfId="13391" applyNumberFormat="1" applyFont="1" applyAlignment="1">
      <alignment vertical="center" wrapText="1"/>
    </xf>
    <xf numFmtId="183" fontId="40" fillId="0" borderId="115" xfId="13393" applyNumberFormat="1" applyFont="1" applyFill="1" applyBorder="1" applyAlignment="1">
      <alignment horizontal="right" vertical="center" wrapText="1"/>
    </xf>
    <xf numFmtId="0" fontId="40" fillId="0" borderId="115" xfId="1458" applyFont="1" applyBorder="1" applyAlignment="1">
      <alignment horizontal="left" vertical="center" wrapText="1"/>
    </xf>
    <xf numFmtId="171" fontId="40" fillId="0" borderId="0" xfId="1402" applyNumberFormat="1" applyFont="1" applyAlignment="1">
      <alignment horizontal="left" vertical="center" wrapText="1"/>
    </xf>
    <xf numFmtId="0" fontId="39" fillId="0" borderId="115" xfId="1402" applyFont="1" applyBorder="1" applyAlignment="1">
      <alignment horizontal="left" vertical="center" wrapText="1"/>
    </xf>
    <xf numFmtId="0" fontId="40" fillId="0" borderId="0" xfId="1384" applyFont="1" applyAlignment="1">
      <alignment vertical="center" wrapText="1"/>
    </xf>
    <xf numFmtId="0" fontId="39" fillId="0" borderId="115" xfId="1384" applyFont="1" applyBorder="1" applyAlignment="1">
      <alignment horizontal="left" vertical="center" wrapText="1"/>
    </xf>
    <xf numFmtId="171" fontId="40" fillId="0" borderId="0" xfId="1396" applyNumberFormat="1" applyFont="1" applyAlignment="1">
      <alignment vertical="center" wrapText="1"/>
    </xf>
    <xf numFmtId="0" fontId="39" fillId="0" borderId="115" xfId="1396" applyFont="1" applyBorder="1" applyAlignment="1">
      <alignment horizontal="left" vertical="center" wrapText="1"/>
    </xf>
    <xf numFmtId="171" fontId="40" fillId="0" borderId="0" xfId="1401" applyNumberFormat="1" applyFont="1" applyAlignment="1">
      <alignment vertical="center" wrapText="1"/>
    </xf>
    <xf numFmtId="0" fontId="39" fillId="0" borderId="115" xfId="1401" applyFont="1" applyBorder="1" applyAlignment="1">
      <alignment horizontal="left" vertical="center" wrapText="1"/>
    </xf>
    <xf numFmtId="171" fontId="40" fillId="0" borderId="0" xfId="1398" applyNumberFormat="1" applyFont="1" applyAlignment="1">
      <alignment vertical="center" wrapText="1"/>
    </xf>
    <xf numFmtId="0" fontId="39" fillId="0" borderId="115" xfId="1398" applyFont="1" applyBorder="1" applyAlignment="1">
      <alignment horizontal="left" vertical="center" wrapText="1"/>
    </xf>
    <xf numFmtId="171" fontId="40" fillId="0" borderId="0" xfId="1399" applyNumberFormat="1" applyFont="1" applyAlignment="1">
      <alignment vertical="center" wrapText="1"/>
    </xf>
    <xf numFmtId="0" fontId="39" fillId="0" borderId="115" xfId="1399" applyFont="1" applyBorder="1" applyAlignment="1">
      <alignment horizontal="left" vertical="center" wrapText="1"/>
    </xf>
    <xf numFmtId="181" fontId="39" fillId="0" borderId="115" xfId="1458" quotePrefix="1" applyNumberFormat="1" applyFont="1" applyBorder="1" applyAlignment="1">
      <alignment horizontal="center" vertical="center" wrapText="1"/>
    </xf>
    <xf numFmtId="181" fontId="39" fillId="0" borderId="115" xfId="13391" applyNumberFormat="1" applyFont="1" applyBorder="1" applyAlignment="1">
      <alignment horizontal="center" vertical="center" wrapText="1"/>
    </xf>
    <xf numFmtId="0" fontId="39" fillId="0" borderId="115" xfId="1403" applyFont="1" applyBorder="1" applyAlignment="1">
      <alignment horizontal="left" vertical="center" wrapText="1"/>
    </xf>
    <xf numFmtId="187" fontId="40" fillId="0" borderId="115" xfId="13392" applyNumberFormat="1" applyFont="1" applyFill="1" applyBorder="1" applyAlignment="1">
      <alignment vertical="center" wrapText="1"/>
    </xf>
    <xf numFmtId="187" fontId="40" fillId="0" borderId="115" xfId="13392" applyNumberFormat="1" applyFont="1" applyFill="1" applyBorder="1" applyAlignment="1">
      <alignment horizontal="center" vertical="center" wrapText="1"/>
    </xf>
    <xf numFmtId="171" fontId="40" fillId="0" borderId="0" xfId="1380" applyNumberFormat="1" applyFont="1" applyAlignment="1">
      <alignment vertical="center" wrapText="1"/>
    </xf>
    <xf numFmtId="179" fontId="40" fillId="0" borderId="0" xfId="760" applyNumberFormat="1" applyFont="1" applyFill="1" applyBorder="1" applyAlignment="1">
      <alignment horizontal="right" vertical="center" wrapText="1"/>
    </xf>
    <xf numFmtId="179" fontId="40" fillId="0" borderId="0" xfId="760" applyNumberFormat="1" applyFont="1" applyFill="1" applyBorder="1" applyAlignment="1">
      <alignment vertical="center" wrapText="1"/>
    </xf>
    <xf numFmtId="0" fontId="39" fillId="0" borderId="115" xfId="13391" applyFont="1" applyBorder="1" applyAlignment="1">
      <alignment horizontal="center" vertical="center" wrapText="1"/>
    </xf>
    <xf numFmtId="0" fontId="39" fillId="0" borderId="27" xfId="13391" applyFont="1" applyBorder="1" applyAlignment="1">
      <alignment horizontal="left" vertical="center" wrapText="1"/>
    </xf>
    <xf numFmtId="187" fontId="39" fillId="0" borderId="112" xfId="13392" applyNumberFormat="1" applyFont="1" applyFill="1" applyBorder="1" applyAlignment="1">
      <alignment horizontal="right" vertical="center" wrapText="1"/>
    </xf>
    <xf numFmtId="0" fontId="39" fillId="0" borderId="20" xfId="13391" applyFont="1" applyBorder="1" applyAlignment="1">
      <alignment horizontal="left" vertical="center" wrapText="1"/>
    </xf>
    <xf numFmtId="0" fontId="40" fillId="0" borderId="114" xfId="13391" applyFont="1" applyBorder="1" applyAlignment="1">
      <alignment horizontal="left" vertical="center" wrapText="1"/>
    </xf>
    <xf numFmtId="0" fontId="40" fillId="0" borderId="115" xfId="1411" applyFont="1" applyBorder="1" applyAlignment="1">
      <alignment horizontal="left" vertical="center" wrapText="1"/>
    </xf>
    <xf numFmtId="183" fontId="40" fillId="0" borderId="0" xfId="13391" applyNumberFormat="1" applyFont="1" applyAlignment="1">
      <alignment vertical="center" wrapText="1"/>
    </xf>
    <xf numFmtId="179" fontId="39" fillId="0" borderId="0" xfId="13393" applyNumberFormat="1" applyFont="1" applyFill="1" applyBorder="1" applyAlignment="1">
      <alignment vertical="center" wrapText="1"/>
    </xf>
    <xf numFmtId="187" fontId="40" fillId="0" borderId="114" xfId="13392" applyNumberFormat="1" applyFont="1" applyFill="1" applyBorder="1" applyAlignment="1">
      <alignment horizontal="right" vertical="center" wrapText="1"/>
    </xf>
    <xf numFmtId="0" fontId="40" fillId="0" borderId="115" xfId="13393" applyNumberFormat="1" applyFont="1" applyFill="1" applyBorder="1" applyAlignment="1">
      <alignment horizontal="left" vertical="center" wrapText="1"/>
    </xf>
    <xf numFmtId="0" fontId="39" fillId="0" borderId="115" xfId="13393" applyNumberFormat="1" applyFont="1" applyFill="1" applyBorder="1" applyAlignment="1">
      <alignment horizontal="left" vertical="center" wrapText="1"/>
    </xf>
    <xf numFmtId="179" fontId="40" fillId="0" borderId="0" xfId="13391" applyNumberFormat="1" applyFont="1" applyAlignment="1">
      <alignment vertical="center" wrapText="1"/>
    </xf>
    <xf numFmtId="0" fontId="40" fillId="0" borderId="115" xfId="938" applyNumberFormat="1" applyFont="1" applyFill="1" applyBorder="1" applyAlignment="1">
      <alignment horizontal="left" vertical="center" wrapText="1"/>
    </xf>
    <xf numFmtId="167" fontId="40" fillId="0" borderId="115" xfId="13396" applyNumberFormat="1" applyFont="1" applyFill="1" applyBorder="1" applyAlignment="1">
      <alignment horizontal="left" vertical="center" wrapText="1"/>
    </xf>
    <xf numFmtId="167" fontId="39" fillId="0" borderId="115" xfId="13396" applyNumberFormat="1" applyFont="1" applyFill="1" applyBorder="1" applyAlignment="1">
      <alignment horizontal="left" vertical="center" wrapText="1"/>
    </xf>
    <xf numFmtId="0" fontId="39" fillId="0" borderId="115" xfId="13396" applyNumberFormat="1" applyFont="1" applyFill="1" applyBorder="1" applyAlignment="1">
      <alignment horizontal="left" vertical="center" wrapText="1"/>
    </xf>
    <xf numFmtId="184" fontId="39" fillId="0" borderId="115" xfId="13397" applyNumberFormat="1" applyFont="1" applyBorder="1" applyAlignment="1">
      <alignment horizontal="left" vertical="center" wrapText="1"/>
    </xf>
    <xf numFmtId="184" fontId="39" fillId="0" borderId="27" xfId="13397" applyNumberFormat="1" applyFont="1" applyBorder="1" applyAlignment="1">
      <alignment horizontal="left" vertical="center" wrapText="1"/>
    </xf>
    <xf numFmtId="187" fontId="40" fillId="0" borderId="112" xfId="13392" applyNumberFormat="1" applyFont="1" applyFill="1" applyBorder="1" applyAlignment="1">
      <alignment horizontal="right" vertical="center" wrapText="1"/>
    </xf>
    <xf numFmtId="0" fontId="39" fillId="0" borderId="114" xfId="13391" applyFont="1" applyBorder="1" applyAlignment="1">
      <alignment horizontal="left" vertical="center" wrapText="1"/>
    </xf>
    <xf numFmtId="0" fontId="40" fillId="0" borderId="27" xfId="13391" applyFont="1" applyBorder="1" applyAlignment="1">
      <alignment horizontal="left" vertical="center" wrapText="1"/>
    </xf>
    <xf numFmtId="0" fontId="40" fillId="0" borderId="114" xfId="1458" applyFont="1" applyBorder="1" applyAlignment="1">
      <alignment horizontal="left" vertical="center" wrapText="1"/>
    </xf>
    <xf numFmtId="181" fontId="40" fillId="0" borderId="115" xfId="1458" quotePrefix="1" applyNumberFormat="1" applyFont="1" applyBorder="1" applyAlignment="1">
      <alignment horizontal="center" vertical="center" wrapText="1"/>
    </xf>
    <xf numFmtId="0" fontId="39" fillId="0" borderId="115" xfId="213" applyNumberFormat="1" applyFont="1" applyFill="1" applyBorder="1" applyAlignment="1">
      <alignment horizontal="left" vertical="center" wrapText="1"/>
    </xf>
    <xf numFmtId="0" fontId="39" fillId="0" borderId="0" xfId="13394" applyFont="1" applyAlignment="1">
      <alignment vertical="center" wrapText="1"/>
    </xf>
    <xf numFmtId="0" fontId="39" fillId="0" borderId="115" xfId="1459" applyFont="1" applyBorder="1" applyAlignment="1">
      <alignment horizontal="left" vertical="center" wrapText="1"/>
    </xf>
    <xf numFmtId="0" fontId="40" fillId="0" borderId="115" xfId="1459" applyFont="1" applyBorder="1" applyAlignment="1">
      <alignment horizontal="left" vertical="center" wrapText="1"/>
    </xf>
    <xf numFmtId="187" fontId="43" fillId="0" borderId="115" xfId="13392" applyNumberFormat="1" applyFont="1" applyFill="1" applyBorder="1" applyAlignment="1">
      <alignment horizontal="right" vertical="center" wrapText="1"/>
    </xf>
    <xf numFmtId="179" fontId="43" fillId="0" borderId="115" xfId="13393" applyNumberFormat="1" applyFont="1" applyFill="1" applyBorder="1" applyAlignment="1">
      <alignment horizontal="right" vertical="center" wrapText="1"/>
    </xf>
    <xf numFmtId="181" fontId="43" fillId="0" borderId="115" xfId="13393" applyNumberFormat="1" applyFont="1" applyFill="1" applyBorder="1" applyAlignment="1">
      <alignment horizontal="right" vertical="center" wrapText="1"/>
    </xf>
    <xf numFmtId="3" fontId="39" fillId="0" borderId="115" xfId="13391" applyNumberFormat="1" applyFont="1" applyBorder="1" applyAlignment="1">
      <alignment horizontal="left" vertical="center" wrapText="1"/>
    </xf>
    <xf numFmtId="3" fontId="38" fillId="0" borderId="115" xfId="13391" applyNumberFormat="1" applyFont="1" applyBorder="1" applyAlignment="1">
      <alignment horizontal="left" vertical="center" wrapText="1"/>
    </xf>
    <xf numFmtId="187" fontId="39" fillId="0" borderId="115" xfId="13395" applyNumberFormat="1" applyFont="1" applyFill="1" applyBorder="1" applyAlignment="1">
      <alignment horizontal="right" vertical="center" wrapText="1"/>
    </xf>
    <xf numFmtId="187" fontId="39" fillId="0" borderId="0" xfId="13398" applyNumberFormat="1" applyFont="1" applyFill="1" applyBorder="1" applyAlignment="1">
      <alignment vertical="center" wrapText="1"/>
    </xf>
    <xf numFmtId="0" fontId="39" fillId="0" borderId="43" xfId="13391" applyFont="1" applyBorder="1" applyAlignment="1">
      <alignment horizontal="center" vertical="center" wrapText="1"/>
    </xf>
    <xf numFmtId="185" fontId="39" fillId="0" borderId="115" xfId="13393" applyNumberFormat="1" applyFont="1" applyFill="1" applyBorder="1" applyAlignment="1">
      <alignment horizontal="right" vertical="center" wrapText="1"/>
    </xf>
    <xf numFmtId="187" fontId="39" fillId="0" borderId="115" xfId="13392" quotePrefix="1" applyNumberFormat="1" applyFont="1" applyFill="1" applyBorder="1" applyAlignment="1">
      <alignment horizontal="right" vertical="center" wrapText="1"/>
    </xf>
    <xf numFmtId="182" fontId="40" fillId="0" borderId="0" xfId="13391" applyNumberFormat="1" applyFont="1" applyAlignment="1">
      <alignment vertical="center" wrapText="1"/>
    </xf>
    <xf numFmtId="187" fontId="40" fillId="0" borderId="115" xfId="13395" applyNumberFormat="1" applyFont="1" applyFill="1" applyBorder="1" applyAlignment="1">
      <alignment horizontal="right" vertical="center" wrapText="1"/>
    </xf>
    <xf numFmtId="183" fontId="39" fillId="0" borderId="115" xfId="13393" applyNumberFormat="1" applyFont="1" applyFill="1" applyBorder="1" applyAlignment="1">
      <alignment horizontal="right" vertical="center" wrapText="1"/>
    </xf>
    <xf numFmtId="181" fontId="40" fillId="0" borderId="0" xfId="13391" applyNumberFormat="1" applyFont="1" applyAlignment="1">
      <alignment vertical="center" wrapText="1"/>
    </xf>
    <xf numFmtId="186" fontId="40" fillId="0" borderId="115" xfId="13391" applyNumberFormat="1" applyFont="1" applyBorder="1" applyAlignment="1">
      <alignment horizontal="left" vertical="center" wrapText="1"/>
    </xf>
    <xf numFmtId="179" fontId="40" fillId="0" borderId="115" xfId="13391" applyNumberFormat="1" applyFont="1" applyBorder="1" applyAlignment="1">
      <alignment horizontal="left" vertical="center" wrapText="1"/>
    </xf>
    <xf numFmtId="179" fontId="39" fillId="0" borderId="0" xfId="13391" applyNumberFormat="1" applyFont="1" applyAlignment="1">
      <alignment vertical="center" wrapText="1"/>
    </xf>
    <xf numFmtId="185" fontId="39" fillId="0" borderId="0" xfId="13391" applyNumberFormat="1" applyFont="1" applyAlignment="1">
      <alignment vertical="center" wrapText="1"/>
    </xf>
    <xf numFmtId="179" fontId="39" fillId="0" borderId="115" xfId="13391" applyNumberFormat="1" applyFont="1" applyBorder="1" applyAlignment="1">
      <alignment horizontal="left" vertical="center" wrapText="1"/>
    </xf>
    <xf numFmtId="0" fontId="39" fillId="0" borderId="115" xfId="13392" applyNumberFormat="1" applyFont="1" applyFill="1" applyBorder="1" applyAlignment="1">
      <alignment horizontal="center" vertical="center" wrapText="1"/>
    </xf>
    <xf numFmtId="187" fontId="39" fillId="0" borderId="0" xfId="13392" applyNumberFormat="1" applyFont="1" applyFill="1" applyBorder="1" applyAlignment="1">
      <alignment horizontal="center" vertical="center" wrapText="1"/>
    </xf>
    <xf numFmtId="0" fontId="40" fillId="0" borderId="0" xfId="13393" applyNumberFormat="1" applyFont="1" applyFill="1" applyBorder="1" applyAlignment="1">
      <alignment horizontal="center" vertical="center" wrapText="1"/>
    </xf>
    <xf numFmtId="0" fontId="39" fillId="0" borderId="115" xfId="13392" applyNumberFormat="1" applyFont="1" applyFill="1" applyBorder="1" applyAlignment="1">
      <alignment horizontal="right" vertical="center" wrapText="1"/>
    </xf>
    <xf numFmtId="0" fontId="39" fillId="0" borderId="115" xfId="13393" applyNumberFormat="1" applyFont="1" applyFill="1" applyBorder="1" applyAlignment="1">
      <alignment horizontal="center" vertical="center" wrapText="1"/>
    </xf>
    <xf numFmtId="0" fontId="39" fillId="0" borderId="115" xfId="1458" applyFont="1" applyBorder="1" applyAlignment="1">
      <alignment horizontal="center" vertical="center" wrapText="1"/>
    </xf>
    <xf numFmtId="0" fontId="39" fillId="0" borderId="0" xfId="13391" applyFont="1" applyAlignment="1">
      <alignment horizontal="right" vertical="center" wrapText="1"/>
    </xf>
    <xf numFmtId="187" fontId="39" fillId="0" borderId="0" xfId="13392" applyNumberFormat="1" applyFont="1" applyFill="1" applyBorder="1" applyAlignment="1">
      <alignment horizontal="right" vertical="center" wrapText="1"/>
    </xf>
    <xf numFmtId="0" fontId="187" fillId="0" borderId="0" xfId="13391" applyFont="1" applyAlignment="1">
      <alignment horizontal="right" vertical="center" wrapText="1"/>
    </xf>
    <xf numFmtId="187" fontId="39" fillId="0" borderId="26" xfId="13392" applyNumberFormat="1" applyFont="1" applyFill="1" applyBorder="1" applyAlignment="1">
      <alignment horizontal="right" vertical="center" wrapText="1"/>
    </xf>
    <xf numFmtId="187" fontId="40" fillId="0" borderId="26" xfId="13392" applyNumberFormat="1" applyFont="1" applyFill="1" applyBorder="1" applyAlignment="1">
      <alignment horizontal="right" vertical="center" wrapText="1"/>
    </xf>
    <xf numFmtId="179" fontId="39" fillId="0" borderId="26" xfId="13393" applyNumberFormat="1" applyFont="1" applyFill="1" applyBorder="1" applyAlignment="1">
      <alignment horizontal="right" vertical="center" wrapText="1"/>
    </xf>
    <xf numFmtId="180" fontId="39" fillId="0" borderId="26" xfId="13393" applyNumberFormat="1" applyFont="1" applyFill="1" applyBorder="1" applyAlignment="1">
      <alignment horizontal="right" vertical="center" wrapText="1"/>
    </xf>
    <xf numFmtId="0" fontId="188" fillId="0" borderId="0" xfId="13391" applyFont="1" applyAlignment="1">
      <alignment vertical="center" wrapText="1"/>
    </xf>
    <xf numFmtId="187" fontId="188" fillId="0" borderId="0" xfId="13392" applyNumberFormat="1" applyFont="1" applyFill="1" applyBorder="1" applyAlignment="1">
      <alignment vertical="center" wrapText="1"/>
    </xf>
    <xf numFmtId="0" fontId="190" fillId="0" borderId="0" xfId="13391" applyFont="1"/>
    <xf numFmtId="178" fontId="190" fillId="0" borderId="0" xfId="13399" applyNumberFormat="1" applyFont="1" applyFill="1"/>
    <xf numFmtId="178" fontId="41" fillId="0" borderId="53" xfId="13399" applyNumberFormat="1" applyFont="1" applyFill="1" applyBorder="1" applyAlignment="1">
      <alignment horizontal="right" vertical="center" wrapText="1"/>
    </xf>
    <xf numFmtId="0" fontId="41" fillId="0" borderId="53" xfId="1453" applyFont="1" applyBorder="1" applyAlignment="1">
      <alignment vertical="center" wrapText="1"/>
    </xf>
    <xf numFmtId="0" fontId="41" fillId="0" borderId="53" xfId="1453" quotePrefix="1" applyFont="1" applyBorder="1" applyAlignment="1">
      <alignment horizontal="center" vertical="center" wrapText="1"/>
    </xf>
    <xf numFmtId="178" fontId="46" fillId="0" borderId="52" xfId="13399" applyNumberFormat="1" applyFont="1" applyFill="1" applyBorder="1" applyAlignment="1">
      <alignment horizontal="right" vertical="center" wrapText="1"/>
    </xf>
    <xf numFmtId="0" fontId="46" fillId="0" borderId="52" xfId="1453" applyFont="1" applyBorder="1" applyAlignment="1">
      <alignment vertical="center" wrapText="1"/>
    </xf>
    <xf numFmtId="0" fontId="46" fillId="0" borderId="52" xfId="1453" applyFont="1" applyBorder="1" applyAlignment="1">
      <alignment horizontal="center" vertical="center" wrapText="1"/>
    </xf>
    <xf numFmtId="178" fontId="41" fillId="0" borderId="52" xfId="13399" applyNumberFormat="1" applyFont="1" applyFill="1" applyBorder="1" applyAlignment="1">
      <alignment horizontal="right" vertical="center" wrapText="1"/>
    </xf>
    <xf numFmtId="0" fontId="41" fillId="0" borderId="52" xfId="1453" applyFont="1" applyBorder="1" applyAlignment="1">
      <alignment vertical="center" wrapText="1"/>
    </xf>
    <xf numFmtId="0" fontId="41" fillId="0" borderId="52" xfId="1453" quotePrefix="1" applyFont="1" applyBorder="1" applyAlignment="1">
      <alignment horizontal="center" vertical="center" wrapText="1"/>
    </xf>
    <xf numFmtId="178" fontId="41" fillId="0" borderId="52" xfId="13400" applyNumberFormat="1" applyFont="1" applyFill="1" applyBorder="1" applyAlignment="1">
      <alignment horizontal="right" vertical="center" wrapText="1"/>
    </xf>
    <xf numFmtId="0" fontId="41" fillId="0" borderId="52" xfId="1453" applyFont="1" applyBorder="1" applyAlignment="1">
      <alignment horizontal="center" vertical="center" wrapText="1"/>
    </xf>
    <xf numFmtId="0" fontId="46" fillId="0" borderId="52" xfId="1453" quotePrefix="1" applyFont="1" applyBorder="1" applyAlignment="1">
      <alignment horizontal="center" vertical="center" wrapText="1"/>
    </xf>
    <xf numFmtId="3" fontId="41" fillId="0" borderId="52" xfId="13391" applyNumberFormat="1" applyFont="1" applyBorder="1" applyAlignment="1">
      <alignment horizontal="right" vertical="center" wrapText="1"/>
    </xf>
    <xf numFmtId="176" fontId="41" fillId="0" borderId="52" xfId="13391" applyNumberFormat="1" applyFont="1" applyBorder="1" applyAlignment="1">
      <alignment horizontal="left" vertical="center" wrapText="1"/>
    </xf>
    <xf numFmtId="186" fontId="190" fillId="0" borderId="0" xfId="13391" applyNumberFormat="1" applyFont="1"/>
    <xf numFmtId="178" fontId="46" fillId="0" borderId="109" xfId="13399" applyNumberFormat="1" applyFont="1" applyFill="1" applyBorder="1" applyAlignment="1">
      <alignment horizontal="right" vertical="center" wrapText="1"/>
    </xf>
    <xf numFmtId="0" fontId="46" fillId="0" borderId="109" xfId="1453" applyFont="1" applyBorder="1" applyAlignment="1">
      <alignment horizontal="center" vertical="center" wrapText="1"/>
    </xf>
    <xf numFmtId="0" fontId="41" fillId="0" borderId="109" xfId="1453" applyFont="1" applyBorder="1" applyAlignment="1">
      <alignment vertical="center" wrapText="1"/>
    </xf>
    <xf numFmtId="178" fontId="46" fillId="0" borderId="115" xfId="13399" applyNumberFormat="1" applyFont="1" applyFill="1" applyBorder="1" applyAlignment="1">
      <alignment horizontal="center" vertical="center" wrapText="1"/>
    </xf>
    <xf numFmtId="0" fontId="46" fillId="0" borderId="115" xfId="1453" applyFont="1" applyBorder="1" applyAlignment="1">
      <alignment horizontal="center" vertical="center" wrapText="1"/>
    </xf>
    <xf numFmtId="0" fontId="48" fillId="0" borderId="0" xfId="1453" applyFont="1" applyAlignment="1">
      <alignment vertical="center"/>
    </xf>
    <xf numFmtId="187" fontId="191" fillId="0" borderId="53" xfId="13402" applyNumberFormat="1" applyFont="1" applyFill="1" applyBorder="1" applyAlignment="1">
      <alignment horizontal="right" vertical="center" wrapText="1"/>
    </xf>
    <xf numFmtId="187" fontId="191" fillId="0" borderId="52" xfId="13402" applyNumberFormat="1" applyFont="1" applyFill="1" applyBorder="1" applyAlignment="1">
      <alignment horizontal="right" vertical="center" wrapText="1"/>
    </xf>
    <xf numFmtId="187" fontId="51" fillId="0" borderId="52" xfId="13402" applyNumberFormat="1" applyFont="1" applyFill="1" applyBorder="1" applyAlignment="1">
      <alignment horizontal="right" vertical="center" wrapText="1"/>
    </xf>
    <xf numFmtId="180" fontId="191" fillId="0" borderId="52" xfId="13402" applyNumberFormat="1" applyFont="1" applyFill="1" applyBorder="1" applyAlignment="1">
      <alignment horizontal="right" vertical="center" wrapText="1"/>
    </xf>
    <xf numFmtId="184" fontId="191" fillId="0" borderId="52" xfId="13402" applyNumberFormat="1" applyFont="1" applyFill="1" applyBorder="1" applyAlignment="1">
      <alignment horizontal="right" vertical="center" wrapText="1"/>
    </xf>
    <xf numFmtId="4" fontId="51" fillId="0" borderId="52" xfId="13404" applyNumberFormat="1" applyFont="1" applyFill="1" applyBorder="1" applyAlignment="1">
      <alignment horizontal="right" vertical="center" wrapText="1"/>
    </xf>
    <xf numFmtId="4" fontId="191" fillId="0" borderId="52" xfId="13404" applyNumberFormat="1" applyFont="1" applyFill="1" applyBorder="1" applyAlignment="1">
      <alignment horizontal="right" vertical="center" wrapText="1"/>
    </xf>
    <xf numFmtId="4" fontId="51" fillId="0" borderId="52" xfId="13407" applyNumberFormat="1" applyFont="1" applyFill="1" applyBorder="1" applyAlignment="1">
      <alignment horizontal="right" vertical="center" wrapText="1"/>
    </xf>
    <xf numFmtId="187" fontId="51" fillId="0" borderId="52" xfId="13404" applyNumberFormat="1" applyFont="1" applyFill="1" applyBorder="1" applyAlignment="1">
      <alignment horizontal="right" vertical="center" wrapText="1"/>
    </xf>
    <xf numFmtId="187" fontId="191" fillId="0" borderId="52" xfId="13404" applyNumberFormat="1" applyFont="1" applyFill="1" applyBorder="1" applyAlignment="1">
      <alignment horizontal="right" vertical="center" wrapText="1"/>
    </xf>
    <xf numFmtId="4" fontId="51" fillId="0" borderId="52" xfId="13408" applyNumberFormat="1" applyFont="1" applyFill="1" applyBorder="1" applyAlignment="1">
      <alignment horizontal="right" vertical="center" wrapText="1"/>
    </xf>
    <xf numFmtId="4" fontId="51" fillId="0" borderId="52" xfId="13409" applyNumberFormat="1" applyFont="1" applyFill="1" applyBorder="1" applyAlignment="1">
      <alignment horizontal="right" vertical="center" wrapText="1"/>
    </xf>
    <xf numFmtId="187" fontId="51" fillId="0" borderId="52" xfId="13410" applyNumberFormat="1" applyFont="1" applyFill="1" applyBorder="1" applyAlignment="1">
      <alignment horizontal="right" vertical="center" wrapText="1"/>
    </xf>
    <xf numFmtId="4" fontId="51" fillId="0" borderId="52" xfId="13410" applyNumberFormat="1" applyFont="1" applyFill="1" applyBorder="1" applyAlignment="1">
      <alignment horizontal="right" vertical="center" wrapText="1"/>
    </xf>
    <xf numFmtId="4" fontId="191" fillId="0" borderId="52" xfId="13410" applyNumberFormat="1" applyFont="1" applyFill="1" applyBorder="1" applyAlignment="1">
      <alignment horizontal="right" vertical="center" wrapText="1"/>
    </xf>
    <xf numFmtId="180" fontId="191" fillId="0" borderId="52" xfId="13410" applyNumberFormat="1" applyFont="1" applyFill="1" applyBorder="1" applyAlignment="1">
      <alignment horizontal="right" vertical="center" wrapText="1"/>
    </xf>
    <xf numFmtId="4" fontId="51" fillId="0" borderId="52" xfId="13414" applyNumberFormat="1" applyFont="1" applyFill="1" applyBorder="1" applyAlignment="1">
      <alignment horizontal="right" vertical="center" wrapText="1"/>
    </xf>
    <xf numFmtId="167" fontId="191" fillId="0" borderId="52" xfId="13414" applyFont="1" applyFill="1" applyBorder="1" applyAlignment="1">
      <alignment horizontal="right" vertical="center" wrapText="1"/>
    </xf>
    <xf numFmtId="4" fontId="191" fillId="0" borderId="52" xfId="13414" applyNumberFormat="1" applyFont="1" applyFill="1" applyBorder="1" applyAlignment="1">
      <alignment horizontal="right" vertical="center" wrapText="1"/>
    </xf>
    <xf numFmtId="4" fontId="191" fillId="0" borderId="52" xfId="13408" applyNumberFormat="1" applyFont="1" applyFill="1" applyBorder="1" applyAlignment="1">
      <alignment horizontal="right" vertical="center" wrapText="1"/>
    </xf>
    <xf numFmtId="187" fontId="51" fillId="0" borderId="52" xfId="13416" applyNumberFormat="1" applyFont="1" applyFill="1" applyBorder="1" applyAlignment="1">
      <alignment horizontal="right" vertical="center" wrapText="1"/>
    </xf>
    <xf numFmtId="4" fontId="51" fillId="0" borderId="52" xfId="13416" applyNumberFormat="1" applyFont="1" applyFill="1" applyBorder="1" applyAlignment="1">
      <alignment horizontal="right" vertical="center" wrapText="1"/>
    </xf>
    <xf numFmtId="183" fontId="51" fillId="0" borderId="52" xfId="13417" applyNumberFormat="1" applyFont="1" applyFill="1" applyBorder="1" applyAlignment="1">
      <alignment horizontal="right" vertical="center" wrapText="1"/>
    </xf>
    <xf numFmtId="187" fontId="191" fillId="0" borderId="0" xfId="13399" applyNumberFormat="1" applyFont="1" applyFill="1" applyBorder="1" applyAlignment="1">
      <alignment horizontal="right" vertical="center" wrapText="1"/>
    </xf>
    <xf numFmtId="0" fontId="6" fillId="0" borderId="26" xfId="0" applyFont="1" applyBorder="1"/>
    <xf numFmtId="171" fontId="6" fillId="0" borderId="26" xfId="0" applyNumberFormat="1" applyFont="1" applyBorder="1"/>
    <xf numFmtId="0" fontId="39" fillId="0" borderId="91" xfId="13391" applyFont="1" applyBorder="1" applyAlignment="1">
      <alignment horizontal="left" vertical="center" wrapText="1"/>
    </xf>
    <xf numFmtId="0" fontId="38" fillId="0" borderId="115" xfId="13391" applyFont="1" applyBorder="1" applyAlignment="1">
      <alignment horizontal="left" vertical="center" wrapText="1"/>
    </xf>
    <xf numFmtId="178" fontId="41" fillId="0" borderId="52" xfId="13401" applyNumberFormat="1" applyFont="1" applyFill="1" applyBorder="1" applyAlignment="1">
      <alignment horizontal="right" vertical="center" wrapText="1"/>
    </xf>
    <xf numFmtId="0" fontId="192" fillId="0" borderId="0" xfId="13391" applyFont="1" applyAlignment="1">
      <alignment vertical="center" wrapText="1"/>
    </xf>
    <xf numFmtId="0" fontId="200" fillId="0" borderId="0" xfId="13391" applyFont="1" applyAlignment="1">
      <alignment vertical="center" wrapText="1"/>
    </xf>
    <xf numFmtId="0" fontId="51" fillId="0" borderId="0" xfId="13391" applyFont="1" applyAlignment="1">
      <alignment horizontal="right" vertical="center" wrapText="1"/>
    </xf>
    <xf numFmtId="4" fontId="51" fillId="0" borderId="0" xfId="13391" applyNumberFormat="1" applyFont="1" applyAlignment="1">
      <alignment horizontal="right" vertical="center" wrapText="1"/>
    </xf>
    <xf numFmtId="0" fontId="192" fillId="0" borderId="0" xfId="13391" applyFont="1" applyAlignment="1">
      <alignment horizontal="right" vertical="center" wrapText="1"/>
    </xf>
    <xf numFmtId="4" fontId="191" fillId="0" borderId="115" xfId="13391" applyNumberFormat="1" applyFont="1" applyBorder="1" applyAlignment="1">
      <alignment horizontal="center" vertical="center" wrapText="1"/>
    </xf>
    <xf numFmtId="0" fontId="51" fillId="0" borderId="115" xfId="13391" applyFont="1" applyBorder="1" applyAlignment="1">
      <alignment horizontal="center" vertical="center" wrapText="1"/>
    </xf>
    <xf numFmtId="4" fontId="51" fillId="0" borderId="115" xfId="13391" applyNumberFormat="1" applyFont="1" applyBorder="1" applyAlignment="1">
      <alignment horizontal="center" vertical="center" wrapText="1"/>
    </xf>
    <xf numFmtId="3" fontId="51" fillId="0" borderId="115" xfId="13391" applyNumberFormat="1" applyFont="1" applyBorder="1" applyAlignment="1">
      <alignment horizontal="center" vertical="center" wrapText="1"/>
    </xf>
    <xf numFmtId="0" fontId="51" fillId="0" borderId="109" xfId="13391" applyFont="1" applyBorder="1" applyAlignment="1">
      <alignment horizontal="center" vertical="center" wrapText="1"/>
    </xf>
    <xf numFmtId="0" fontId="191" fillId="0" borderId="109" xfId="13391" applyFont="1" applyBorder="1" applyAlignment="1">
      <alignment horizontal="center" vertical="center" wrapText="1"/>
    </xf>
    <xf numFmtId="4" fontId="191" fillId="0" borderId="109" xfId="13391" applyNumberFormat="1" applyFont="1" applyBorder="1" applyAlignment="1">
      <alignment horizontal="right" vertical="center" wrapText="1"/>
    </xf>
    <xf numFmtId="0" fontId="51" fillId="0" borderId="109" xfId="13391" applyFont="1" applyBorder="1" applyAlignment="1">
      <alignment horizontal="right" vertical="center" wrapText="1"/>
    </xf>
    <xf numFmtId="0" fontId="191" fillId="0" borderId="52" xfId="13415" applyFont="1" applyBorder="1" applyAlignment="1">
      <alignment horizontal="center" vertical="center" wrapText="1"/>
    </xf>
    <xf numFmtId="0" fontId="191" fillId="0" borderId="52" xfId="13415" applyFont="1" applyBorder="1" applyAlignment="1">
      <alignment vertical="center" wrapText="1"/>
    </xf>
    <xf numFmtId="4" fontId="191" fillId="0" borderId="52" xfId="13415" applyNumberFormat="1" applyFont="1" applyBorder="1" applyAlignment="1">
      <alignment horizontal="right" vertical="center" wrapText="1"/>
    </xf>
    <xf numFmtId="183" fontId="191" fillId="0" borderId="52" xfId="13415" applyNumberFormat="1" applyFont="1" applyBorder="1" applyAlignment="1">
      <alignment horizontal="right" vertical="center" wrapText="1"/>
    </xf>
    <xf numFmtId="0" fontId="51" fillId="0" borderId="52" xfId="13415" applyFont="1" applyBorder="1" applyAlignment="1">
      <alignment horizontal="center" vertical="center" wrapText="1"/>
    </xf>
    <xf numFmtId="0" fontId="51" fillId="0" borderId="52" xfId="13415" applyFont="1" applyBorder="1" applyAlignment="1">
      <alignment vertical="center" wrapText="1"/>
    </xf>
    <xf numFmtId="4" fontId="51" fillId="0" borderId="52" xfId="13415" applyNumberFormat="1" applyFont="1" applyBorder="1" applyAlignment="1">
      <alignment horizontal="right" vertical="center" wrapText="1"/>
    </xf>
    <xf numFmtId="183" fontId="51" fillId="0" borderId="52" xfId="13415" applyNumberFormat="1" applyFont="1" applyBorder="1" applyAlignment="1">
      <alignment horizontal="right" vertical="center" wrapText="1"/>
    </xf>
    <xf numFmtId="0" fontId="191" fillId="0" borderId="52" xfId="13391" applyFont="1" applyBorder="1" applyAlignment="1">
      <alignment horizontal="center" vertical="center" wrapText="1"/>
    </xf>
    <xf numFmtId="0" fontId="191" fillId="0" borderId="52" xfId="13391" applyFont="1" applyBorder="1" applyAlignment="1">
      <alignment vertical="center" wrapText="1"/>
    </xf>
    <xf numFmtId="4" fontId="191" fillId="0" borderId="52" xfId="13391" applyNumberFormat="1" applyFont="1" applyBorder="1" applyAlignment="1">
      <alignment horizontal="right" vertical="center" wrapText="1"/>
    </xf>
    <xf numFmtId="3" fontId="191" fillId="0" borderId="52" xfId="13391" applyNumberFormat="1" applyFont="1" applyBorder="1" applyAlignment="1">
      <alignment horizontal="right" vertical="center" wrapText="1"/>
    </xf>
    <xf numFmtId="0" fontId="51" fillId="0" borderId="52" xfId="13391" applyFont="1" applyBorder="1" applyAlignment="1">
      <alignment horizontal="center" vertical="center" wrapText="1"/>
    </xf>
    <xf numFmtId="0" fontId="51" fillId="0" borderId="52" xfId="13391" applyFont="1" applyBorder="1" applyAlignment="1">
      <alignment vertical="center" wrapText="1"/>
    </xf>
    <xf numFmtId="4" fontId="51" fillId="0" borderId="52" xfId="13391" applyNumberFormat="1" applyFont="1" applyBorder="1" applyAlignment="1">
      <alignment horizontal="right" vertical="center" wrapText="1"/>
    </xf>
    <xf numFmtId="3" fontId="51" fillId="0" borderId="52" xfId="13391" applyNumberFormat="1" applyFont="1" applyBorder="1" applyAlignment="1">
      <alignment horizontal="right" vertical="center" wrapText="1"/>
    </xf>
    <xf numFmtId="181" fontId="191" fillId="0" borderId="52" xfId="13391" applyNumberFormat="1" applyFont="1" applyBorder="1" applyAlignment="1">
      <alignment horizontal="justify" vertical="center" wrapText="1"/>
    </xf>
    <xf numFmtId="0" fontId="191" fillId="0" borderId="52" xfId="13391" applyFont="1" applyBorder="1" applyAlignment="1">
      <alignment horizontal="justify" vertical="center" wrapText="1"/>
    </xf>
    <xf numFmtId="0" fontId="191" fillId="0" borderId="52" xfId="13391" applyFont="1" applyBorder="1" applyAlignment="1">
      <alignment horizontal="right" vertical="center" wrapText="1"/>
    </xf>
    <xf numFmtId="0" fontId="51" fillId="0" borderId="52" xfId="13391" applyFont="1" applyBorder="1" applyAlignment="1">
      <alignment horizontal="left" vertical="center" wrapText="1"/>
    </xf>
    <xf numFmtId="0" fontId="51" fillId="0" borderId="52" xfId="13391" applyFont="1" applyBorder="1" applyAlignment="1">
      <alignment horizontal="right" vertical="center" wrapText="1"/>
    </xf>
    <xf numFmtId="0" fontId="51" fillId="0" borderId="115" xfId="0" applyFont="1" applyBorder="1" applyAlignment="1">
      <alignment horizontal="center" vertical="center" wrapText="1"/>
    </xf>
    <xf numFmtId="0" fontId="51" fillId="0" borderId="115" xfId="0" applyFont="1" applyBorder="1" applyAlignment="1">
      <alignment vertical="center" wrapText="1"/>
    </xf>
    <xf numFmtId="4" fontId="51" fillId="0" borderId="115" xfId="0" applyNumberFormat="1" applyFont="1" applyBorder="1" applyAlignment="1">
      <alignment horizontal="right" vertical="center" wrapText="1"/>
    </xf>
    <xf numFmtId="4" fontId="51" fillId="0" borderId="115" xfId="0" applyNumberFormat="1" applyFont="1" applyBorder="1" applyAlignment="1">
      <alignment vertical="center" wrapText="1"/>
    </xf>
    <xf numFmtId="0" fontId="191" fillId="0" borderId="52" xfId="13415" applyFont="1" applyBorder="1" applyAlignment="1">
      <alignment horizontal="left" vertical="center" wrapText="1"/>
    </xf>
    <xf numFmtId="181" fontId="51" fillId="0" borderId="52" xfId="13391" applyNumberFormat="1" applyFont="1" applyBorder="1" applyAlignment="1">
      <alignment horizontal="justify" vertical="center" wrapText="1"/>
    </xf>
    <xf numFmtId="0" fontId="51" fillId="0" borderId="52" xfId="13391" quotePrefix="1" applyFont="1" applyBorder="1" applyAlignment="1">
      <alignment horizontal="center" vertical="center" wrapText="1"/>
    </xf>
    <xf numFmtId="0" fontId="51" fillId="0" borderId="52" xfId="13391" applyFont="1" applyBorder="1" applyAlignment="1">
      <alignment horizontal="justify" vertical="center" wrapText="1"/>
    </xf>
    <xf numFmtId="0" fontId="191" fillId="0" borderId="52" xfId="13413" applyFont="1" applyBorder="1" applyAlignment="1">
      <alignment horizontal="center" vertical="center" wrapText="1"/>
    </xf>
    <xf numFmtId="0" fontId="191" fillId="0" borderId="52" xfId="13413" applyFont="1" applyBorder="1" applyAlignment="1">
      <alignment vertical="center" wrapText="1"/>
    </xf>
    <xf numFmtId="0" fontId="191" fillId="0" borderId="52" xfId="13413" applyFont="1" applyBorder="1" applyAlignment="1">
      <alignment horizontal="right" vertical="center" wrapText="1"/>
    </xf>
    <xf numFmtId="0" fontId="51" fillId="0" borderId="52" xfId="13413" applyFont="1" applyBorder="1" applyAlignment="1">
      <alignment horizontal="center" vertical="center" wrapText="1"/>
    </xf>
    <xf numFmtId="0" fontId="51" fillId="0" borderId="52" xfId="13413" applyFont="1" applyBorder="1" applyAlignment="1">
      <alignment horizontal="left" vertical="center" wrapText="1"/>
    </xf>
    <xf numFmtId="0" fontId="51" fillId="0" borderId="52" xfId="13413" applyFont="1" applyBorder="1" applyAlignment="1">
      <alignment vertical="center" wrapText="1"/>
    </xf>
    <xf numFmtId="0" fontId="51" fillId="0" borderId="52" xfId="13413" applyFont="1" applyBorder="1" applyAlignment="1">
      <alignment horizontal="right" vertical="center" wrapText="1"/>
    </xf>
    <xf numFmtId="0" fontId="191" fillId="0" borderId="52" xfId="13411" applyFont="1" applyBorder="1" applyAlignment="1">
      <alignment horizontal="center" vertical="center" wrapText="1"/>
    </xf>
    <xf numFmtId="0" fontId="191" fillId="0" borderId="52" xfId="13411" applyFont="1" applyBorder="1" applyAlignment="1">
      <alignment vertical="center" wrapText="1"/>
    </xf>
    <xf numFmtId="0" fontId="51" fillId="0" borderId="52" xfId="13411" applyFont="1" applyBorder="1" applyAlignment="1">
      <alignment horizontal="center" vertical="center" wrapText="1"/>
    </xf>
    <xf numFmtId="0" fontId="51" fillId="0" borderId="52" xfId="13411" applyFont="1" applyBorder="1" applyAlignment="1">
      <alignment vertical="center" wrapText="1"/>
    </xf>
    <xf numFmtId="176" fontId="51" fillId="0" borderId="52" xfId="13412" applyNumberFormat="1" applyFont="1" applyBorder="1" applyAlignment="1">
      <alignment horizontal="left" vertical="center" wrapText="1"/>
    </xf>
    <xf numFmtId="183" fontId="191" fillId="0" borderId="52" xfId="13411" applyNumberFormat="1" applyFont="1" applyBorder="1" applyAlignment="1">
      <alignment horizontal="right" vertical="center" wrapText="1"/>
    </xf>
    <xf numFmtId="176" fontId="51" fillId="0" borderId="52" xfId="13411" applyNumberFormat="1" applyFont="1" applyBorder="1" applyAlignment="1">
      <alignment vertical="center" wrapText="1"/>
    </xf>
    <xf numFmtId="4" fontId="51" fillId="0" borderId="52" xfId="13411" applyNumberFormat="1" applyFont="1" applyBorder="1" applyAlignment="1">
      <alignment horizontal="right" vertical="center" wrapText="1"/>
    </xf>
    <xf numFmtId="0" fontId="51" fillId="0" borderId="52" xfId="13411" applyFont="1" applyBorder="1" applyAlignment="1">
      <alignment horizontal="right" vertical="center" wrapText="1"/>
    </xf>
    <xf numFmtId="4" fontId="191" fillId="0" borderId="52" xfId="13411" applyNumberFormat="1" applyFont="1" applyBorder="1" applyAlignment="1">
      <alignment horizontal="right" vertical="center" wrapText="1"/>
    </xf>
    <xf numFmtId="187" fontId="191" fillId="0" borderId="52" xfId="13411" applyNumberFormat="1" applyFont="1" applyBorder="1" applyAlignment="1">
      <alignment horizontal="right" vertical="center" wrapText="1"/>
    </xf>
    <xf numFmtId="0" fontId="191" fillId="0" borderId="52" xfId="13403" applyFont="1" applyBorder="1" applyAlignment="1">
      <alignment horizontal="center" vertical="center" wrapText="1"/>
    </xf>
    <xf numFmtId="0" fontId="191" fillId="0" borderId="52" xfId="13403" applyFont="1" applyBorder="1" applyAlignment="1">
      <alignment vertical="center" wrapText="1"/>
    </xf>
    <xf numFmtId="4" fontId="191" fillId="0" borderId="52" xfId="13403" applyNumberFormat="1" applyFont="1" applyBorder="1" applyAlignment="1">
      <alignment horizontal="right" vertical="center" wrapText="1"/>
    </xf>
    <xf numFmtId="181" fontId="191" fillId="0" borderId="52" xfId="13403" applyNumberFormat="1" applyFont="1" applyBorder="1" applyAlignment="1">
      <alignment horizontal="right" vertical="center" wrapText="1"/>
    </xf>
    <xf numFmtId="0" fontId="51" fillId="0" borderId="52" xfId="13403" applyFont="1" applyBorder="1" applyAlignment="1">
      <alignment horizontal="center" vertical="center" wrapText="1"/>
    </xf>
    <xf numFmtId="0" fontId="51" fillId="0" borderId="52" xfId="13403" applyFont="1" applyBorder="1" applyAlignment="1">
      <alignment vertical="center" wrapText="1"/>
    </xf>
    <xf numFmtId="4" fontId="51" fillId="0" borderId="52" xfId="13403" applyNumberFormat="1" applyFont="1" applyBorder="1" applyAlignment="1">
      <alignment horizontal="right" vertical="center" wrapText="1"/>
    </xf>
    <xf numFmtId="0" fontId="191" fillId="0" borderId="52" xfId="13403" applyFont="1" applyBorder="1" applyAlignment="1">
      <alignment horizontal="right" vertical="center" wrapText="1"/>
    </xf>
    <xf numFmtId="0" fontId="51" fillId="0" borderId="52" xfId="13403" applyFont="1" applyBorder="1" applyAlignment="1">
      <alignment horizontal="left" vertical="center" wrapText="1"/>
    </xf>
    <xf numFmtId="0" fontId="51" fillId="0" borderId="52" xfId="13403" applyFont="1" applyBorder="1" applyAlignment="1">
      <alignment horizontal="right" vertical="center" wrapText="1"/>
    </xf>
    <xf numFmtId="187" fontId="191" fillId="0" borderId="52" xfId="13403" applyNumberFormat="1" applyFont="1" applyBorder="1" applyAlignment="1">
      <alignment horizontal="right" vertical="center" wrapText="1"/>
    </xf>
    <xf numFmtId="1" fontId="191" fillId="0" borderId="52" xfId="13405" applyNumberFormat="1" applyFont="1" applyBorder="1" applyAlignment="1">
      <alignment horizontal="center" vertical="center" wrapText="1"/>
    </xf>
    <xf numFmtId="1" fontId="191" fillId="0" borderId="52" xfId="13405" applyNumberFormat="1" applyFont="1" applyBorder="1" applyAlignment="1">
      <alignment horizontal="left" vertical="center" wrapText="1"/>
    </xf>
    <xf numFmtId="0" fontId="191" fillId="0" borderId="52" xfId="1282" applyFont="1" applyBorder="1" applyAlignment="1">
      <alignment vertical="center" wrapText="1"/>
    </xf>
    <xf numFmtId="0" fontId="51" fillId="0" borderId="52" xfId="13405" applyFont="1" applyBorder="1" applyAlignment="1">
      <alignment horizontal="center" vertical="center" wrapText="1"/>
    </xf>
    <xf numFmtId="0" fontId="51" fillId="0" borderId="52" xfId="13405" applyFont="1" applyBorder="1" applyAlignment="1">
      <alignment horizontal="left" vertical="center" wrapText="1"/>
    </xf>
    <xf numFmtId="0" fontId="51" fillId="0" borderId="52" xfId="13405" applyFont="1" applyBorder="1" applyAlignment="1">
      <alignment vertical="center" wrapText="1"/>
    </xf>
    <xf numFmtId="0" fontId="51" fillId="0" borderId="52" xfId="13405" applyFont="1" applyBorder="1" applyAlignment="1">
      <alignment horizontal="right" vertical="center" wrapText="1"/>
    </xf>
    <xf numFmtId="0" fontId="191" fillId="0" borderId="52" xfId="13405" applyFont="1" applyBorder="1" applyAlignment="1">
      <alignment horizontal="center" vertical="center" wrapText="1"/>
    </xf>
    <xf numFmtId="0" fontId="191" fillId="0" borderId="52" xfId="13405" applyFont="1" applyBorder="1" applyAlignment="1">
      <alignment horizontal="left" vertical="center" wrapText="1"/>
    </xf>
    <xf numFmtId="0" fontId="198" fillId="0" borderId="52" xfId="13405" applyFont="1" applyBorder="1" applyAlignment="1">
      <alignment horizontal="right" vertical="center" wrapText="1"/>
    </xf>
    <xf numFmtId="0" fontId="191" fillId="0" borderId="52" xfId="13405" applyFont="1" applyBorder="1" applyAlignment="1">
      <alignment vertical="center" wrapText="1"/>
    </xf>
    <xf numFmtId="0" fontId="191" fillId="0" borderId="52" xfId="13405" applyFont="1" applyBorder="1" applyAlignment="1">
      <alignment horizontal="right" vertical="center" wrapText="1"/>
    </xf>
    <xf numFmtId="1" fontId="51" fillId="0" borderId="52" xfId="1454" applyNumberFormat="1" applyFont="1" applyBorder="1" applyAlignment="1">
      <alignment vertical="center" wrapText="1"/>
    </xf>
    <xf numFmtId="0" fontId="51" fillId="0" borderId="52" xfId="1454" applyFont="1" applyBorder="1" applyAlignment="1">
      <alignment vertical="center" wrapText="1"/>
    </xf>
    <xf numFmtId="0" fontId="51" fillId="0" borderId="52" xfId="1460" applyFont="1" applyBorder="1" applyAlignment="1">
      <alignment vertical="center" wrapText="1"/>
    </xf>
    <xf numFmtId="0" fontId="51" fillId="0" borderId="52" xfId="13406" applyFont="1" applyBorder="1" applyAlignment="1">
      <alignment vertical="center" wrapText="1"/>
    </xf>
    <xf numFmtId="0" fontId="191" fillId="0" borderId="52" xfId="1460" applyFont="1" applyBorder="1" applyAlignment="1">
      <alignment vertical="center" wrapText="1"/>
    </xf>
    <xf numFmtId="184" fontId="191" fillId="0" borderId="52" xfId="13391" applyNumberFormat="1" applyFont="1" applyBorder="1" applyAlignment="1">
      <alignment horizontal="center" vertical="center" wrapText="1"/>
    </xf>
    <xf numFmtId="184" fontId="51" fillId="0" borderId="52" xfId="13391" applyNumberFormat="1" applyFont="1" applyBorder="1" applyAlignment="1">
      <alignment vertical="center" wrapText="1"/>
    </xf>
    <xf numFmtId="184" fontId="191" fillId="0" borderId="52" xfId="13391" applyNumberFormat="1" applyFont="1" applyBorder="1" applyAlignment="1">
      <alignment horizontal="right" vertical="center" wrapText="1"/>
    </xf>
    <xf numFmtId="184" fontId="51" fillId="0" borderId="52" xfId="13391" applyNumberFormat="1" applyFont="1" applyBorder="1" applyAlignment="1">
      <alignment horizontal="center" vertical="center" wrapText="1"/>
    </xf>
    <xf numFmtId="184" fontId="51" fillId="0" borderId="52" xfId="13391" applyNumberFormat="1" applyFont="1" applyBorder="1" applyAlignment="1">
      <alignment horizontal="right" vertical="center" wrapText="1"/>
    </xf>
    <xf numFmtId="0" fontId="191" fillId="0" borderId="52" xfId="13391" applyFont="1" applyBorder="1" applyAlignment="1">
      <alignment horizontal="left" vertical="center" wrapText="1"/>
    </xf>
    <xf numFmtId="0" fontId="196" fillId="0" borderId="52" xfId="13391" applyFont="1" applyBorder="1" applyAlignment="1">
      <alignment vertical="center" wrapText="1"/>
    </xf>
    <xf numFmtId="4" fontId="193" fillId="0" borderId="52" xfId="13391" applyNumberFormat="1" applyFont="1" applyBorder="1" applyAlignment="1">
      <alignment horizontal="right" vertical="center" wrapText="1"/>
    </xf>
    <xf numFmtId="0" fontId="197" fillId="0" borderId="52" xfId="13391" applyFont="1" applyBorder="1" applyAlignment="1">
      <alignment vertical="center" wrapText="1"/>
    </xf>
    <xf numFmtId="4" fontId="197" fillId="0" borderId="52" xfId="13391" applyNumberFormat="1" applyFont="1" applyBorder="1" applyAlignment="1">
      <alignment horizontal="right" vertical="center" wrapText="1"/>
    </xf>
    <xf numFmtId="0" fontId="194" fillId="0" borderId="52" xfId="13391" applyFont="1" applyBorder="1" applyAlignment="1">
      <alignment vertical="center" wrapText="1"/>
    </xf>
    <xf numFmtId="4" fontId="194" fillId="0" borderId="52" xfId="13391" applyNumberFormat="1" applyFont="1" applyBorder="1" applyAlignment="1">
      <alignment horizontal="right" vertical="center" wrapText="1"/>
    </xf>
    <xf numFmtId="0" fontId="196" fillId="0" borderId="52" xfId="13391" applyFont="1" applyBorder="1" applyAlignment="1">
      <alignment horizontal="left" vertical="center" wrapText="1"/>
    </xf>
    <xf numFmtId="2" fontId="51" fillId="0" borderId="52" xfId="13391" applyNumberFormat="1" applyFont="1" applyBorder="1" applyAlignment="1">
      <alignment horizontal="center" vertical="center" wrapText="1"/>
    </xf>
    <xf numFmtId="2" fontId="51" fillId="0" borderId="52" xfId="13391" applyNumberFormat="1" applyFont="1" applyBorder="1" applyAlignment="1">
      <alignment vertical="center" wrapText="1"/>
    </xf>
    <xf numFmtId="2" fontId="51" fillId="0" borderId="52" xfId="13391" applyNumberFormat="1" applyFont="1" applyBorder="1" applyAlignment="1">
      <alignment horizontal="right" vertical="center" wrapText="1"/>
    </xf>
    <xf numFmtId="0" fontId="195" fillId="0" borderId="52" xfId="13391" applyFont="1" applyBorder="1" applyAlignment="1">
      <alignment horizontal="center" vertical="center" wrapText="1"/>
    </xf>
    <xf numFmtId="0" fontId="193" fillId="0" borderId="52" xfId="13391" applyFont="1" applyBorder="1" applyAlignment="1">
      <alignment horizontal="center" vertical="center" wrapText="1"/>
    </xf>
    <xf numFmtId="0" fontId="193" fillId="0" borderId="52" xfId="13391" applyFont="1" applyBorder="1" applyAlignment="1">
      <alignment vertical="center" wrapText="1"/>
    </xf>
    <xf numFmtId="183" fontId="51" fillId="0" borderId="52" xfId="13391" applyNumberFormat="1" applyFont="1" applyBorder="1" applyAlignment="1">
      <alignment horizontal="right" vertical="center" wrapText="1"/>
    </xf>
    <xf numFmtId="0" fontId="191" fillId="0" borderId="53" xfId="13391" applyFont="1" applyBorder="1" applyAlignment="1">
      <alignment horizontal="center" vertical="center" wrapText="1"/>
    </xf>
    <xf numFmtId="0" fontId="191" fillId="0" borderId="53" xfId="13391" applyFont="1" applyBorder="1" applyAlignment="1">
      <alignment vertical="center" wrapText="1"/>
    </xf>
    <xf numFmtId="0" fontId="51" fillId="0" borderId="53" xfId="13391" applyFont="1" applyBorder="1" applyAlignment="1">
      <alignment vertical="center" wrapText="1"/>
    </xf>
    <xf numFmtId="183" fontId="191" fillId="0" borderId="53" xfId="13391" applyNumberFormat="1" applyFont="1" applyBorder="1" applyAlignment="1">
      <alignment horizontal="right" vertical="center" wrapText="1"/>
    </xf>
    <xf numFmtId="0" fontId="51" fillId="0" borderId="0" xfId="13391" applyFont="1" applyAlignment="1">
      <alignment horizontal="center" vertical="center" wrapText="1"/>
    </xf>
    <xf numFmtId="0" fontId="51" fillId="0" borderId="0" xfId="13391" applyFont="1" applyAlignment="1">
      <alignment vertical="center" wrapText="1"/>
    </xf>
    <xf numFmtId="4" fontId="51" fillId="0" borderId="0" xfId="13391" applyNumberFormat="1" applyFont="1" applyAlignment="1">
      <alignment vertical="center" wrapText="1"/>
    </xf>
    <xf numFmtId="0" fontId="202" fillId="0" borderId="0" xfId="0" applyFont="1" applyAlignment="1">
      <alignment vertical="center"/>
    </xf>
    <xf numFmtId="0" fontId="203" fillId="0" borderId="0" xfId="1202" applyFont="1"/>
    <xf numFmtId="0" fontId="204" fillId="0" borderId="0" xfId="0" applyFont="1"/>
    <xf numFmtId="0" fontId="203" fillId="0" borderId="0" xfId="1202" applyFont="1" applyAlignment="1">
      <alignment horizontal="center"/>
    </xf>
    <xf numFmtId="0" fontId="205" fillId="0" borderId="0" xfId="1202" applyFont="1"/>
    <xf numFmtId="3" fontId="203" fillId="0" borderId="0" xfId="1202" applyNumberFormat="1" applyFont="1"/>
    <xf numFmtId="0" fontId="206" fillId="0" borderId="106" xfId="1202" applyFont="1" applyBorder="1" applyAlignment="1">
      <alignment horizontal="center" vertical="center" wrapText="1"/>
    </xf>
    <xf numFmtId="3" fontId="206" fillId="0" borderId="106" xfId="1202" applyNumberFormat="1" applyFont="1" applyBorder="1" applyAlignment="1">
      <alignment horizontal="center" vertical="center" wrapText="1"/>
    </xf>
    <xf numFmtId="0" fontId="207" fillId="0" borderId="106" xfId="1202" applyFont="1" applyBorder="1" applyAlignment="1">
      <alignment horizontal="center" vertical="center"/>
    </xf>
    <xf numFmtId="0" fontId="207" fillId="0" borderId="106" xfId="1202" applyFont="1" applyBorder="1" applyAlignment="1">
      <alignment horizontal="center" vertical="center" wrapText="1"/>
    </xf>
    <xf numFmtId="3" fontId="207" fillId="0" borderId="106" xfId="1202" applyNumberFormat="1" applyFont="1" applyBorder="1" applyAlignment="1">
      <alignment horizontal="center" vertical="center" wrapText="1"/>
    </xf>
    <xf numFmtId="0" fontId="206" fillId="0" borderId="115" xfId="1202" applyFont="1" applyBorder="1" applyAlignment="1">
      <alignment horizontal="center" vertical="center" wrapText="1"/>
    </xf>
    <xf numFmtId="171" fontId="206" fillId="0" borderId="115" xfId="1618" applyNumberFormat="1" applyFont="1" applyFill="1" applyBorder="1" applyAlignment="1">
      <alignment horizontal="right" vertical="center" wrapText="1"/>
    </xf>
    <xf numFmtId="3" fontId="206" fillId="49" borderId="115" xfId="1456" applyNumberFormat="1" applyFont="1" applyFill="1" applyBorder="1" applyAlignment="1">
      <alignment horizontal="center" vertical="center" wrapText="1"/>
    </xf>
    <xf numFmtId="3" fontId="206" fillId="49" borderId="115" xfId="1456" applyNumberFormat="1" applyFont="1" applyFill="1" applyBorder="1" applyAlignment="1">
      <alignment horizontal="left" vertical="center" wrapText="1"/>
    </xf>
    <xf numFmtId="171" fontId="206" fillId="49" borderId="115" xfId="1618" applyNumberFormat="1" applyFont="1" applyFill="1" applyBorder="1" applyAlignment="1" applyProtection="1">
      <alignment horizontal="right" vertical="center" wrapText="1"/>
    </xf>
    <xf numFmtId="0" fontId="203" fillId="0" borderId="0" xfId="1202" applyFont="1" applyAlignment="1">
      <alignment vertical="center"/>
    </xf>
    <xf numFmtId="3" fontId="207" fillId="0" borderId="115" xfId="1456" applyNumberFormat="1" applyFont="1" applyBorder="1" applyAlignment="1">
      <alignment horizontal="center" vertical="center" wrapText="1"/>
    </xf>
    <xf numFmtId="0" fontId="207" fillId="0" borderId="115" xfId="1280" applyFont="1" applyBorder="1" applyAlignment="1">
      <alignment vertical="center" wrapText="1"/>
    </xf>
    <xf numFmtId="49" fontId="207" fillId="49" borderId="115" xfId="1283" applyNumberFormat="1" applyFont="1" applyFill="1" applyBorder="1" applyAlignment="1">
      <alignment horizontal="center" vertical="center" wrapText="1"/>
    </xf>
    <xf numFmtId="171" fontId="207" fillId="0" borderId="115" xfId="1618" applyNumberFormat="1" applyFont="1" applyFill="1" applyBorder="1" applyAlignment="1">
      <alignment horizontal="right" vertical="center" wrapText="1"/>
    </xf>
    <xf numFmtId="171" fontId="207" fillId="49" borderId="115" xfId="1618" applyNumberFormat="1" applyFont="1" applyFill="1" applyBorder="1" applyAlignment="1">
      <alignment horizontal="center" vertical="center" wrapText="1"/>
    </xf>
    <xf numFmtId="171" fontId="207" fillId="0" borderId="115" xfId="1618" applyNumberFormat="1" applyFont="1" applyFill="1" applyBorder="1" applyAlignment="1">
      <alignment horizontal="center" vertical="center" wrapText="1"/>
    </xf>
    <xf numFmtId="0" fontId="207" fillId="0" borderId="115" xfId="1235" applyFont="1" applyBorder="1" applyAlignment="1">
      <alignment vertical="center" wrapText="1"/>
    </xf>
    <xf numFmtId="0" fontId="207" fillId="49" borderId="115" xfId="13383" applyFont="1" applyFill="1" applyBorder="1" applyAlignment="1">
      <alignment horizontal="left" vertical="center" wrapText="1"/>
    </xf>
    <xf numFmtId="235" fontId="207" fillId="49" borderId="115" xfId="1283" applyNumberFormat="1" applyFont="1" applyFill="1" applyBorder="1" applyAlignment="1">
      <alignment horizontal="center" vertical="center" wrapText="1"/>
    </xf>
    <xf numFmtId="3" fontId="207" fillId="0" borderId="115" xfId="1283" applyNumberFormat="1" applyFont="1" applyBorder="1" applyAlignment="1">
      <alignment vertical="center" wrapText="1"/>
    </xf>
    <xf numFmtId="49" fontId="207" fillId="49" borderId="115" xfId="1283" applyNumberFormat="1" applyFont="1" applyFill="1" applyBorder="1" applyAlignment="1">
      <alignment horizontal="left" vertical="center" wrapText="1"/>
    </xf>
    <xf numFmtId="0" fontId="207" fillId="49" borderId="115" xfId="1283" applyFont="1" applyFill="1" applyBorder="1" applyAlignment="1">
      <alignment horizontal="center" vertical="center" wrapText="1"/>
    </xf>
    <xf numFmtId="0" fontId="207" fillId="0" borderId="0" xfId="1202" applyFont="1"/>
    <xf numFmtId="0" fontId="206" fillId="0" borderId="0" xfId="1202" applyFont="1"/>
    <xf numFmtId="0" fontId="207" fillId="0" borderId="115" xfId="1235" applyFont="1" applyBorder="1" applyAlignment="1">
      <alignment horizontal="left" vertical="center" wrapText="1"/>
    </xf>
    <xf numFmtId="3" fontId="206" fillId="0" borderId="115" xfId="1456" applyNumberFormat="1" applyFont="1" applyBorder="1" applyAlignment="1">
      <alignment horizontal="center" vertical="center" wrapText="1"/>
    </xf>
    <xf numFmtId="3" fontId="206" fillId="0" borderId="115" xfId="1456" applyNumberFormat="1" applyFont="1" applyBorder="1" applyAlignment="1">
      <alignment horizontal="left" vertical="center" wrapText="1"/>
    </xf>
    <xf numFmtId="49" fontId="206" fillId="49" borderId="115" xfId="1283" applyNumberFormat="1" applyFont="1" applyFill="1" applyBorder="1" applyAlignment="1">
      <alignment horizontal="center" vertical="center" wrapText="1"/>
    </xf>
    <xf numFmtId="171" fontId="206" fillId="0" borderId="115" xfId="1618" applyNumberFormat="1" applyFont="1" applyFill="1" applyBorder="1" applyAlignment="1" applyProtection="1">
      <alignment horizontal="right" vertical="center" wrapText="1"/>
    </xf>
    <xf numFmtId="0" fontId="208" fillId="0" borderId="0" xfId="0" applyFont="1"/>
    <xf numFmtId="3" fontId="207" fillId="0" borderId="115" xfId="1283" applyNumberFormat="1" applyFont="1" applyBorder="1" applyAlignment="1">
      <alignment horizontal="center" vertical="center" wrapText="1"/>
    </xf>
    <xf numFmtId="3" fontId="207" fillId="0" borderId="115" xfId="1280" applyNumberFormat="1" applyFont="1" applyBorder="1" applyAlignment="1">
      <alignment vertical="center" wrapText="1"/>
    </xf>
    <xf numFmtId="3" fontId="206" fillId="0" borderId="115" xfId="1283" applyNumberFormat="1" applyFont="1" applyBorder="1" applyAlignment="1">
      <alignment horizontal="center" vertical="center" wrapText="1"/>
    </xf>
    <xf numFmtId="171" fontId="207" fillId="0" borderId="115" xfId="1618" applyNumberFormat="1" applyFont="1" applyFill="1" applyBorder="1" applyAlignment="1" applyProtection="1">
      <alignment horizontal="center" vertical="center" wrapText="1"/>
    </xf>
    <xf numFmtId="171" fontId="209" fillId="0" borderId="115" xfId="1618" applyNumberFormat="1" applyFont="1" applyFill="1" applyBorder="1" applyAlignment="1" applyProtection="1">
      <alignment horizontal="right" vertical="center" wrapText="1"/>
    </xf>
    <xf numFmtId="3" fontId="207" fillId="0" borderId="115" xfId="1456" applyNumberFormat="1" applyFont="1" applyBorder="1" applyAlignment="1">
      <alignment horizontal="left" vertical="center" wrapText="1"/>
    </xf>
    <xf numFmtId="171" fontId="207" fillId="49" borderId="115" xfId="1618" applyNumberFormat="1" applyFont="1" applyFill="1" applyBorder="1" applyAlignment="1" applyProtection="1">
      <alignment horizontal="center" vertical="center" wrapText="1"/>
    </xf>
    <xf numFmtId="0" fontId="207" fillId="49" borderId="115" xfId="0" applyFont="1" applyFill="1" applyBorder="1" applyAlignment="1">
      <alignment horizontal="left" vertical="center" wrapText="1"/>
    </xf>
    <xf numFmtId="3" fontId="206" fillId="49" borderId="115" xfId="1283" applyNumberFormat="1" applyFont="1" applyFill="1" applyBorder="1" applyAlignment="1">
      <alignment horizontal="center" vertical="center" wrapText="1"/>
    </xf>
    <xf numFmtId="171" fontId="206" fillId="49" borderId="115" xfId="1618" applyNumberFormat="1" applyFont="1" applyFill="1" applyBorder="1" applyAlignment="1">
      <alignment horizontal="right" vertical="center" wrapText="1"/>
    </xf>
    <xf numFmtId="0" fontId="207" fillId="0" borderId="115" xfId="0" applyFont="1" applyBorder="1" applyAlignment="1">
      <alignment horizontal="left" vertical="center" wrapText="1"/>
    </xf>
    <xf numFmtId="41" fontId="210" fillId="0" borderId="115" xfId="212" applyFont="1" applyFill="1" applyBorder="1" applyAlignment="1">
      <alignment horizontal="center" vertical="center" wrapText="1"/>
    </xf>
    <xf numFmtId="0" fontId="207" fillId="0" borderId="115" xfId="1202" applyFont="1" applyBorder="1" applyAlignment="1">
      <alignment vertical="center" wrapText="1"/>
    </xf>
    <xf numFmtId="0" fontId="203" fillId="0" borderId="115" xfId="1202" applyFont="1" applyBorder="1" applyAlignment="1">
      <alignment horizontal="center" vertical="center" wrapText="1"/>
    </xf>
    <xf numFmtId="0" fontId="203" fillId="0" borderId="115" xfId="1202" applyFont="1" applyBorder="1" applyAlignment="1">
      <alignment vertical="center" wrapText="1"/>
    </xf>
    <xf numFmtId="175" fontId="8" fillId="0" borderId="52" xfId="1457" quotePrefix="1" applyNumberFormat="1" applyBorder="1" applyAlignment="1">
      <alignment horizontal="left" vertical="center" wrapText="1"/>
    </xf>
    <xf numFmtId="3" fontId="8" fillId="0" borderId="52" xfId="1457" applyNumberFormat="1" applyBorder="1" applyAlignment="1">
      <alignment horizontal="right" vertical="center" wrapText="1"/>
    </xf>
    <xf numFmtId="175" fontId="8" fillId="0" borderId="52" xfId="1457" applyNumberFormat="1" applyBorder="1" applyAlignment="1">
      <alignment horizontal="left" vertical="center" wrapText="1"/>
    </xf>
    <xf numFmtId="171" fontId="15" fillId="0" borderId="1" xfId="658" applyNumberFormat="1" applyFont="1" applyFill="1" applyBorder="1" applyAlignment="1">
      <alignment horizontal="center" vertical="center" wrapText="1"/>
    </xf>
    <xf numFmtId="171" fontId="15" fillId="0" borderId="1" xfId="658" applyNumberFormat="1" applyFont="1" applyFill="1" applyBorder="1" applyAlignment="1">
      <alignment horizontal="center" vertical="center"/>
    </xf>
    <xf numFmtId="0" fontId="3" fillId="0" borderId="0" xfId="1280" applyFont="1" applyAlignment="1">
      <alignment horizontal="center"/>
    </xf>
    <xf numFmtId="0" fontId="4" fillId="0" borderId="0" xfId="1280" applyFont="1" applyAlignment="1">
      <alignment horizontal="center"/>
    </xf>
    <xf numFmtId="0" fontId="3" fillId="0" borderId="26" xfId="1280" applyFont="1" applyBorder="1" applyAlignment="1">
      <alignment horizontal="center"/>
    </xf>
    <xf numFmtId="0" fontId="6" fillId="0" borderId="26" xfId="1280" applyFont="1" applyBorder="1" applyAlignment="1">
      <alignment horizontal="right"/>
    </xf>
    <xf numFmtId="0" fontId="15" fillId="0" borderId="21" xfId="1280" applyFont="1" applyBorder="1" applyAlignment="1">
      <alignment horizontal="center" vertical="center"/>
    </xf>
    <xf numFmtId="0" fontId="15" fillId="0" borderId="6" xfId="1280" applyFont="1" applyBorder="1" applyAlignment="1">
      <alignment horizontal="center" vertical="center"/>
    </xf>
    <xf numFmtId="0" fontId="15" fillId="0" borderId="40" xfId="1280" applyFont="1" applyBorder="1" applyAlignment="1">
      <alignment horizontal="center" vertical="center"/>
    </xf>
    <xf numFmtId="0" fontId="5" fillId="0" borderId="1" xfId="1120" applyFont="1" applyBorder="1"/>
    <xf numFmtId="171" fontId="15" fillId="0" borderId="41" xfId="658" applyNumberFormat="1" applyFont="1" applyFill="1" applyBorder="1" applyAlignment="1">
      <alignment horizontal="center" vertical="center"/>
    </xf>
    <xf numFmtId="171" fontId="15" fillId="0" borderId="42" xfId="658" applyNumberFormat="1" applyFont="1" applyFill="1" applyBorder="1" applyAlignment="1">
      <alignment horizontal="center" vertical="center"/>
    </xf>
    <xf numFmtId="0" fontId="15" fillId="0" borderId="43" xfId="1280" applyFont="1" applyBorder="1" applyAlignment="1">
      <alignment horizontal="center" vertical="center"/>
    </xf>
    <xf numFmtId="0" fontId="15" fillId="0" borderId="0" xfId="1280" applyFont="1" applyAlignment="1">
      <alignment horizontal="center" vertical="center"/>
    </xf>
    <xf numFmtId="171" fontId="15" fillId="0" borderId="24" xfId="658" applyNumberFormat="1" applyFont="1" applyFill="1" applyBorder="1" applyAlignment="1">
      <alignment horizontal="center" vertical="center" wrapText="1"/>
    </xf>
    <xf numFmtId="171" fontId="15" fillId="0" borderId="20" xfId="658" applyNumberFormat="1" applyFont="1" applyFill="1" applyBorder="1" applyAlignment="1">
      <alignment horizontal="center" vertical="center" wrapText="1"/>
    </xf>
    <xf numFmtId="171" fontId="15" fillId="0" borderId="27" xfId="658" applyNumberFormat="1" applyFont="1" applyFill="1" applyBorder="1" applyAlignment="1">
      <alignment horizontal="center" vertical="center" wrapText="1"/>
    </xf>
    <xf numFmtId="0" fontId="30" fillId="0" borderId="0" xfId="0" applyFont="1" applyAlignment="1">
      <alignment horizontal="center"/>
    </xf>
    <xf numFmtId="0" fontId="4" fillId="0" borderId="0" xfId="0" applyFont="1" applyAlignment="1">
      <alignment horizontal="center"/>
    </xf>
    <xf numFmtId="165" fontId="8" fillId="0" borderId="0" xfId="212" applyNumberFormat="1" applyFont="1" applyFill="1" applyBorder="1" applyAlignment="1">
      <alignment horizontal="center"/>
    </xf>
    <xf numFmtId="0" fontId="6" fillId="0" borderId="26" xfId="0" applyFont="1" applyBorder="1" applyAlignment="1">
      <alignment horizontal="right"/>
    </xf>
    <xf numFmtId="0" fontId="12" fillId="0" borderId="24"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27" xfId="0" applyFont="1" applyBorder="1" applyAlignment="1">
      <alignment horizontal="center" vertical="center" wrapText="1"/>
    </xf>
    <xf numFmtId="0" fontId="32" fillId="0" borderId="24" xfId="0" applyFont="1" applyBorder="1" applyAlignment="1">
      <alignment horizontal="center" vertical="center" wrapText="1"/>
    </xf>
    <xf numFmtId="0" fontId="12" fillId="0" borderId="1" xfId="0" applyFont="1" applyBorder="1" applyAlignment="1">
      <alignment horizontal="center" vertical="center" wrapText="1"/>
    </xf>
    <xf numFmtId="0" fontId="32" fillId="0" borderId="1" xfId="0" applyFont="1" applyBorder="1" applyAlignment="1">
      <alignment horizontal="center" vertical="center" wrapText="1"/>
    </xf>
    <xf numFmtId="171" fontId="12" fillId="0" borderId="1" xfId="658" applyNumberFormat="1" applyFont="1" applyFill="1" applyBorder="1" applyAlignment="1">
      <alignment horizontal="center" vertical="center" wrapText="1"/>
    </xf>
    <xf numFmtId="0" fontId="3" fillId="0" borderId="0" xfId="0" applyFont="1" applyAlignment="1">
      <alignment horizontal="center" vertical="center" wrapText="1"/>
    </xf>
    <xf numFmtId="0" fontId="31" fillId="0" borderId="0" xfId="0" applyFont="1" applyAlignment="1">
      <alignment horizontal="center" vertical="center" wrapText="1"/>
    </xf>
    <xf numFmtId="181" fontId="11" fillId="0" borderId="35" xfId="1458" applyNumberFormat="1" applyFont="1" applyBorder="1" applyAlignment="1">
      <alignment horizontal="center" vertical="center" wrapText="1"/>
    </xf>
    <xf numFmtId="181" fontId="11" fillId="0" borderId="20" xfId="1458" applyNumberFormat="1" applyFont="1" applyBorder="1" applyAlignment="1">
      <alignment horizontal="center" vertical="center" wrapText="1"/>
    </xf>
    <xf numFmtId="181" fontId="11" fillId="0" borderId="37" xfId="1458" applyNumberFormat="1" applyFont="1" applyBorder="1" applyAlignment="1">
      <alignment horizontal="center" vertical="center" wrapText="1"/>
    </xf>
    <xf numFmtId="179" fontId="39" fillId="0" borderId="35" xfId="484" applyNumberFormat="1" applyFont="1" applyFill="1" applyBorder="1" applyAlignment="1">
      <alignment horizontal="center" vertical="center" wrapText="1"/>
    </xf>
    <xf numFmtId="179" fontId="39" fillId="0" borderId="20" xfId="484" applyNumberFormat="1" applyFont="1" applyFill="1" applyBorder="1" applyAlignment="1">
      <alignment horizontal="center" vertical="center" wrapText="1"/>
    </xf>
    <xf numFmtId="179" fontId="39" fillId="0" borderId="37" xfId="484" applyNumberFormat="1"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24" xfId="0" applyFont="1" applyBorder="1" applyAlignment="1">
      <alignment horizontal="center" vertical="center"/>
    </xf>
    <xf numFmtId="0" fontId="9" fillId="0" borderId="20" xfId="0" applyFont="1" applyBorder="1" applyAlignment="1">
      <alignment horizontal="center" vertical="center"/>
    </xf>
    <xf numFmtId="0" fontId="9" fillId="0" borderId="27" xfId="0" applyFont="1" applyBorder="1" applyAlignment="1">
      <alignment horizontal="center" vertical="center"/>
    </xf>
    <xf numFmtId="180" fontId="9" fillId="0" borderId="1" xfId="484" applyNumberFormat="1" applyFont="1" applyFill="1" applyBorder="1" applyAlignment="1">
      <alignment horizontal="center" vertical="center" wrapText="1"/>
    </xf>
    <xf numFmtId="180" fontId="9" fillId="0" borderId="1" xfId="484" applyNumberFormat="1" applyFont="1" applyFill="1" applyBorder="1" applyAlignment="1">
      <alignment horizontal="center" vertical="center"/>
    </xf>
    <xf numFmtId="179" fontId="9" fillId="0" borderId="24" xfId="484" applyNumberFormat="1" applyFont="1" applyFill="1" applyBorder="1" applyAlignment="1">
      <alignment horizontal="center" vertical="center" wrapText="1"/>
    </xf>
    <xf numFmtId="179" fontId="9" fillId="0" borderId="20" xfId="484" applyNumberFormat="1" applyFont="1" applyFill="1" applyBorder="1" applyAlignment="1">
      <alignment horizontal="center" vertical="center"/>
    </xf>
    <xf numFmtId="179" fontId="9" fillId="0" borderId="27" xfId="484" applyNumberFormat="1" applyFont="1" applyFill="1" applyBorder="1" applyAlignment="1">
      <alignment horizontal="center" vertical="center"/>
    </xf>
    <xf numFmtId="179" fontId="9" fillId="0" borderId="20" xfId="484" applyNumberFormat="1" applyFont="1" applyFill="1" applyBorder="1" applyAlignment="1">
      <alignment horizontal="center" vertical="center" wrapText="1"/>
    </xf>
    <xf numFmtId="179" fontId="9" fillId="0" borderId="27" xfId="484" applyNumberFormat="1" applyFont="1" applyFill="1" applyBorder="1" applyAlignment="1">
      <alignment horizontal="center" vertical="center" wrapText="1"/>
    </xf>
    <xf numFmtId="179" fontId="9" fillId="0" borderId="21" xfId="484" applyNumberFormat="1" applyFont="1" applyFill="1" applyBorder="1" applyAlignment="1">
      <alignment horizontal="center" vertical="center" wrapText="1"/>
    </xf>
    <xf numFmtId="179" fontId="11" fillId="0" borderId="6" xfId="484" applyNumberFormat="1" applyFont="1" applyFill="1" applyBorder="1" applyAlignment="1">
      <alignment horizontal="center" vertical="center"/>
    </xf>
    <xf numFmtId="0" fontId="9" fillId="0" borderId="24"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7" xfId="0" applyFont="1" applyBorder="1" applyAlignment="1">
      <alignment horizontal="center" vertical="center" wrapText="1"/>
    </xf>
    <xf numFmtId="179" fontId="9" fillId="0" borderId="21" xfId="484" applyNumberFormat="1" applyFont="1" applyFill="1" applyBorder="1" applyAlignment="1">
      <alignment horizontal="center" vertical="center"/>
    </xf>
    <xf numFmtId="179" fontId="11" fillId="0" borderId="27" xfId="484" applyNumberFormat="1" applyFont="1" applyFill="1" applyBorder="1" applyAlignment="1">
      <alignment horizontal="center" vertical="center"/>
    </xf>
    <xf numFmtId="179" fontId="39" fillId="0" borderId="34" xfId="484" applyNumberFormat="1" applyFont="1" applyFill="1" applyBorder="1" applyAlignment="1">
      <alignment horizontal="right" vertical="center" wrapText="1"/>
    </xf>
    <xf numFmtId="169" fontId="9" fillId="0" borderId="24" xfId="484" applyFont="1" applyFill="1" applyBorder="1" applyAlignment="1">
      <alignment horizontal="center" vertical="center" wrapText="1"/>
    </xf>
    <xf numFmtId="169" fontId="11" fillId="0" borderId="27" xfId="484" applyFont="1" applyFill="1" applyBorder="1" applyAlignment="1">
      <alignment horizontal="center" vertical="center"/>
    </xf>
    <xf numFmtId="179" fontId="9" fillId="0" borderId="41" xfId="484" applyNumberFormat="1" applyFont="1" applyFill="1" applyBorder="1" applyAlignment="1">
      <alignment horizontal="center" vertical="center" wrapText="1"/>
    </xf>
    <xf numFmtId="179" fontId="11" fillId="0" borderId="43" xfId="484" applyNumberFormat="1" applyFont="1" applyFill="1" applyBorder="1" applyAlignment="1">
      <alignment horizontal="center" vertical="center"/>
    </xf>
    <xf numFmtId="179" fontId="11" fillId="0" borderId="44" xfId="484" applyNumberFormat="1" applyFont="1" applyFill="1" applyBorder="1" applyAlignment="1">
      <alignment horizontal="center" vertical="center"/>
    </xf>
    <xf numFmtId="179" fontId="12" fillId="0" borderId="41" xfId="484" applyNumberFormat="1" applyFont="1" applyFill="1" applyBorder="1" applyAlignment="1">
      <alignment horizontal="center" vertical="center" wrapText="1"/>
    </xf>
    <xf numFmtId="179" fontId="8" fillId="0" borderId="43" xfId="484" applyNumberFormat="1" applyFont="1" applyFill="1" applyBorder="1" applyAlignment="1">
      <alignment horizontal="center" vertical="center"/>
    </xf>
    <xf numFmtId="179" fontId="8" fillId="0" borderId="44" xfId="484" applyNumberFormat="1" applyFont="1" applyFill="1" applyBorder="1" applyAlignment="1">
      <alignment horizontal="center" vertical="center"/>
    </xf>
    <xf numFmtId="179" fontId="9" fillId="0" borderId="1" xfId="484" applyNumberFormat="1" applyFont="1" applyFill="1" applyBorder="1" applyAlignment="1">
      <alignment horizontal="center" vertical="center" wrapText="1"/>
    </xf>
    <xf numFmtId="179" fontId="39" fillId="0" borderId="35" xfId="484" applyNumberFormat="1" applyFont="1" applyFill="1" applyBorder="1" applyAlignment="1">
      <alignment horizontal="right" vertical="center" wrapText="1"/>
    </xf>
    <xf numFmtId="179" fontId="39" fillId="0" borderId="37" xfId="484" applyNumberFormat="1" applyFont="1" applyFill="1" applyBorder="1" applyAlignment="1">
      <alignment horizontal="right" vertical="center" wrapText="1"/>
    </xf>
    <xf numFmtId="181" fontId="11" fillId="0" borderId="34" xfId="1458" applyNumberFormat="1" applyFont="1" applyBorder="1" applyAlignment="1">
      <alignment horizontal="center" vertical="center" wrapText="1"/>
    </xf>
    <xf numFmtId="181" fontId="11" fillId="0" borderId="34" xfId="1458" applyNumberFormat="1" applyFont="1" applyBorder="1" applyAlignment="1">
      <alignment vertical="center" wrapText="1"/>
    </xf>
    <xf numFmtId="181" fontId="39" fillId="0" borderId="34" xfId="484" applyNumberFormat="1" applyFont="1" applyFill="1" applyBorder="1" applyAlignment="1">
      <alignment horizontal="right" vertical="center" wrapText="1"/>
    </xf>
    <xf numFmtId="181" fontId="39" fillId="0" borderId="35" xfId="484" applyNumberFormat="1" applyFont="1" applyFill="1" applyBorder="1" applyAlignment="1">
      <alignment horizontal="right" vertical="center" wrapText="1"/>
    </xf>
    <xf numFmtId="181" fontId="39" fillId="0" borderId="37" xfId="484" applyNumberFormat="1" applyFont="1" applyFill="1" applyBorder="1" applyAlignment="1">
      <alignment horizontal="right" vertical="center" wrapText="1"/>
    </xf>
    <xf numFmtId="181" fontId="11" fillId="0" borderId="35" xfId="1458" applyNumberFormat="1" applyFont="1" applyBorder="1" applyAlignment="1">
      <alignment horizontal="left" vertical="center" wrapText="1"/>
    </xf>
    <xf numFmtId="181" fontId="11" fillId="0" borderId="37" xfId="1458" applyNumberFormat="1" applyFont="1" applyBorder="1" applyAlignment="1">
      <alignment horizontal="left" vertical="center" wrapText="1"/>
    </xf>
    <xf numFmtId="181" fontId="39" fillId="0" borderId="20" xfId="484" applyNumberFormat="1" applyFont="1" applyFill="1" applyBorder="1" applyAlignment="1">
      <alignment horizontal="right" vertical="center" wrapText="1"/>
    </xf>
    <xf numFmtId="181" fontId="11" fillId="0" borderId="20" xfId="1458" applyNumberFormat="1" applyFont="1" applyBorder="1" applyAlignment="1">
      <alignment horizontal="left" vertical="center" wrapText="1"/>
    </xf>
    <xf numFmtId="181" fontId="9" fillId="0" borderId="34" xfId="1458" applyNumberFormat="1" applyFont="1" applyBorder="1" applyAlignment="1">
      <alignment horizontal="center" vertical="center" wrapText="1"/>
    </xf>
    <xf numFmtId="0" fontId="11" fillId="0" borderId="34" xfId="0" applyFont="1" applyBorder="1" applyAlignment="1">
      <alignment vertical="center"/>
    </xf>
    <xf numFmtId="181" fontId="9" fillId="0" borderId="34" xfId="1458" applyNumberFormat="1" applyFont="1" applyBorder="1" applyAlignment="1">
      <alignment horizontal="left" vertical="center" wrapText="1"/>
    </xf>
    <xf numFmtId="179" fontId="39" fillId="0" borderId="34" xfId="484" applyNumberFormat="1" applyFont="1" applyFill="1" applyBorder="1" applyAlignment="1">
      <alignment horizontal="center" vertical="center" wrapText="1"/>
    </xf>
    <xf numFmtId="181" fontId="40" fillId="0" borderId="35" xfId="484" applyNumberFormat="1" applyFont="1" applyFill="1" applyBorder="1" applyAlignment="1">
      <alignment horizontal="right" vertical="center" wrapText="1"/>
    </xf>
    <xf numFmtId="181" fontId="40" fillId="0" borderId="20" xfId="484" applyNumberFormat="1" applyFont="1" applyFill="1" applyBorder="1" applyAlignment="1">
      <alignment horizontal="right" vertical="center" wrapText="1"/>
    </xf>
    <xf numFmtId="181" fontId="40" fillId="0" borderId="37" xfId="484" applyNumberFormat="1" applyFont="1" applyFill="1" applyBorder="1" applyAlignment="1">
      <alignment horizontal="right" vertical="center" wrapText="1"/>
    </xf>
    <xf numFmtId="179" fontId="40" fillId="0" borderId="35" xfId="484" applyNumberFormat="1" applyFont="1" applyFill="1" applyBorder="1" applyAlignment="1">
      <alignment horizontal="center" vertical="center" wrapText="1"/>
    </xf>
    <xf numFmtId="179" fontId="40" fillId="0" borderId="20" xfId="484" applyNumberFormat="1" applyFont="1" applyFill="1" applyBorder="1" applyAlignment="1">
      <alignment horizontal="center" vertical="center" wrapText="1"/>
    </xf>
    <xf numFmtId="179" fontId="40" fillId="0" borderId="37" xfId="484" applyNumberFormat="1" applyFont="1" applyFill="1" applyBorder="1" applyAlignment="1">
      <alignment horizontal="center" vertical="center" wrapText="1"/>
    </xf>
    <xf numFmtId="0" fontId="38" fillId="0" borderId="35" xfId="1380" applyFont="1" applyBorder="1" applyAlignment="1">
      <alignment horizontal="left" vertical="center" wrapText="1"/>
    </xf>
    <xf numFmtId="0" fontId="38" fillId="0" borderId="37" xfId="1380" applyFont="1" applyBorder="1" applyAlignment="1">
      <alignment horizontal="left" vertical="center" wrapText="1"/>
    </xf>
    <xf numFmtId="0" fontId="38" fillId="0" borderId="43" xfId="0" applyFont="1" applyBorder="1" applyAlignment="1">
      <alignment horizontal="center" vertical="center" wrapText="1"/>
    </xf>
    <xf numFmtId="0" fontId="38" fillId="0" borderId="35" xfId="0" applyFont="1" applyBorder="1" applyAlignment="1">
      <alignment horizontal="left" vertical="center" wrapText="1"/>
    </xf>
    <xf numFmtId="0" fontId="38" fillId="0" borderId="37" xfId="0" applyFont="1" applyBorder="1" applyAlignment="1">
      <alignment horizontal="left" vertical="center" wrapText="1"/>
    </xf>
    <xf numFmtId="184" fontId="38" fillId="0" borderId="35" xfId="1119" applyNumberFormat="1" applyFont="1" applyBorder="1" applyAlignment="1">
      <alignment horizontal="left" vertical="center" wrapText="1"/>
    </xf>
    <xf numFmtId="184" fontId="38" fillId="0" borderId="37" xfId="1119" applyNumberFormat="1" applyFont="1" applyBorder="1" applyAlignment="1">
      <alignment horizontal="left" vertical="center" wrapText="1"/>
    </xf>
    <xf numFmtId="181" fontId="39" fillId="0" borderId="35" xfId="484" applyNumberFormat="1" applyFont="1" applyFill="1" applyBorder="1" applyAlignment="1">
      <alignment horizontal="center" vertical="center" wrapText="1"/>
    </xf>
    <xf numFmtId="181" fontId="39" fillId="0" borderId="37" xfId="484" applyNumberFormat="1" applyFont="1" applyFill="1" applyBorder="1" applyAlignment="1">
      <alignment horizontal="center" vertical="center" wrapText="1"/>
    </xf>
    <xf numFmtId="179" fontId="38" fillId="0" borderId="35" xfId="484" applyNumberFormat="1" applyFont="1" applyFill="1" applyBorder="1" applyAlignment="1">
      <alignment horizontal="center" vertical="center" wrapText="1"/>
    </xf>
    <xf numFmtId="179" fontId="38" fillId="0" borderId="37" xfId="484" applyNumberFormat="1" applyFont="1" applyFill="1" applyBorder="1" applyAlignment="1">
      <alignment horizontal="center" vertical="center" wrapText="1"/>
    </xf>
    <xf numFmtId="0" fontId="3" fillId="0" borderId="0" xfId="1453" applyFont="1" applyAlignment="1">
      <alignment horizontal="center" vertical="center"/>
    </xf>
    <xf numFmtId="0" fontId="3" fillId="0" borderId="0" xfId="1453" applyFont="1" applyAlignment="1">
      <alignment horizontal="center" vertical="center" wrapText="1"/>
    </xf>
    <xf numFmtId="0" fontId="6" fillId="0" borderId="0" xfId="1453" applyFont="1" applyAlignment="1">
      <alignment horizontal="center" vertical="center" wrapText="1"/>
    </xf>
    <xf numFmtId="0" fontId="6" fillId="0" borderId="26" xfId="1453" applyFont="1" applyBorder="1" applyAlignment="1">
      <alignment horizontal="right" vertical="center"/>
    </xf>
    <xf numFmtId="183" fontId="8" fillId="23" borderId="30" xfId="484" applyNumberFormat="1" applyFont="1" applyFill="1" applyBorder="1" applyAlignment="1">
      <alignment horizontal="right" vertical="center" wrapText="1"/>
    </xf>
    <xf numFmtId="0" fontId="8" fillId="23" borderId="0" xfId="0" applyFont="1" applyFill="1" applyAlignment="1">
      <alignment horizontal="left"/>
    </xf>
    <xf numFmtId="0" fontId="8" fillId="23" borderId="0" xfId="0" applyFont="1" applyFill="1" applyAlignment="1">
      <alignment horizontal="left" wrapText="1"/>
    </xf>
    <xf numFmtId="183" fontId="41" fillId="23" borderId="30" xfId="484" applyNumberFormat="1" applyFont="1" applyFill="1" applyBorder="1" applyAlignment="1">
      <alignment vertical="center" wrapText="1"/>
    </xf>
    <xf numFmtId="0" fontId="41" fillId="23" borderId="30" xfId="0" applyFont="1" applyFill="1" applyBorder="1" applyAlignment="1">
      <alignment vertical="center" wrapText="1"/>
    </xf>
    <xf numFmtId="183" fontId="8" fillId="23" borderId="30" xfId="484" applyNumberFormat="1" applyFont="1" applyFill="1" applyBorder="1" applyAlignment="1">
      <alignment horizontal="center" vertical="center" wrapText="1"/>
    </xf>
    <xf numFmtId="183" fontId="6" fillId="23" borderId="30" xfId="484" applyNumberFormat="1" applyFont="1" applyFill="1" applyBorder="1" applyAlignment="1">
      <alignment horizontal="center" vertical="center" wrapText="1"/>
    </xf>
    <xf numFmtId="0" fontId="8" fillId="23" borderId="30" xfId="1077" applyFont="1" applyFill="1" applyBorder="1" applyAlignment="1">
      <alignment horizontal="center" vertical="center" wrapText="1"/>
    </xf>
    <xf numFmtId="0" fontId="3" fillId="23" borderId="0" xfId="0" applyFont="1" applyFill="1" applyAlignment="1">
      <alignment horizontal="center"/>
    </xf>
    <xf numFmtId="0" fontId="8" fillId="23" borderId="0" xfId="0" applyFont="1" applyFill="1"/>
    <xf numFmtId="0" fontId="31" fillId="23" borderId="0" xfId="0" applyFont="1" applyFill="1" applyAlignment="1">
      <alignment horizontal="center"/>
    </xf>
    <xf numFmtId="0" fontId="6" fillId="23" borderId="50" xfId="0" applyFont="1" applyFill="1" applyBorder="1" applyAlignment="1">
      <alignment horizontal="right"/>
    </xf>
    <xf numFmtId="0" fontId="12" fillId="23" borderId="45" xfId="0" applyFont="1" applyFill="1" applyBorder="1" applyAlignment="1">
      <alignment horizontal="center" vertical="center" wrapText="1"/>
    </xf>
    <xf numFmtId="0" fontId="8" fillId="23" borderId="46" xfId="0" applyFont="1" applyFill="1" applyBorder="1" applyAlignment="1">
      <alignment horizontal="center"/>
    </xf>
    <xf numFmtId="0" fontId="12" fillId="23" borderId="46" xfId="0" applyFont="1" applyFill="1" applyBorder="1"/>
    <xf numFmtId="178" fontId="12" fillId="23" borderId="45" xfId="484" applyNumberFormat="1" applyFont="1" applyFill="1" applyBorder="1" applyAlignment="1">
      <alignment horizontal="center" vertical="center" wrapText="1"/>
    </xf>
    <xf numFmtId="178" fontId="8" fillId="23" borderId="46" xfId="484" applyNumberFormat="1" applyFont="1" applyFill="1" applyBorder="1"/>
    <xf numFmtId="178" fontId="12" fillId="23" borderId="47" xfId="484" applyNumberFormat="1" applyFont="1" applyFill="1" applyBorder="1" applyAlignment="1">
      <alignment horizontal="center" vertical="center" wrapText="1"/>
    </xf>
    <xf numFmtId="178" fontId="8" fillId="23" borderId="48" xfId="484" applyNumberFormat="1" applyFont="1" applyFill="1" applyBorder="1"/>
    <xf numFmtId="178" fontId="8" fillId="23" borderId="49" xfId="484" applyNumberFormat="1" applyFont="1" applyFill="1" applyBorder="1"/>
    <xf numFmtId="0" fontId="8" fillId="23" borderId="46" xfId="0" applyFont="1" applyFill="1" applyBorder="1"/>
    <xf numFmtId="187" fontId="39" fillId="0" borderId="115" xfId="13392" applyNumberFormat="1" applyFont="1" applyFill="1" applyBorder="1" applyAlignment="1">
      <alignment horizontal="center" vertical="center" wrapText="1"/>
    </xf>
    <xf numFmtId="187" fontId="39" fillId="0" borderId="115" xfId="13392" applyNumberFormat="1" applyFont="1" applyFill="1" applyBorder="1" applyAlignment="1">
      <alignment horizontal="right" vertical="center" wrapText="1"/>
    </xf>
    <xf numFmtId="179" fontId="39" fillId="0" borderId="115" xfId="13393" applyNumberFormat="1" applyFont="1" applyFill="1" applyBorder="1" applyAlignment="1">
      <alignment horizontal="right" vertical="center" wrapText="1"/>
    </xf>
    <xf numFmtId="181" fontId="39" fillId="0" borderId="115" xfId="13393" applyNumberFormat="1" applyFont="1" applyFill="1" applyBorder="1" applyAlignment="1">
      <alignment horizontal="center" vertical="center" wrapText="1"/>
    </xf>
    <xf numFmtId="181" fontId="39" fillId="0" borderId="115" xfId="13393" applyNumberFormat="1" applyFont="1" applyFill="1" applyBorder="1" applyAlignment="1">
      <alignment horizontal="right" vertical="center" wrapText="1"/>
    </xf>
    <xf numFmtId="0" fontId="189" fillId="0" borderId="0" xfId="13391" applyFont="1" applyAlignment="1">
      <alignment horizontal="center" vertical="center" wrapText="1"/>
    </xf>
    <xf numFmtId="0" fontId="187" fillId="0" borderId="0" xfId="13391" applyFont="1" applyAlignment="1">
      <alignment horizontal="center" vertical="center" wrapText="1"/>
    </xf>
    <xf numFmtId="0" fontId="40" fillId="0" borderId="115" xfId="13391" applyFont="1" applyBorder="1" applyAlignment="1">
      <alignment horizontal="center" vertical="center" wrapText="1"/>
    </xf>
    <xf numFmtId="180" fontId="40" fillId="0" borderId="115" xfId="13393" applyNumberFormat="1" applyFont="1" applyFill="1" applyBorder="1" applyAlignment="1">
      <alignment horizontal="center" vertical="center" wrapText="1"/>
    </xf>
    <xf numFmtId="187" fontId="40" fillId="0" borderId="115" xfId="13392" applyNumberFormat="1" applyFont="1" applyFill="1" applyBorder="1" applyAlignment="1">
      <alignment horizontal="center" vertical="center" wrapText="1"/>
    </xf>
    <xf numFmtId="179" fontId="40" fillId="0" borderId="115" xfId="13393" applyNumberFormat="1" applyFont="1" applyFill="1" applyBorder="1" applyAlignment="1">
      <alignment horizontal="center" vertical="center" wrapText="1"/>
    </xf>
    <xf numFmtId="181" fontId="40" fillId="0" borderId="115" xfId="1458" applyNumberFormat="1" applyFont="1" applyBorder="1" applyAlignment="1">
      <alignment horizontal="center" vertical="center" wrapText="1"/>
    </xf>
    <xf numFmtId="0" fontId="39" fillId="0" borderId="115" xfId="13391" applyFont="1" applyBorder="1" applyAlignment="1">
      <alignment horizontal="center" vertical="center" wrapText="1"/>
    </xf>
    <xf numFmtId="181" fontId="40" fillId="0" borderId="115" xfId="1458" applyNumberFormat="1" applyFont="1" applyBorder="1" applyAlignment="1">
      <alignment horizontal="left" vertical="center" wrapText="1"/>
    </xf>
    <xf numFmtId="0" fontId="39" fillId="0" borderId="115" xfId="13391" applyFont="1" applyBorder="1" applyAlignment="1">
      <alignment horizontal="left" vertical="center" wrapText="1"/>
    </xf>
    <xf numFmtId="181" fontId="40" fillId="0" borderId="115" xfId="13393" applyNumberFormat="1" applyFont="1" applyFill="1" applyBorder="1" applyAlignment="1">
      <alignment horizontal="right" vertical="center" wrapText="1"/>
    </xf>
    <xf numFmtId="181" fontId="39" fillId="0" borderId="115" xfId="1458" applyNumberFormat="1" applyFont="1" applyBorder="1" applyAlignment="1">
      <alignment horizontal="center" vertical="center" wrapText="1"/>
    </xf>
    <xf numFmtId="181" fontId="39" fillId="0" borderId="115" xfId="1458" applyNumberFormat="1" applyFont="1" applyBorder="1" applyAlignment="1">
      <alignment horizontal="left" vertical="center" wrapText="1"/>
    </xf>
    <xf numFmtId="181" fontId="40" fillId="0" borderId="115" xfId="13393" applyNumberFormat="1" applyFont="1" applyFill="1" applyBorder="1" applyAlignment="1">
      <alignment horizontal="center" vertical="center" wrapText="1"/>
    </xf>
    <xf numFmtId="187" fontId="40" fillId="0" borderId="114" xfId="13392" applyNumberFormat="1" applyFont="1" applyFill="1" applyBorder="1" applyAlignment="1">
      <alignment horizontal="center" vertical="center" wrapText="1"/>
    </xf>
    <xf numFmtId="187" fontId="40" fillId="0" borderId="27" xfId="13392" applyNumberFormat="1" applyFont="1" applyFill="1" applyBorder="1" applyAlignment="1">
      <alignment horizontal="center" vertical="center" wrapText="1"/>
    </xf>
    <xf numFmtId="187" fontId="40" fillId="0" borderId="20" xfId="13392" applyNumberFormat="1" applyFont="1" applyFill="1" applyBorder="1" applyAlignment="1">
      <alignment horizontal="center" vertical="center" wrapText="1"/>
    </xf>
    <xf numFmtId="187" fontId="39" fillId="0" borderId="114" xfId="13392" applyNumberFormat="1" applyFont="1" applyFill="1" applyBorder="1" applyAlignment="1">
      <alignment horizontal="center" vertical="center" wrapText="1"/>
    </xf>
    <xf numFmtId="187" fontId="39" fillId="0" borderId="27" xfId="13392" applyNumberFormat="1" applyFont="1" applyFill="1" applyBorder="1" applyAlignment="1">
      <alignment horizontal="center" vertical="center" wrapText="1"/>
    </xf>
    <xf numFmtId="187" fontId="39" fillId="0" borderId="20" xfId="13392" applyNumberFormat="1" applyFont="1" applyFill="1" applyBorder="1" applyAlignment="1">
      <alignment horizontal="center" vertical="center" wrapText="1"/>
    </xf>
    <xf numFmtId="0" fontId="39" fillId="0" borderId="115" xfId="1380" applyFont="1" applyBorder="1" applyAlignment="1">
      <alignment horizontal="left" vertical="center" wrapText="1"/>
    </xf>
    <xf numFmtId="181" fontId="40" fillId="0" borderId="114" xfId="1458" applyNumberFormat="1" applyFont="1" applyBorder="1" applyAlignment="1">
      <alignment horizontal="left" vertical="center" wrapText="1"/>
    </xf>
    <xf numFmtId="181" fontId="40" fillId="0" borderId="27" xfId="1458" applyNumberFormat="1" applyFont="1" applyBorder="1" applyAlignment="1">
      <alignment horizontal="left" vertical="center" wrapText="1"/>
    </xf>
    <xf numFmtId="179" fontId="39" fillId="0" borderId="115" xfId="13393" applyNumberFormat="1" applyFont="1" applyFill="1" applyBorder="1" applyAlignment="1">
      <alignment horizontal="center" vertical="center" wrapText="1"/>
    </xf>
    <xf numFmtId="0" fontId="191" fillId="0" borderId="0" xfId="1453" applyFont="1" applyAlignment="1">
      <alignment horizontal="center" vertical="center" wrapText="1"/>
    </xf>
    <xf numFmtId="178" fontId="45" fillId="0" borderId="26" xfId="13399" applyNumberFormat="1" applyFont="1" applyFill="1" applyBorder="1" applyAlignment="1">
      <alignment horizontal="right" vertical="center"/>
    </xf>
    <xf numFmtId="0" fontId="45" fillId="0" borderId="0" xfId="1453" applyFont="1" applyAlignment="1">
      <alignment horizontal="center" vertical="center" wrapText="1"/>
    </xf>
    <xf numFmtId="0" fontId="191" fillId="0" borderId="0" xfId="13391" applyFont="1" applyAlignment="1">
      <alignment horizontal="center" vertical="center" wrapText="1"/>
    </xf>
    <xf numFmtId="0" fontId="199" fillId="0" borderId="26" xfId="13391" applyFont="1" applyBorder="1" applyAlignment="1">
      <alignment horizontal="right" vertical="center" wrapText="1"/>
    </xf>
    <xf numFmtId="0" fontId="191" fillId="0" borderId="115" xfId="13391" applyFont="1" applyBorder="1" applyAlignment="1">
      <alignment horizontal="center" vertical="center" wrapText="1"/>
    </xf>
    <xf numFmtId="4" fontId="191" fillId="0" borderId="115" xfId="13391" applyNumberFormat="1" applyFont="1" applyBorder="1" applyAlignment="1">
      <alignment horizontal="center" vertical="center" wrapText="1"/>
    </xf>
    <xf numFmtId="0" fontId="201" fillId="0" borderId="0" xfId="13391" applyFont="1" applyAlignment="1">
      <alignment horizontal="center" vertical="center" wrapText="1"/>
    </xf>
    <xf numFmtId="1" fontId="12" fillId="0" borderId="38" xfId="1088" applyNumberFormat="1" applyFont="1" applyBorder="1" applyAlignment="1">
      <alignment horizontal="center" vertical="center" wrapText="1"/>
    </xf>
    <xf numFmtId="1" fontId="12" fillId="0" borderId="27" xfId="1088" applyNumberFormat="1" applyFont="1" applyBorder="1" applyAlignment="1">
      <alignment horizontal="center" vertical="center" wrapText="1"/>
    </xf>
    <xf numFmtId="2" fontId="12" fillId="0" borderId="38" xfId="1088" applyNumberFormat="1" applyFont="1" applyBorder="1" applyAlignment="1">
      <alignment horizontal="center" vertical="center" wrapText="1"/>
    </xf>
    <xf numFmtId="2" fontId="12" fillId="0" borderId="27" xfId="1088" applyNumberFormat="1" applyFont="1" applyBorder="1" applyAlignment="1">
      <alignment horizontal="center" vertical="center" wrapText="1"/>
    </xf>
    <xf numFmtId="1" fontId="12" fillId="0" borderId="38" xfId="1088" applyNumberFormat="1" applyFont="1" applyBorder="1" applyAlignment="1">
      <alignment horizontal="center" vertical="center"/>
    </xf>
    <xf numFmtId="1" fontId="12" fillId="0" borderId="20" xfId="1088" applyNumberFormat="1" applyFont="1" applyBorder="1" applyAlignment="1">
      <alignment horizontal="center" vertical="center"/>
    </xf>
    <xf numFmtId="1" fontId="12" fillId="0" borderId="22" xfId="1088" applyNumberFormat="1" applyFont="1" applyBorder="1" applyAlignment="1">
      <alignment horizontal="center" vertical="center"/>
    </xf>
    <xf numFmtId="2" fontId="12" fillId="0" borderId="38" xfId="1088" applyNumberFormat="1" applyFont="1" applyBorder="1" applyAlignment="1">
      <alignment horizontal="center" vertical="center"/>
    </xf>
    <xf numFmtId="2" fontId="12" fillId="0" borderId="20" xfId="1088" applyNumberFormat="1" applyFont="1" applyBorder="1" applyAlignment="1">
      <alignment horizontal="center" vertical="center"/>
    </xf>
    <xf numFmtId="2" fontId="12" fillId="0" borderId="22" xfId="1088" applyNumberFormat="1" applyFont="1" applyBorder="1" applyAlignment="1">
      <alignment horizontal="center" vertical="center"/>
    </xf>
    <xf numFmtId="177" fontId="8" fillId="0" borderId="38" xfId="6795" applyNumberFormat="1" applyFont="1" applyBorder="1" applyAlignment="1">
      <alignment vertical="center" wrapText="1"/>
    </xf>
    <xf numFmtId="177" fontId="8" fillId="0" borderId="22" xfId="6795" applyNumberFormat="1" applyFont="1" applyBorder="1" applyAlignment="1">
      <alignment vertical="center" wrapText="1"/>
    </xf>
    <xf numFmtId="177" fontId="3" fillId="0" borderId="0" xfId="1088" applyNumberFormat="1" applyFont="1" applyAlignment="1">
      <alignment horizontal="center" vertical="center" wrapText="1"/>
    </xf>
    <xf numFmtId="177" fontId="3" fillId="0" borderId="0" xfId="1088" applyNumberFormat="1" applyFont="1" applyAlignment="1">
      <alignment horizontal="center" vertical="center"/>
    </xf>
    <xf numFmtId="177" fontId="4" fillId="0" borderId="0" xfId="1088" applyNumberFormat="1" applyFont="1" applyAlignment="1">
      <alignment horizontal="center" vertical="center"/>
    </xf>
    <xf numFmtId="177" fontId="12" fillId="0" borderId="12" xfId="1088" applyNumberFormat="1" applyFont="1" applyBorder="1" applyAlignment="1">
      <alignment horizontal="center" vertical="center" wrapText="1"/>
    </xf>
    <xf numFmtId="177" fontId="12" fillId="0" borderId="38" xfId="1088" applyNumberFormat="1" applyFont="1" applyBorder="1" applyAlignment="1">
      <alignment horizontal="center" vertical="center" wrapText="1"/>
    </xf>
    <xf numFmtId="177" fontId="12" fillId="0" borderId="21" xfId="1088" applyNumberFormat="1" applyFont="1" applyBorder="1" applyAlignment="1">
      <alignment horizontal="center" vertical="center" wrapText="1"/>
    </xf>
    <xf numFmtId="177" fontId="12" fillId="0" borderId="6" xfId="1088" applyNumberFormat="1" applyFont="1" applyBorder="1" applyAlignment="1">
      <alignment horizontal="center" vertical="center" wrapText="1"/>
    </xf>
    <xf numFmtId="177" fontId="12" fillId="0" borderId="40" xfId="1088" applyNumberFormat="1" applyFont="1" applyBorder="1" applyAlignment="1">
      <alignment horizontal="center" vertical="center" wrapText="1"/>
    </xf>
    <xf numFmtId="177" fontId="4" fillId="0" borderId="26" xfId="1088" applyNumberFormat="1" applyFont="1" applyBorder="1" applyAlignment="1">
      <alignment horizontal="right"/>
    </xf>
    <xf numFmtId="177" fontId="12" fillId="0" borderId="24" xfId="1088" applyNumberFormat="1" applyFont="1" applyBorder="1" applyAlignment="1">
      <alignment horizontal="center" vertical="center" wrapText="1"/>
    </xf>
    <xf numFmtId="177" fontId="12" fillId="0" borderId="27" xfId="1088" applyNumberFormat="1" applyFont="1" applyBorder="1"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wrapText="1"/>
    </xf>
    <xf numFmtId="0" fontId="13" fillId="0" borderId="26" xfId="0" applyFont="1" applyBorder="1" applyAlignment="1">
      <alignment horizontal="right" vertical="center"/>
    </xf>
    <xf numFmtId="0" fontId="15"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5" fillId="0" borderId="24" xfId="0" applyFont="1" applyBorder="1" applyAlignment="1">
      <alignment horizontal="center" vertical="center" wrapText="1"/>
    </xf>
    <xf numFmtId="0" fontId="15" fillId="0" borderId="20" xfId="0" applyFont="1" applyBorder="1" applyAlignment="1">
      <alignment horizontal="center" vertical="center" wrapText="1"/>
    </xf>
    <xf numFmtId="0" fontId="15" fillId="0" borderId="27" xfId="0" applyFont="1" applyBorder="1" applyAlignment="1">
      <alignment horizontal="center" vertical="center" wrapText="1"/>
    </xf>
    <xf numFmtId="0" fontId="191" fillId="0" borderId="0" xfId="1202" applyFont="1" applyAlignment="1">
      <alignment horizontal="center" vertical="center"/>
    </xf>
    <xf numFmtId="0" fontId="199" fillId="0" borderId="26" xfId="1202" applyFont="1" applyBorder="1" applyAlignment="1">
      <alignment horizontal="right"/>
    </xf>
    <xf numFmtId="0" fontId="206" fillId="0" borderId="106" xfId="1202" applyFont="1" applyBorder="1" applyAlignment="1">
      <alignment horizontal="center" vertical="center"/>
    </xf>
    <xf numFmtId="0" fontId="206" fillId="0" borderId="106" xfId="1202" applyFont="1" applyBorder="1" applyAlignment="1">
      <alignment horizontal="center" vertical="center" wrapText="1"/>
    </xf>
    <xf numFmtId="0" fontId="201" fillId="0" borderId="0" xfId="1202" applyFont="1" applyAlignment="1">
      <alignment horizontal="center" vertical="center"/>
    </xf>
    <xf numFmtId="2" fontId="34" fillId="0" borderId="115" xfId="13390" applyNumberFormat="1" applyFont="1" applyBorder="1" applyAlignment="1">
      <alignment horizontal="center" vertical="center" wrapText="1"/>
    </xf>
    <xf numFmtId="3" fontId="33" fillId="0" borderId="115" xfId="13385" applyNumberFormat="1" applyFont="1" applyFill="1" applyBorder="1" applyAlignment="1">
      <alignment horizontal="center" vertical="center" wrapText="1"/>
    </xf>
    <xf numFmtId="49" fontId="33" fillId="0" borderId="115" xfId="1461" applyNumberFormat="1" applyFont="1" applyBorder="1" applyAlignment="1">
      <alignment horizontal="center" vertical="center" wrapText="1"/>
    </xf>
    <xf numFmtId="0" fontId="33" fillId="0" borderId="115" xfId="13386" applyFont="1" applyBorder="1" applyAlignment="1">
      <alignment horizontal="center" vertical="center" wrapText="1"/>
    </xf>
    <xf numFmtId="0" fontId="34" fillId="0" borderId="115" xfId="13387" applyFont="1" applyBorder="1" applyAlignment="1">
      <alignment horizontal="center" vertical="center" wrapText="1"/>
    </xf>
    <xf numFmtId="0" fontId="33" fillId="0" borderId="115" xfId="1461" applyFont="1" applyBorder="1" applyAlignment="1">
      <alignment horizontal="center" vertical="center" wrapText="1"/>
    </xf>
    <xf numFmtId="178" fontId="33" fillId="0" borderId="115" xfId="13385" applyNumberFormat="1" applyFont="1" applyFill="1" applyBorder="1" applyAlignment="1">
      <alignment horizontal="center" vertical="center" wrapText="1"/>
    </xf>
    <xf numFmtId="184" fontId="33" fillId="0" borderId="115" xfId="13385" applyNumberFormat="1" applyFont="1" applyFill="1" applyBorder="1" applyAlignment="1">
      <alignment horizontal="center" vertical="center" wrapText="1"/>
    </xf>
    <xf numFmtId="0" fontId="4" fillId="0" borderId="26" xfId="1461" applyFont="1" applyBorder="1" applyAlignment="1">
      <alignment horizontal="right" vertical="center"/>
    </xf>
    <xf numFmtId="0" fontId="182" fillId="0" borderId="0" xfId="0" applyFont="1"/>
    <xf numFmtId="0" fontId="3" fillId="0" borderId="0" xfId="13384" applyFont="1" applyAlignment="1">
      <alignment horizontal="center" vertical="center"/>
    </xf>
    <xf numFmtId="0" fontId="31" fillId="0" borderId="0" xfId="13384" applyFont="1" applyAlignment="1">
      <alignment horizontal="center"/>
    </xf>
    <xf numFmtId="0" fontId="4" fillId="0" borderId="0" xfId="13384" applyFont="1" applyAlignment="1">
      <alignment horizontal="center"/>
    </xf>
    <xf numFmtId="178" fontId="3" fillId="0" borderId="1" xfId="277" applyNumberFormat="1" applyFont="1" applyFill="1" applyBorder="1" applyAlignment="1">
      <alignment horizontal="center" vertical="center" wrapText="1"/>
    </xf>
    <xf numFmtId="178" fontId="3" fillId="0" borderId="24" xfId="277" applyNumberFormat="1" applyFont="1" applyFill="1" applyBorder="1" applyAlignment="1">
      <alignment horizontal="center" vertical="center" wrapText="1"/>
    </xf>
    <xf numFmtId="178" fontId="3" fillId="0" borderId="27" xfId="277" applyNumberFormat="1" applyFont="1" applyFill="1" applyBorder="1" applyAlignment="1">
      <alignment horizontal="center" vertical="center" wrapText="1"/>
    </xf>
    <xf numFmtId="0" fontId="3" fillId="0" borderId="0" xfId="1078" applyFont="1" applyAlignment="1">
      <alignment horizontal="center"/>
    </xf>
    <xf numFmtId="1" fontId="4" fillId="0" borderId="0" xfId="1078" applyNumberFormat="1" applyFont="1" applyAlignment="1">
      <alignment horizontal="center"/>
    </xf>
    <xf numFmtId="0" fontId="31" fillId="0" borderId="26" xfId="1461" applyFont="1" applyBorder="1" applyAlignment="1">
      <alignment horizontal="right" vertical="center"/>
    </xf>
    <xf numFmtId="0" fontId="3" fillId="0" borderId="1" xfId="1461" applyFont="1" applyBorder="1" applyAlignment="1">
      <alignment horizontal="center" vertical="center"/>
    </xf>
    <xf numFmtId="49" fontId="3" fillId="0" borderId="1" xfId="1461" applyNumberFormat="1" applyFont="1" applyBorder="1" applyAlignment="1">
      <alignment horizontal="center" vertical="center" wrapText="1"/>
    </xf>
    <xf numFmtId="0" fontId="3" fillId="0" borderId="24" xfId="1141" applyFont="1" applyBorder="1" applyAlignment="1">
      <alignment horizontal="center" vertical="center" wrapText="1"/>
    </xf>
    <xf numFmtId="0" fontId="3" fillId="0" borderId="27" xfId="1141" applyFont="1" applyBorder="1" applyAlignment="1">
      <alignment horizontal="center" vertical="center" wrapText="1"/>
    </xf>
  </cellXfs>
  <cellStyles count="13418">
    <cellStyle name="_x0001_" xfId="1" xr:uid="{00000000-0005-0000-0000-000000000000}"/>
    <cellStyle name="          _x000a__x000a_shell=progman.exe_x000a__x000a_m" xfId="2" xr:uid="{00000000-0005-0000-0000-000001000000}"/>
    <cellStyle name="          _x000d__x000a_shell=progman.exe_x000d__x000a_m" xfId="3" xr:uid="{00000000-0005-0000-0000-000002000000}"/>
    <cellStyle name="          _x005f_x000d__x005f_x000a_shell=progman.exe_x005f_x000d__x005f_x000a_m" xfId="4" xr:uid="{00000000-0005-0000-0000-000003000000}"/>
    <cellStyle name="#,##0" xfId="5" xr:uid="{00000000-0005-0000-0000-000004000000}"/>
    <cellStyle name="#,##0 10" xfId="9115" xr:uid="{00000000-0005-0000-0000-000005000000}"/>
    <cellStyle name="#,##0 10 2" xfId="12804" xr:uid="{00000000-0005-0000-0000-000006000000}"/>
    <cellStyle name="#,##0 11" xfId="10195" xr:uid="{00000000-0005-0000-0000-000007000000}"/>
    <cellStyle name="#,##0 2" xfId="7452" xr:uid="{00000000-0005-0000-0000-000008000000}"/>
    <cellStyle name="#,##0 2 2" xfId="7939" xr:uid="{00000000-0005-0000-0000-000009000000}"/>
    <cellStyle name="#,##0 2 2 2" xfId="9630" xr:uid="{00000000-0005-0000-0000-00000A000000}"/>
    <cellStyle name="#,##0 2 2 3" xfId="11603" xr:uid="{00000000-0005-0000-0000-00000B000000}"/>
    <cellStyle name="#,##0 2 3" xfId="7192" xr:uid="{00000000-0005-0000-0000-00000C000000}"/>
    <cellStyle name="#,##0 2 3 2" xfId="9441" xr:uid="{00000000-0005-0000-0000-00000D000000}"/>
    <cellStyle name="#,##0 2 3 3" xfId="11414" xr:uid="{00000000-0005-0000-0000-00000E000000}"/>
    <cellStyle name="#,##0 2 4" xfId="8521" xr:uid="{00000000-0005-0000-0000-00000F000000}"/>
    <cellStyle name="#,##0 2 4 2" xfId="12264" xr:uid="{00000000-0005-0000-0000-000010000000}"/>
    <cellStyle name="#,##0 2 5" xfId="10551" xr:uid="{00000000-0005-0000-0000-000011000000}"/>
    <cellStyle name="#,##0 3" xfId="7312" xr:uid="{00000000-0005-0000-0000-000012000000}"/>
    <cellStyle name="#,##0 3 2" xfId="7035" xr:uid="{00000000-0005-0000-0000-000013000000}"/>
    <cellStyle name="#,##0 3 2 2" xfId="9528" xr:uid="{00000000-0005-0000-0000-000014000000}"/>
    <cellStyle name="#,##0 3 2 3" xfId="11501" xr:uid="{00000000-0005-0000-0000-000015000000}"/>
    <cellStyle name="#,##0 3 3" xfId="8385" xr:uid="{00000000-0005-0000-0000-000016000000}"/>
    <cellStyle name="#,##0 3 3 2" xfId="12196" xr:uid="{00000000-0005-0000-0000-000017000000}"/>
    <cellStyle name="#,##0 3 4" xfId="10415" xr:uid="{00000000-0005-0000-0000-000018000000}"/>
    <cellStyle name="#,##0 4" xfId="7488" xr:uid="{00000000-0005-0000-0000-000019000000}"/>
    <cellStyle name="#,##0 4 2" xfId="6999" xr:uid="{00000000-0005-0000-0000-00001A000000}"/>
    <cellStyle name="#,##0 4 2 2" xfId="9659" xr:uid="{00000000-0005-0000-0000-00001B000000}"/>
    <cellStyle name="#,##0 4 2 3" xfId="11632" xr:uid="{00000000-0005-0000-0000-00001C000000}"/>
    <cellStyle name="#,##0 4 3" xfId="8555" xr:uid="{00000000-0005-0000-0000-00001D000000}"/>
    <cellStyle name="#,##0 4 3 2" xfId="12287" xr:uid="{00000000-0005-0000-0000-00001E000000}"/>
    <cellStyle name="#,##0 4 4" xfId="10585" xr:uid="{00000000-0005-0000-0000-00001F000000}"/>
    <cellStyle name="#,##0 5" xfId="7498" xr:uid="{00000000-0005-0000-0000-000020000000}"/>
    <cellStyle name="#,##0 5 2" xfId="7003" xr:uid="{00000000-0005-0000-0000-000021000000}"/>
    <cellStyle name="#,##0 5 2 2" xfId="9668" xr:uid="{00000000-0005-0000-0000-000022000000}"/>
    <cellStyle name="#,##0 5 2 3" xfId="11641" xr:uid="{00000000-0005-0000-0000-000023000000}"/>
    <cellStyle name="#,##0 5 3" xfId="8565" xr:uid="{00000000-0005-0000-0000-000024000000}"/>
    <cellStyle name="#,##0 5 3 2" xfId="12666" xr:uid="{00000000-0005-0000-0000-000025000000}"/>
    <cellStyle name="#,##0 5 4" xfId="10595" xr:uid="{00000000-0005-0000-0000-000026000000}"/>
    <cellStyle name="#,##0 6" xfId="7501" xr:uid="{00000000-0005-0000-0000-000027000000}"/>
    <cellStyle name="#,##0 6 2" xfId="7151" xr:uid="{00000000-0005-0000-0000-000028000000}"/>
    <cellStyle name="#,##0 6 2 2" xfId="9669" xr:uid="{00000000-0005-0000-0000-000029000000}"/>
    <cellStyle name="#,##0 6 2 3" xfId="11642" xr:uid="{00000000-0005-0000-0000-00002A000000}"/>
    <cellStyle name="#,##0 6 3" xfId="8568" xr:uid="{00000000-0005-0000-0000-00002B000000}"/>
    <cellStyle name="#,##0 6 4" xfId="10598" xr:uid="{00000000-0005-0000-0000-00002C000000}"/>
    <cellStyle name="#,##0 7" xfId="7799" xr:uid="{00000000-0005-0000-0000-00002D000000}"/>
    <cellStyle name="#,##0 7 2" xfId="7941" xr:uid="{00000000-0005-0000-0000-00002E000000}"/>
    <cellStyle name="#,##0 7 2 2" xfId="9905" xr:uid="{00000000-0005-0000-0000-00002F000000}"/>
    <cellStyle name="#,##0 7 2 3" xfId="11878" xr:uid="{00000000-0005-0000-0000-000030000000}"/>
    <cellStyle name="#,##0 7 3" xfId="8849" xr:uid="{00000000-0005-0000-0000-000031000000}"/>
    <cellStyle name="#,##0 7 4" xfId="10879" xr:uid="{00000000-0005-0000-0000-000032000000}"/>
    <cellStyle name="#,##0 8" xfId="7855" xr:uid="{00000000-0005-0000-0000-000033000000}"/>
    <cellStyle name="#,##0 8 2" xfId="8004" xr:uid="{00000000-0005-0000-0000-000034000000}"/>
    <cellStyle name="#,##0 8 2 2" xfId="10036" xr:uid="{00000000-0005-0000-0000-000035000000}"/>
    <cellStyle name="#,##0 8 2 3" xfId="12009" xr:uid="{00000000-0005-0000-0000-000036000000}"/>
    <cellStyle name="#,##0 8 3" xfId="8902" xr:uid="{00000000-0005-0000-0000-000037000000}"/>
    <cellStyle name="#,##0 8 4" xfId="10932" xr:uid="{00000000-0005-0000-0000-000038000000}"/>
    <cellStyle name="#,##0 9" xfId="8165" xr:uid="{00000000-0005-0000-0000-000039000000}"/>
    <cellStyle name="#,##0 9 2" xfId="8968" xr:uid="{00000000-0005-0000-0000-00003A000000}"/>
    <cellStyle name="#,##0 9 3" xfId="10998" xr:uid="{00000000-0005-0000-0000-00003B000000}"/>
    <cellStyle name="??" xfId="6" xr:uid="{00000000-0005-0000-0000-00003C000000}"/>
    <cellStyle name="?? [0.00]_ Att. 1- Cover" xfId="7" xr:uid="{00000000-0005-0000-0000-00003D000000}"/>
    <cellStyle name="?? [0]" xfId="8" xr:uid="{00000000-0005-0000-0000-00003E000000}"/>
    <cellStyle name="?_x001d_??%U©÷u&amp;H©÷9_x0008_? s_x000a__x0007__x0001__x0001_" xfId="9" xr:uid="{00000000-0005-0000-0000-00003F000000}"/>
    <cellStyle name="???? [0.00]_      " xfId="10" xr:uid="{00000000-0005-0000-0000-000040000000}"/>
    <cellStyle name="????_      " xfId="11" xr:uid="{00000000-0005-0000-0000-000041000000}"/>
    <cellStyle name="???[0]_?? DI" xfId="12" xr:uid="{00000000-0005-0000-0000-000042000000}"/>
    <cellStyle name="???_?? DI" xfId="13" xr:uid="{00000000-0005-0000-0000-000043000000}"/>
    <cellStyle name="??[0]_BRE" xfId="14" xr:uid="{00000000-0005-0000-0000-000044000000}"/>
    <cellStyle name="??_      " xfId="15" xr:uid="{00000000-0005-0000-0000-000045000000}"/>
    <cellStyle name="??A? [0]_laroux_1_¢¬???¢â? " xfId="16" xr:uid="{00000000-0005-0000-0000-000046000000}"/>
    <cellStyle name="??A?_laroux_1_¢¬???¢â? " xfId="17" xr:uid="{00000000-0005-0000-0000-000047000000}"/>
    <cellStyle name="?¡±¢¥?_?¨ù??¢´¢¥_¢¬???¢â? " xfId="18" xr:uid="{00000000-0005-0000-0000-000048000000}"/>
    <cellStyle name="?ðÇ%U?&amp;H?_x0008_?s_x000a__x0007__x0001__x0001_" xfId="19" xr:uid="{00000000-0005-0000-0000-000049000000}"/>
    <cellStyle name="_130307 So sanh thuc hien 2012 - du toan 2012 moi (pan khac)" xfId="20" xr:uid="{00000000-0005-0000-0000-00004A000000}"/>
    <cellStyle name="_130313 Mau  bieu bao cao nguon luc cua dia phuong sua" xfId="21" xr:uid="{00000000-0005-0000-0000-00004B000000}"/>
    <cellStyle name="_130818 Tong hop Danh gia thu 2013" xfId="22" xr:uid="{00000000-0005-0000-0000-00004C000000}"/>
    <cellStyle name="_130818 Tong hop Danh gia thu 2013_140921 bu giam thu ND 209" xfId="23" xr:uid="{00000000-0005-0000-0000-00004D000000}"/>
    <cellStyle name="_130818 Tong hop Danh gia thu 2013_140921 bu giam thu ND 209_Phu luc so 5 - sua ngay 04-01" xfId="24" xr:uid="{00000000-0005-0000-0000-00004E000000}"/>
    <cellStyle name="_Bang Chi tieu (2)" xfId="25" xr:uid="{00000000-0005-0000-0000-00004F000000}"/>
    <cellStyle name="_DG 2012-DT2013 - Theo sac thue -sua" xfId="26" xr:uid="{00000000-0005-0000-0000-000050000000}"/>
    <cellStyle name="_DG 2012-DT2013 - Theo sac thue -sua_120907 Thu tang them 4500" xfId="27" xr:uid="{00000000-0005-0000-0000-000051000000}"/>
    <cellStyle name="_DG 2012-DT2013 - Theo sac thue -sua_27-8Tong hop PA uoc 2012-DT 2013 -PA 420.000 ty-490.000 ty chuyen doi" xfId="28" xr:uid="{00000000-0005-0000-0000-000052000000}"/>
    <cellStyle name="_Huong CHI tieu Nhiem vu CTMTQG 2014(1)" xfId="29" xr:uid="{00000000-0005-0000-0000-000053000000}"/>
    <cellStyle name="_KH.DTC.gd2016-2020 tinh (T2-2015)" xfId="30" xr:uid="{00000000-0005-0000-0000-000063000000}"/>
    <cellStyle name="_KT (2)" xfId="31" xr:uid="{00000000-0005-0000-0000-000054000000}"/>
    <cellStyle name="_KT (2)_1" xfId="32" xr:uid="{00000000-0005-0000-0000-000055000000}"/>
    <cellStyle name="_KT (2)_2" xfId="33" xr:uid="{00000000-0005-0000-0000-000056000000}"/>
    <cellStyle name="_KT (2)_2_TG-TH" xfId="34" xr:uid="{00000000-0005-0000-0000-000057000000}"/>
    <cellStyle name="_KT (2)_3" xfId="35" xr:uid="{00000000-0005-0000-0000-000058000000}"/>
    <cellStyle name="_KT (2)_3_TG-TH" xfId="36" xr:uid="{00000000-0005-0000-0000-000059000000}"/>
    <cellStyle name="_KT (2)_4" xfId="37" xr:uid="{00000000-0005-0000-0000-00005A000000}"/>
    <cellStyle name="_KT (2)_4_TG-TH" xfId="38" xr:uid="{00000000-0005-0000-0000-00005B000000}"/>
    <cellStyle name="_KT (2)_5" xfId="39" xr:uid="{00000000-0005-0000-0000-00005C000000}"/>
    <cellStyle name="_KT (2)_TG-TH" xfId="40" xr:uid="{00000000-0005-0000-0000-00005D000000}"/>
    <cellStyle name="_KT_TG" xfId="41" xr:uid="{00000000-0005-0000-0000-00005E000000}"/>
    <cellStyle name="_KT_TG_1" xfId="42" xr:uid="{00000000-0005-0000-0000-00005F000000}"/>
    <cellStyle name="_KT_TG_2" xfId="43" xr:uid="{00000000-0005-0000-0000-000060000000}"/>
    <cellStyle name="_KT_TG_3" xfId="44" xr:uid="{00000000-0005-0000-0000-000061000000}"/>
    <cellStyle name="_KT_TG_4" xfId="45" xr:uid="{00000000-0005-0000-0000-000062000000}"/>
    <cellStyle name="_Phu luc kem BC gui VP Bo (18.2)" xfId="46" xr:uid="{00000000-0005-0000-0000-000064000000}"/>
    <cellStyle name="_TG-TH" xfId="47" xr:uid="{00000000-0005-0000-0000-000065000000}"/>
    <cellStyle name="_TG-TH_1" xfId="48" xr:uid="{00000000-0005-0000-0000-000066000000}"/>
    <cellStyle name="_TG-TH_2" xfId="49" xr:uid="{00000000-0005-0000-0000-000067000000}"/>
    <cellStyle name="_TG-TH_3" xfId="50" xr:uid="{00000000-0005-0000-0000-000068000000}"/>
    <cellStyle name="_TG-TH_4" xfId="51" xr:uid="{00000000-0005-0000-0000-000069000000}"/>
    <cellStyle name="~1" xfId="52" xr:uid="{00000000-0005-0000-0000-00006A000000}"/>
    <cellStyle name="~1 2" xfId="53" xr:uid="{00000000-0005-0000-0000-00006B000000}"/>
    <cellStyle name="•W€_STDFOR" xfId="54" xr:uid="{00000000-0005-0000-0000-00006C000000}"/>
    <cellStyle name="•W_MARINE" xfId="55" xr:uid="{00000000-0005-0000-0000-00006D000000}"/>
    <cellStyle name="W_STDFOR" xfId="56" xr:uid="{00000000-0005-0000-0000-00006E000000}"/>
    <cellStyle name="0" xfId="57" xr:uid="{00000000-0005-0000-0000-00006F000000}"/>
    <cellStyle name="0 10" xfId="9081" xr:uid="{00000000-0005-0000-0000-000070000000}"/>
    <cellStyle name="0 10 2" xfId="12781" xr:uid="{00000000-0005-0000-0000-000071000000}"/>
    <cellStyle name="0 11" xfId="10196" xr:uid="{00000000-0005-0000-0000-000072000000}"/>
    <cellStyle name="0 2" xfId="7502" xr:uid="{00000000-0005-0000-0000-000073000000}"/>
    <cellStyle name="0 2 2" xfId="7944" xr:uid="{00000000-0005-0000-0000-000074000000}"/>
    <cellStyle name="0 2 2 2" xfId="9670" xr:uid="{00000000-0005-0000-0000-000075000000}"/>
    <cellStyle name="0 2 2 3" xfId="11643" xr:uid="{00000000-0005-0000-0000-000076000000}"/>
    <cellStyle name="0 2 3" xfId="7239" xr:uid="{00000000-0005-0000-0000-000077000000}"/>
    <cellStyle name="0 2 3 2" xfId="9476" xr:uid="{00000000-0005-0000-0000-000078000000}"/>
    <cellStyle name="0 2 3 3" xfId="11449" xr:uid="{00000000-0005-0000-0000-000079000000}"/>
    <cellStyle name="0 2 4" xfId="8569" xr:uid="{00000000-0005-0000-0000-00007A000000}"/>
    <cellStyle name="0 2 4 2" xfId="12295" xr:uid="{00000000-0005-0000-0000-00007B000000}"/>
    <cellStyle name="0 2 5" xfId="10599" xr:uid="{00000000-0005-0000-0000-00007C000000}"/>
    <cellStyle name="0 3" xfId="7519" xr:uid="{00000000-0005-0000-0000-00007D000000}"/>
    <cellStyle name="0 3 2" xfId="6823" xr:uid="{00000000-0005-0000-0000-00007E000000}"/>
    <cellStyle name="0 3 2 2" xfId="9684" xr:uid="{00000000-0005-0000-0000-00007F000000}"/>
    <cellStyle name="0 3 2 3" xfId="11657" xr:uid="{00000000-0005-0000-0000-000080000000}"/>
    <cellStyle name="0 3 3" xfId="8585" xr:uid="{00000000-0005-0000-0000-000081000000}"/>
    <cellStyle name="0 3 3 2" xfId="12304" xr:uid="{00000000-0005-0000-0000-000082000000}"/>
    <cellStyle name="0 3 4" xfId="10615" xr:uid="{00000000-0005-0000-0000-000083000000}"/>
    <cellStyle name="0 4" xfId="7550" xr:uid="{00000000-0005-0000-0000-000084000000}"/>
    <cellStyle name="0 4 2" xfId="7166" xr:uid="{00000000-0005-0000-0000-000085000000}"/>
    <cellStyle name="0 4 2 2" xfId="9709" xr:uid="{00000000-0005-0000-0000-000086000000}"/>
    <cellStyle name="0 4 2 3" xfId="11682" xr:uid="{00000000-0005-0000-0000-000087000000}"/>
    <cellStyle name="0 4 3" xfId="8615" xr:uid="{00000000-0005-0000-0000-000088000000}"/>
    <cellStyle name="0 4 3 2" xfId="12325" xr:uid="{00000000-0005-0000-0000-000089000000}"/>
    <cellStyle name="0 4 4" xfId="10645" xr:uid="{00000000-0005-0000-0000-00008A000000}"/>
    <cellStyle name="0 5" xfId="7627" xr:uid="{00000000-0005-0000-0000-00008B000000}"/>
    <cellStyle name="0 5 2" xfId="7171" xr:uid="{00000000-0005-0000-0000-00008C000000}"/>
    <cellStyle name="0 5 2 2" xfId="9763" xr:uid="{00000000-0005-0000-0000-00008D000000}"/>
    <cellStyle name="0 5 2 3" xfId="11736" xr:uid="{00000000-0005-0000-0000-00008E000000}"/>
    <cellStyle name="0 5 3" xfId="8687" xr:uid="{00000000-0005-0000-0000-00008F000000}"/>
    <cellStyle name="0 5 3 2" xfId="12713" xr:uid="{00000000-0005-0000-0000-000090000000}"/>
    <cellStyle name="0 5 4" xfId="10717" xr:uid="{00000000-0005-0000-0000-000091000000}"/>
    <cellStyle name="0 6" xfId="7510" xr:uid="{00000000-0005-0000-0000-000092000000}"/>
    <cellStyle name="0 6 2" xfId="6998" xr:uid="{00000000-0005-0000-0000-000093000000}"/>
    <cellStyle name="0 6 2 2" xfId="9676" xr:uid="{00000000-0005-0000-0000-000094000000}"/>
    <cellStyle name="0 6 2 3" xfId="11649" xr:uid="{00000000-0005-0000-0000-000095000000}"/>
    <cellStyle name="0 6 3" xfId="8577" xr:uid="{00000000-0005-0000-0000-000096000000}"/>
    <cellStyle name="0 6 4" xfId="10607" xr:uid="{00000000-0005-0000-0000-000097000000}"/>
    <cellStyle name="0 7" xfId="7797" xr:uid="{00000000-0005-0000-0000-000098000000}"/>
    <cellStyle name="0 7 2" xfId="7943" xr:uid="{00000000-0005-0000-0000-000099000000}"/>
    <cellStyle name="0 7 2 2" xfId="9904" xr:uid="{00000000-0005-0000-0000-00009A000000}"/>
    <cellStyle name="0 7 2 3" xfId="11877" xr:uid="{00000000-0005-0000-0000-00009B000000}"/>
    <cellStyle name="0 7 3" xfId="8848" xr:uid="{00000000-0005-0000-0000-00009C000000}"/>
    <cellStyle name="0 7 4" xfId="10878" xr:uid="{00000000-0005-0000-0000-00009D000000}"/>
    <cellStyle name="0 8" xfId="7842" xr:uid="{00000000-0005-0000-0000-00009E000000}"/>
    <cellStyle name="0 8 2" xfId="7991" xr:uid="{00000000-0005-0000-0000-00009F000000}"/>
    <cellStyle name="0 8 2 2" xfId="10027" xr:uid="{00000000-0005-0000-0000-0000A0000000}"/>
    <cellStyle name="0 8 2 3" xfId="12000" xr:uid="{00000000-0005-0000-0000-0000A1000000}"/>
    <cellStyle name="0 8 3" xfId="8889" xr:uid="{00000000-0005-0000-0000-0000A2000000}"/>
    <cellStyle name="0 8 4" xfId="10919" xr:uid="{00000000-0005-0000-0000-0000A3000000}"/>
    <cellStyle name="0 9" xfId="8166" xr:uid="{00000000-0005-0000-0000-0000A4000000}"/>
    <cellStyle name="0 9 2" xfId="8976" xr:uid="{00000000-0005-0000-0000-0000A5000000}"/>
    <cellStyle name="0 9 3" xfId="11006" xr:uid="{00000000-0005-0000-0000-0000A6000000}"/>
    <cellStyle name="0.0" xfId="58" xr:uid="{00000000-0005-0000-0000-0000A7000000}"/>
    <cellStyle name="0.0 10" xfId="9077" xr:uid="{00000000-0005-0000-0000-0000A8000000}"/>
    <cellStyle name="0.0 10 2" xfId="12777" xr:uid="{00000000-0005-0000-0000-0000A9000000}"/>
    <cellStyle name="0.0 11" xfId="10197" xr:uid="{00000000-0005-0000-0000-0000AA000000}"/>
    <cellStyle name="0.0 2" xfId="7422" xr:uid="{00000000-0005-0000-0000-0000AB000000}"/>
    <cellStyle name="0.0 2 2" xfId="7936" xr:uid="{00000000-0005-0000-0000-0000AC000000}"/>
    <cellStyle name="0.0 2 2 2" xfId="9607" xr:uid="{00000000-0005-0000-0000-0000AD000000}"/>
    <cellStyle name="0.0 2 2 3" xfId="11580" xr:uid="{00000000-0005-0000-0000-0000AE000000}"/>
    <cellStyle name="0.0 2 3" xfId="7197" xr:uid="{00000000-0005-0000-0000-0000AF000000}"/>
    <cellStyle name="0.0 2 3 2" xfId="9444" xr:uid="{00000000-0005-0000-0000-0000B0000000}"/>
    <cellStyle name="0.0 2 3 3" xfId="11417" xr:uid="{00000000-0005-0000-0000-0000B1000000}"/>
    <cellStyle name="0.0 2 4" xfId="8492" xr:uid="{00000000-0005-0000-0000-0000B2000000}"/>
    <cellStyle name="0.0 2 4 2" xfId="12248" xr:uid="{00000000-0005-0000-0000-0000B3000000}"/>
    <cellStyle name="0.0 2 5" xfId="10522" xr:uid="{00000000-0005-0000-0000-0000B4000000}"/>
    <cellStyle name="0.0 3" xfId="7551" xr:uid="{00000000-0005-0000-0000-0000B5000000}"/>
    <cellStyle name="0.0 3 2" xfId="6942" xr:uid="{00000000-0005-0000-0000-0000B6000000}"/>
    <cellStyle name="0.0 3 2 2" xfId="9710" xr:uid="{00000000-0005-0000-0000-0000B7000000}"/>
    <cellStyle name="0.0 3 2 3" xfId="11683" xr:uid="{00000000-0005-0000-0000-0000B8000000}"/>
    <cellStyle name="0.0 3 3" xfId="8616" xr:uid="{00000000-0005-0000-0000-0000B9000000}"/>
    <cellStyle name="0.0 3 3 2" xfId="12326" xr:uid="{00000000-0005-0000-0000-0000BA000000}"/>
    <cellStyle name="0.0 3 4" xfId="10646" xr:uid="{00000000-0005-0000-0000-0000BB000000}"/>
    <cellStyle name="0.0 4" xfId="7486" xr:uid="{00000000-0005-0000-0000-0000BC000000}"/>
    <cellStyle name="0.0 4 2" xfId="7198" xr:uid="{00000000-0005-0000-0000-0000BD000000}"/>
    <cellStyle name="0.0 4 2 2" xfId="9657" xr:uid="{00000000-0005-0000-0000-0000BE000000}"/>
    <cellStyle name="0.0 4 2 3" xfId="11630" xr:uid="{00000000-0005-0000-0000-0000BF000000}"/>
    <cellStyle name="0.0 4 3" xfId="8553" xr:uid="{00000000-0005-0000-0000-0000C0000000}"/>
    <cellStyle name="0.0 4 3 2" xfId="12285" xr:uid="{00000000-0005-0000-0000-0000C1000000}"/>
    <cellStyle name="0.0 4 4" xfId="10583" xr:uid="{00000000-0005-0000-0000-0000C2000000}"/>
    <cellStyle name="0.0 5" xfId="7411" xr:uid="{00000000-0005-0000-0000-0000C3000000}"/>
    <cellStyle name="0.0 5 2" xfId="7012" xr:uid="{00000000-0005-0000-0000-0000C4000000}"/>
    <cellStyle name="0.0 5 2 2" xfId="9599" xr:uid="{00000000-0005-0000-0000-0000C5000000}"/>
    <cellStyle name="0.0 5 2 3" xfId="11572" xr:uid="{00000000-0005-0000-0000-0000C6000000}"/>
    <cellStyle name="0.0 5 3" xfId="8481" xr:uid="{00000000-0005-0000-0000-0000C7000000}"/>
    <cellStyle name="0.0 5 3 2" xfId="12638" xr:uid="{00000000-0005-0000-0000-0000C8000000}"/>
    <cellStyle name="0.0 5 4" xfId="10511" xr:uid="{00000000-0005-0000-0000-0000C9000000}"/>
    <cellStyle name="0.0 6" xfId="7301" xr:uid="{00000000-0005-0000-0000-0000CA000000}"/>
    <cellStyle name="0.0 6 2" xfId="6899" xr:uid="{00000000-0005-0000-0000-0000CB000000}"/>
    <cellStyle name="0.0 6 2 2" xfId="9520" xr:uid="{00000000-0005-0000-0000-0000CC000000}"/>
    <cellStyle name="0.0 6 2 3" xfId="11493" xr:uid="{00000000-0005-0000-0000-0000CD000000}"/>
    <cellStyle name="0.0 6 3" xfId="8374" xr:uid="{00000000-0005-0000-0000-0000CE000000}"/>
    <cellStyle name="0.0 6 4" xfId="10404" xr:uid="{00000000-0005-0000-0000-0000CF000000}"/>
    <cellStyle name="0.0 7" xfId="7800" xr:uid="{00000000-0005-0000-0000-0000D0000000}"/>
    <cellStyle name="0.0 7 2" xfId="7928" xr:uid="{00000000-0005-0000-0000-0000D1000000}"/>
    <cellStyle name="0.0 7 2 2" xfId="9906" xr:uid="{00000000-0005-0000-0000-0000D2000000}"/>
    <cellStyle name="0.0 7 2 3" xfId="11879" xr:uid="{00000000-0005-0000-0000-0000D3000000}"/>
    <cellStyle name="0.0 7 3" xfId="8850" xr:uid="{00000000-0005-0000-0000-0000D4000000}"/>
    <cellStyle name="0.0 7 4" xfId="10880" xr:uid="{00000000-0005-0000-0000-0000D5000000}"/>
    <cellStyle name="0.0 8" xfId="7841" xr:uid="{00000000-0005-0000-0000-0000D6000000}"/>
    <cellStyle name="0.0 8 2" xfId="7990" xr:uid="{00000000-0005-0000-0000-0000D7000000}"/>
    <cellStyle name="0.0 8 2 2" xfId="10026" xr:uid="{00000000-0005-0000-0000-0000D8000000}"/>
    <cellStyle name="0.0 8 2 3" xfId="11999" xr:uid="{00000000-0005-0000-0000-0000D9000000}"/>
    <cellStyle name="0.0 8 3" xfId="8888" xr:uid="{00000000-0005-0000-0000-0000DA000000}"/>
    <cellStyle name="0.0 8 4" xfId="10918" xr:uid="{00000000-0005-0000-0000-0000DB000000}"/>
    <cellStyle name="0.0 9" xfId="8167" xr:uid="{00000000-0005-0000-0000-0000DC000000}"/>
    <cellStyle name="0.0 9 2" xfId="8977" xr:uid="{00000000-0005-0000-0000-0000DD000000}"/>
    <cellStyle name="0.0 9 3" xfId="11007" xr:uid="{00000000-0005-0000-0000-0000DE000000}"/>
    <cellStyle name="0.00" xfId="59" xr:uid="{00000000-0005-0000-0000-0000DF000000}"/>
    <cellStyle name="0.00 10" xfId="9076" xr:uid="{00000000-0005-0000-0000-0000E0000000}"/>
    <cellStyle name="0.00 10 2" xfId="12776" xr:uid="{00000000-0005-0000-0000-0000E1000000}"/>
    <cellStyle name="0.00 11" xfId="10198" xr:uid="{00000000-0005-0000-0000-0000E2000000}"/>
    <cellStyle name="0.00 2" xfId="7425" xr:uid="{00000000-0005-0000-0000-0000E3000000}"/>
    <cellStyle name="0.00 2 2" xfId="7937" xr:uid="{00000000-0005-0000-0000-0000E4000000}"/>
    <cellStyle name="0.00 2 2 2" xfId="9610" xr:uid="{00000000-0005-0000-0000-0000E5000000}"/>
    <cellStyle name="0.00 2 2 3" xfId="11583" xr:uid="{00000000-0005-0000-0000-0000E6000000}"/>
    <cellStyle name="0.00 2 3" xfId="7026" xr:uid="{00000000-0005-0000-0000-0000E7000000}"/>
    <cellStyle name="0.00 2 3 2" xfId="9322" xr:uid="{00000000-0005-0000-0000-0000E8000000}"/>
    <cellStyle name="0.00 2 3 3" xfId="11295" xr:uid="{00000000-0005-0000-0000-0000E9000000}"/>
    <cellStyle name="0.00 2 4" xfId="8495" xr:uid="{00000000-0005-0000-0000-0000EA000000}"/>
    <cellStyle name="0.00 2 4 2" xfId="12251" xr:uid="{00000000-0005-0000-0000-0000EB000000}"/>
    <cellStyle name="0.00 2 5" xfId="10525" xr:uid="{00000000-0005-0000-0000-0000EC000000}"/>
    <cellStyle name="0.00 3" xfId="7589" xr:uid="{00000000-0005-0000-0000-0000ED000000}"/>
    <cellStyle name="0.00 3 2" xfId="7278" xr:uid="{00000000-0005-0000-0000-0000EE000000}"/>
    <cellStyle name="0.00 3 2 2" xfId="9735" xr:uid="{00000000-0005-0000-0000-0000EF000000}"/>
    <cellStyle name="0.00 3 2 3" xfId="11708" xr:uid="{00000000-0005-0000-0000-0000F0000000}"/>
    <cellStyle name="0.00 3 3" xfId="8652" xr:uid="{00000000-0005-0000-0000-0000F1000000}"/>
    <cellStyle name="0.00 3 3 2" xfId="12342" xr:uid="{00000000-0005-0000-0000-0000F2000000}"/>
    <cellStyle name="0.00 3 4" xfId="10682" xr:uid="{00000000-0005-0000-0000-0000F3000000}"/>
    <cellStyle name="0.00 4" xfId="7724" xr:uid="{00000000-0005-0000-0000-0000F4000000}"/>
    <cellStyle name="0.00 4 2" xfId="6982" xr:uid="{00000000-0005-0000-0000-0000F5000000}"/>
    <cellStyle name="0.00 4 2 2" xfId="9842" xr:uid="{00000000-0005-0000-0000-0000F6000000}"/>
    <cellStyle name="0.00 4 2 3" xfId="11815" xr:uid="{00000000-0005-0000-0000-0000F7000000}"/>
    <cellStyle name="0.00 4 3" xfId="8779" xr:uid="{00000000-0005-0000-0000-0000F8000000}"/>
    <cellStyle name="0.00 4 3 2" xfId="12423" xr:uid="{00000000-0005-0000-0000-0000F9000000}"/>
    <cellStyle name="0.00 4 4" xfId="10809" xr:uid="{00000000-0005-0000-0000-0000FA000000}"/>
    <cellStyle name="0.00 5" xfId="7585" xr:uid="{00000000-0005-0000-0000-0000FB000000}"/>
    <cellStyle name="0.00 5 2" xfId="7117" xr:uid="{00000000-0005-0000-0000-0000FC000000}"/>
    <cellStyle name="0.00 5 2 2" xfId="9733" xr:uid="{00000000-0005-0000-0000-0000FD000000}"/>
    <cellStyle name="0.00 5 2 3" xfId="11706" xr:uid="{00000000-0005-0000-0000-0000FE000000}"/>
    <cellStyle name="0.00 5 3" xfId="8648" xr:uid="{00000000-0005-0000-0000-0000FF000000}"/>
    <cellStyle name="0.00 5 3 2" xfId="12698" xr:uid="{00000000-0005-0000-0000-000000010000}"/>
    <cellStyle name="0.00 5 4" xfId="10678" xr:uid="{00000000-0005-0000-0000-000001010000}"/>
    <cellStyle name="0.00 6" xfId="7388" xr:uid="{00000000-0005-0000-0000-000002010000}"/>
    <cellStyle name="0.00 6 2" xfId="7255" xr:uid="{00000000-0005-0000-0000-000003010000}"/>
    <cellStyle name="0.00 6 2 2" xfId="9584" xr:uid="{00000000-0005-0000-0000-000004010000}"/>
    <cellStyle name="0.00 6 2 3" xfId="11557" xr:uid="{00000000-0005-0000-0000-000005010000}"/>
    <cellStyle name="0.00 6 3" xfId="8458" xr:uid="{00000000-0005-0000-0000-000006010000}"/>
    <cellStyle name="0.00 6 4" xfId="10488" xr:uid="{00000000-0005-0000-0000-000007010000}"/>
    <cellStyle name="0.00 7" xfId="7802" xr:uid="{00000000-0005-0000-0000-000008010000}"/>
    <cellStyle name="0.00 7 2" xfId="7194" xr:uid="{00000000-0005-0000-0000-000009010000}"/>
    <cellStyle name="0.00 7 2 2" xfId="9908" xr:uid="{00000000-0005-0000-0000-00000A010000}"/>
    <cellStyle name="0.00 7 2 3" xfId="11881" xr:uid="{00000000-0005-0000-0000-00000B010000}"/>
    <cellStyle name="0.00 7 3" xfId="8852" xr:uid="{00000000-0005-0000-0000-00000C010000}"/>
    <cellStyle name="0.00 7 4" xfId="10882" xr:uid="{00000000-0005-0000-0000-00000D010000}"/>
    <cellStyle name="0.00 8" xfId="7832" xr:uid="{00000000-0005-0000-0000-00000E010000}"/>
    <cellStyle name="0.00 8 2" xfId="7981" xr:uid="{00000000-0005-0000-0000-00000F010000}"/>
    <cellStyle name="0.00 8 2 2" xfId="10025" xr:uid="{00000000-0005-0000-0000-000010010000}"/>
    <cellStyle name="0.00 8 2 3" xfId="11998" xr:uid="{00000000-0005-0000-0000-000011010000}"/>
    <cellStyle name="0.00 8 3" xfId="8879" xr:uid="{00000000-0005-0000-0000-000012010000}"/>
    <cellStyle name="0.00 8 4" xfId="10909" xr:uid="{00000000-0005-0000-0000-000013010000}"/>
    <cellStyle name="0.00 9" xfId="8168" xr:uid="{00000000-0005-0000-0000-000014010000}"/>
    <cellStyle name="0.00 9 2" xfId="8978" xr:uid="{00000000-0005-0000-0000-000015010000}"/>
    <cellStyle name="0.00 9 3" xfId="11008" xr:uid="{00000000-0005-0000-0000-000016010000}"/>
    <cellStyle name="1" xfId="60" xr:uid="{00000000-0005-0000-0000-000017010000}"/>
    <cellStyle name="1_2-Ha GiangBB2011-V1" xfId="61" xr:uid="{00000000-0005-0000-0000-000018010000}"/>
    <cellStyle name="1_50-BB Vung tau 2011" xfId="62" xr:uid="{00000000-0005-0000-0000-000019010000}"/>
    <cellStyle name="1_52-Long An2011.BB-V1" xfId="63" xr:uid="{00000000-0005-0000-0000-00001A010000}"/>
    <cellStyle name="1_bieu 1" xfId="64" xr:uid="{00000000-0005-0000-0000-00001B010000}"/>
    <cellStyle name="1_bieu 2" xfId="65" xr:uid="{00000000-0005-0000-0000-00001C010000}"/>
    <cellStyle name="1_bieu 4" xfId="66" xr:uid="{00000000-0005-0000-0000-00001D010000}"/>
    <cellStyle name="1_Gia_VLQL48_duyet " xfId="67" xr:uid="{00000000-0005-0000-0000-00001E010000}"/>
    <cellStyle name="¹éºÐÀ²_      " xfId="68" xr:uid="{00000000-0005-0000-0000-00001F010000}"/>
    <cellStyle name="2" xfId="69" xr:uid="{00000000-0005-0000-0000-000020010000}"/>
    <cellStyle name="2_Gia_VLQL48_duyet " xfId="70" xr:uid="{00000000-0005-0000-0000-000021010000}"/>
    <cellStyle name="20" xfId="71" xr:uid="{00000000-0005-0000-0000-000022010000}"/>
    <cellStyle name="20% - Accent1 2" xfId="72" xr:uid="{00000000-0005-0000-0000-000023010000}"/>
    <cellStyle name="20% - Accent1 2 10" xfId="3289" xr:uid="{00000000-0005-0000-0000-000024010000}"/>
    <cellStyle name="20% - Accent1 2 11" xfId="4379" xr:uid="{00000000-0005-0000-0000-000025010000}"/>
    <cellStyle name="20% - Accent1 2 12" xfId="8169" xr:uid="{00000000-0005-0000-0000-000026010000}"/>
    <cellStyle name="20% - Accent1 2 13" xfId="10199" xr:uid="{00000000-0005-0000-0000-000027010000}"/>
    <cellStyle name="20% - Accent1 2 2" xfId="73" xr:uid="{00000000-0005-0000-0000-000028010000}"/>
    <cellStyle name="20% - Accent1 2 2 10" xfId="8170" xr:uid="{00000000-0005-0000-0000-000029010000}"/>
    <cellStyle name="20% - Accent1 2 2 11" xfId="10200" xr:uid="{00000000-0005-0000-0000-00002A010000}"/>
    <cellStyle name="20% - Accent1 2 2 2" xfId="1628" xr:uid="{00000000-0005-0000-0000-00002B010000}"/>
    <cellStyle name="20% - Accent1 2 2 3" xfId="1812" xr:uid="{00000000-0005-0000-0000-00002C010000}"/>
    <cellStyle name="20% - Accent1 2 2 4" xfId="1876" xr:uid="{00000000-0005-0000-0000-00002D010000}"/>
    <cellStyle name="20% - Accent1 2 2 5" xfId="2117" xr:uid="{00000000-0005-0000-0000-00002E010000}"/>
    <cellStyle name="20% - Accent1 2 2 6" xfId="2395" xr:uid="{00000000-0005-0000-0000-00002F010000}"/>
    <cellStyle name="20% - Accent1 2 2 7" xfId="2796" xr:uid="{00000000-0005-0000-0000-000030010000}"/>
    <cellStyle name="20% - Accent1 2 2 8" xfId="3290" xr:uid="{00000000-0005-0000-0000-000031010000}"/>
    <cellStyle name="20% - Accent1 2 2 9" xfId="4378" xr:uid="{00000000-0005-0000-0000-000032010000}"/>
    <cellStyle name="20% - Accent1 2 3" xfId="74" xr:uid="{00000000-0005-0000-0000-000033010000}"/>
    <cellStyle name="20% - Accent1 2 3 10" xfId="8171" xr:uid="{00000000-0005-0000-0000-000034010000}"/>
    <cellStyle name="20% - Accent1 2 3 11" xfId="10201" xr:uid="{00000000-0005-0000-0000-000035010000}"/>
    <cellStyle name="20% - Accent1 2 3 2" xfId="1629" xr:uid="{00000000-0005-0000-0000-000036010000}"/>
    <cellStyle name="20% - Accent1 2 3 3" xfId="1811" xr:uid="{00000000-0005-0000-0000-000037010000}"/>
    <cellStyle name="20% - Accent1 2 3 4" xfId="1877" xr:uid="{00000000-0005-0000-0000-000038010000}"/>
    <cellStyle name="20% - Accent1 2 3 5" xfId="2116" xr:uid="{00000000-0005-0000-0000-000039010000}"/>
    <cellStyle name="20% - Accent1 2 3 6" xfId="2396" xr:uid="{00000000-0005-0000-0000-00003A010000}"/>
    <cellStyle name="20% - Accent1 2 3 7" xfId="2795" xr:uid="{00000000-0005-0000-0000-00003B010000}"/>
    <cellStyle name="20% - Accent1 2 3 8" xfId="3291" xr:uid="{00000000-0005-0000-0000-00003C010000}"/>
    <cellStyle name="20% - Accent1 2 3 9" xfId="4377" xr:uid="{00000000-0005-0000-0000-00003D010000}"/>
    <cellStyle name="20% - Accent1 2 4" xfId="1627" xr:uid="{00000000-0005-0000-0000-00003E010000}"/>
    <cellStyle name="20% - Accent1 2 5" xfId="1813" xr:uid="{00000000-0005-0000-0000-00003F010000}"/>
    <cellStyle name="20% - Accent1 2 6" xfId="1875" xr:uid="{00000000-0005-0000-0000-000040010000}"/>
    <cellStyle name="20% - Accent1 2 7" xfId="2118" xr:uid="{00000000-0005-0000-0000-000041010000}"/>
    <cellStyle name="20% - Accent1 2 8" xfId="2394" xr:uid="{00000000-0005-0000-0000-000042010000}"/>
    <cellStyle name="20% - Accent1 2 9" xfId="2797" xr:uid="{00000000-0005-0000-0000-000043010000}"/>
    <cellStyle name="20% - Accent1 3" xfId="75" xr:uid="{00000000-0005-0000-0000-000044010000}"/>
    <cellStyle name="20% - Accent1 3 10" xfId="8172" xr:uid="{00000000-0005-0000-0000-000045010000}"/>
    <cellStyle name="20% - Accent1 3 11" xfId="10202" xr:uid="{00000000-0005-0000-0000-000046010000}"/>
    <cellStyle name="20% - Accent1 3 2" xfId="1630" xr:uid="{00000000-0005-0000-0000-000047010000}"/>
    <cellStyle name="20% - Accent1 3 3" xfId="1810" xr:uid="{00000000-0005-0000-0000-000048010000}"/>
    <cellStyle name="20% - Accent1 3 4" xfId="1878" xr:uid="{00000000-0005-0000-0000-000049010000}"/>
    <cellStyle name="20% - Accent1 3 5" xfId="2115" xr:uid="{00000000-0005-0000-0000-00004A010000}"/>
    <cellStyle name="20% - Accent1 3 6" xfId="2397" xr:uid="{00000000-0005-0000-0000-00004B010000}"/>
    <cellStyle name="20% - Accent1 3 7" xfId="2794" xr:uid="{00000000-0005-0000-0000-00004C010000}"/>
    <cellStyle name="20% - Accent1 3 8" xfId="3292" xr:uid="{00000000-0005-0000-0000-00004D010000}"/>
    <cellStyle name="20% - Accent1 3 9" xfId="4376" xr:uid="{00000000-0005-0000-0000-00004E010000}"/>
    <cellStyle name="20% - Accent1 4" xfId="76" xr:uid="{00000000-0005-0000-0000-00004F010000}"/>
    <cellStyle name="20% - Accent1 4 10" xfId="8173" xr:uid="{00000000-0005-0000-0000-000050010000}"/>
    <cellStyle name="20% - Accent1 4 11" xfId="10203" xr:uid="{00000000-0005-0000-0000-000051010000}"/>
    <cellStyle name="20% - Accent1 4 2" xfId="1631" xr:uid="{00000000-0005-0000-0000-000052010000}"/>
    <cellStyle name="20% - Accent1 4 3" xfId="1809" xr:uid="{00000000-0005-0000-0000-000053010000}"/>
    <cellStyle name="20% - Accent1 4 4" xfId="1879" xr:uid="{00000000-0005-0000-0000-000054010000}"/>
    <cellStyle name="20% - Accent1 4 5" xfId="2114" xr:uid="{00000000-0005-0000-0000-000055010000}"/>
    <cellStyle name="20% - Accent1 4 6" xfId="2398" xr:uid="{00000000-0005-0000-0000-000056010000}"/>
    <cellStyle name="20% - Accent1 4 7" xfId="2793" xr:uid="{00000000-0005-0000-0000-000057010000}"/>
    <cellStyle name="20% - Accent1 4 8" xfId="3293" xr:uid="{00000000-0005-0000-0000-000058010000}"/>
    <cellStyle name="20% - Accent1 4 9" xfId="4375" xr:uid="{00000000-0005-0000-0000-000059010000}"/>
    <cellStyle name="20% - Accent1 5" xfId="77" xr:uid="{00000000-0005-0000-0000-00005A010000}"/>
    <cellStyle name="20% - Accent1 5 10" xfId="8174" xr:uid="{00000000-0005-0000-0000-00005B010000}"/>
    <cellStyle name="20% - Accent1 5 11" xfId="10204" xr:uid="{00000000-0005-0000-0000-00005C010000}"/>
    <cellStyle name="20% - Accent1 5 2" xfId="1632" xr:uid="{00000000-0005-0000-0000-00005D010000}"/>
    <cellStyle name="20% - Accent1 5 3" xfId="1808" xr:uid="{00000000-0005-0000-0000-00005E010000}"/>
    <cellStyle name="20% - Accent1 5 4" xfId="1880" xr:uid="{00000000-0005-0000-0000-00005F010000}"/>
    <cellStyle name="20% - Accent1 5 5" xfId="2113" xr:uid="{00000000-0005-0000-0000-000060010000}"/>
    <cellStyle name="20% - Accent1 5 6" xfId="2399" xr:uid="{00000000-0005-0000-0000-000061010000}"/>
    <cellStyle name="20% - Accent1 5 7" xfId="2792" xr:uid="{00000000-0005-0000-0000-000062010000}"/>
    <cellStyle name="20% - Accent1 5 8" xfId="3294" xr:uid="{00000000-0005-0000-0000-000063010000}"/>
    <cellStyle name="20% - Accent1 5 9" xfId="4374" xr:uid="{00000000-0005-0000-0000-000064010000}"/>
    <cellStyle name="20% - Accent2 2" xfId="78" xr:uid="{00000000-0005-0000-0000-000065010000}"/>
    <cellStyle name="20% - Accent2 2 10" xfId="3295" xr:uid="{00000000-0005-0000-0000-000066010000}"/>
    <cellStyle name="20% - Accent2 2 11" xfId="4373" xr:uid="{00000000-0005-0000-0000-000067010000}"/>
    <cellStyle name="20% - Accent2 2 12" xfId="8175" xr:uid="{00000000-0005-0000-0000-000068010000}"/>
    <cellStyle name="20% - Accent2 2 13" xfId="10205" xr:uid="{00000000-0005-0000-0000-000069010000}"/>
    <cellStyle name="20% - Accent2 2 2" xfId="79" xr:uid="{00000000-0005-0000-0000-00006A010000}"/>
    <cellStyle name="20% - Accent2 2 2 10" xfId="8176" xr:uid="{00000000-0005-0000-0000-00006B010000}"/>
    <cellStyle name="20% - Accent2 2 2 11" xfId="10206" xr:uid="{00000000-0005-0000-0000-00006C010000}"/>
    <cellStyle name="20% - Accent2 2 2 2" xfId="1634" xr:uid="{00000000-0005-0000-0000-00006D010000}"/>
    <cellStyle name="20% - Accent2 2 2 3" xfId="1806" xr:uid="{00000000-0005-0000-0000-00006E010000}"/>
    <cellStyle name="20% - Accent2 2 2 4" xfId="1882" xr:uid="{00000000-0005-0000-0000-00006F010000}"/>
    <cellStyle name="20% - Accent2 2 2 5" xfId="2111" xr:uid="{00000000-0005-0000-0000-000070010000}"/>
    <cellStyle name="20% - Accent2 2 2 6" xfId="2401" xr:uid="{00000000-0005-0000-0000-000071010000}"/>
    <cellStyle name="20% - Accent2 2 2 7" xfId="2790" xr:uid="{00000000-0005-0000-0000-000072010000}"/>
    <cellStyle name="20% - Accent2 2 2 8" xfId="3296" xr:uid="{00000000-0005-0000-0000-000073010000}"/>
    <cellStyle name="20% - Accent2 2 2 9" xfId="4372" xr:uid="{00000000-0005-0000-0000-000074010000}"/>
    <cellStyle name="20% - Accent2 2 3" xfId="80" xr:uid="{00000000-0005-0000-0000-000075010000}"/>
    <cellStyle name="20% - Accent2 2 3 10" xfId="8177" xr:uid="{00000000-0005-0000-0000-000076010000}"/>
    <cellStyle name="20% - Accent2 2 3 11" xfId="10207" xr:uid="{00000000-0005-0000-0000-000077010000}"/>
    <cellStyle name="20% - Accent2 2 3 2" xfId="1635" xr:uid="{00000000-0005-0000-0000-000078010000}"/>
    <cellStyle name="20% - Accent2 2 3 3" xfId="1805" xr:uid="{00000000-0005-0000-0000-000079010000}"/>
    <cellStyle name="20% - Accent2 2 3 4" xfId="1883" xr:uid="{00000000-0005-0000-0000-00007A010000}"/>
    <cellStyle name="20% - Accent2 2 3 5" xfId="2110" xr:uid="{00000000-0005-0000-0000-00007B010000}"/>
    <cellStyle name="20% - Accent2 2 3 6" xfId="2402" xr:uid="{00000000-0005-0000-0000-00007C010000}"/>
    <cellStyle name="20% - Accent2 2 3 7" xfId="2789" xr:uid="{00000000-0005-0000-0000-00007D010000}"/>
    <cellStyle name="20% - Accent2 2 3 8" xfId="3297" xr:uid="{00000000-0005-0000-0000-00007E010000}"/>
    <cellStyle name="20% - Accent2 2 3 9" xfId="4371" xr:uid="{00000000-0005-0000-0000-00007F010000}"/>
    <cellStyle name="20% - Accent2 2 4" xfId="1633" xr:uid="{00000000-0005-0000-0000-000080010000}"/>
    <cellStyle name="20% - Accent2 2 5" xfId="1807" xr:uid="{00000000-0005-0000-0000-000081010000}"/>
    <cellStyle name="20% - Accent2 2 6" xfId="1881" xr:uid="{00000000-0005-0000-0000-000082010000}"/>
    <cellStyle name="20% - Accent2 2 7" xfId="2112" xr:uid="{00000000-0005-0000-0000-000083010000}"/>
    <cellStyle name="20% - Accent2 2 8" xfId="2400" xr:uid="{00000000-0005-0000-0000-000084010000}"/>
    <cellStyle name="20% - Accent2 2 9" xfId="2791" xr:uid="{00000000-0005-0000-0000-000085010000}"/>
    <cellStyle name="20% - Accent2 3" xfId="81" xr:uid="{00000000-0005-0000-0000-000086010000}"/>
    <cellStyle name="20% - Accent2 3 10" xfId="8178" xr:uid="{00000000-0005-0000-0000-000087010000}"/>
    <cellStyle name="20% - Accent2 3 11" xfId="10208" xr:uid="{00000000-0005-0000-0000-000088010000}"/>
    <cellStyle name="20% - Accent2 3 2" xfId="1636" xr:uid="{00000000-0005-0000-0000-000089010000}"/>
    <cellStyle name="20% - Accent2 3 3" xfId="1804" xr:uid="{00000000-0005-0000-0000-00008A010000}"/>
    <cellStyle name="20% - Accent2 3 4" xfId="1884" xr:uid="{00000000-0005-0000-0000-00008B010000}"/>
    <cellStyle name="20% - Accent2 3 5" xfId="2109" xr:uid="{00000000-0005-0000-0000-00008C010000}"/>
    <cellStyle name="20% - Accent2 3 6" xfId="2403" xr:uid="{00000000-0005-0000-0000-00008D010000}"/>
    <cellStyle name="20% - Accent2 3 7" xfId="2788" xr:uid="{00000000-0005-0000-0000-00008E010000}"/>
    <cellStyle name="20% - Accent2 3 8" xfId="3298" xr:uid="{00000000-0005-0000-0000-00008F010000}"/>
    <cellStyle name="20% - Accent2 3 9" xfId="4370" xr:uid="{00000000-0005-0000-0000-000090010000}"/>
    <cellStyle name="20% - Accent2 4" xfId="82" xr:uid="{00000000-0005-0000-0000-000091010000}"/>
    <cellStyle name="20% - Accent2 4 10" xfId="8179" xr:uid="{00000000-0005-0000-0000-000092010000}"/>
    <cellStyle name="20% - Accent2 4 11" xfId="10209" xr:uid="{00000000-0005-0000-0000-000093010000}"/>
    <cellStyle name="20% - Accent2 4 2" xfId="1637" xr:uid="{00000000-0005-0000-0000-000094010000}"/>
    <cellStyle name="20% - Accent2 4 3" xfId="1803" xr:uid="{00000000-0005-0000-0000-000095010000}"/>
    <cellStyle name="20% - Accent2 4 4" xfId="1885" xr:uid="{00000000-0005-0000-0000-000096010000}"/>
    <cellStyle name="20% - Accent2 4 5" xfId="2108" xr:uid="{00000000-0005-0000-0000-000097010000}"/>
    <cellStyle name="20% - Accent2 4 6" xfId="2404" xr:uid="{00000000-0005-0000-0000-000098010000}"/>
    <cellStyle name="20% - Accent2 4 7" xfId="2787" xr:uid="{00000000-0005-0000-0000-000099010000}"/>
    <cellStyle name="20% - Accent2 4 8" xfId="3299" xr:uid="{00000000-0005-0000-0000-00009A010000}"/>
    <cellStyle name="20% - Accent2 4 9" xfId="4369" xr:uid="{00000000-0005-0000-0000-00009B010000}"/>
    <cellStyle name="20% - Accent2 5" xfId="83" xr:uid="{00000000-0005-0000-0000-00009C010000}"/>
    <cellStyle name="20% - Accent2 5 10" xfId="8180" xr:uid="{00000000-0005-0000-0000-00009D010000}"/>
    <cellStyle name="20% - Accent2 5 11" xfId="10210" xr:uid="{00000000-0005-0000-0000-00009E010000}"/>
    <cellStyle name="20% - Accent2 5 2" xfId="1638" xr:uid="{00000000-0005-0000-0000-00009F010000}"/>
    <cellStyle name="20% - Accent2 5 3" xfId="1802" xr:uid="{00000000-0005-0000-0000-0000A0010000}"/>
    <cellStyle name="20% - Accent2 5 4" xfId="1886" xr:uid="{00000000-0005-0000-0000-0000A1010000}"/>
    <cellStyle name="20% - Accent2 5 5" xfId="2107" xr:uid="{00000000-0005-0000-0000-0000A2010000}"/>
    <cellStyle name="20% - Accent2 5 6" xfId="2405" xr:uid="{00000000-0005-0000-0000-0000A3010000}"/>
    <cellStyle name="20% - Accent2 5 7" xfId="2786" xr:uid="{00000000-0005-0000-0000-0000A4010000}"/>
    <cellStyle name="20% - Accent2 5 8" xfId="3300" xr:uid="{00000000-0005-0000-0000-0000A5010000}"/>
    <cellStyle name="20% - Accent2 5 9" xfId="4368" xr:uid="{00000000-0005-0000-0000-0000A6010000}"/>
    <cellStyle name="20% - Accent3 2" xfId="84" xr:uid="{00000000-0005-0000-0000-0000A7010000}"/>
    <cellStyle name="20% - Accent3 2 10" xfId="3301" xr:uid="{00000000-0005-0000-0000-0000A8010000}"/>
    <cellStyle name="20% - Accent3 2 11" xfId="4989" xr:uid="{00000000-0005-0000-0000-0000A9010000}"/>
    <cellStyle name="20% - Accent3 2 12" xfId="8181" xr:uid="{00000000-0005-0000-0000-0000AA010000}"/>
    <cellStyle name="20% - Accent3 2 13" xfId="10211" xr:uid="{00000000-0005-0000-0000-0000AB010000}"/>
    <cellStyle name="20% - Accent3 2 2" xfId="85" xr:uid="{00000000-0005-0000-0000-0000AC010000}"/>
    <cellStyle name="20% - Accent3 2 2 10" xfId="8182" xr:uid="{00000000-0005-0000-0000-0000AD010000}"/>
    <cellStyle name="20% - Accent3 2 2 11" xfId="10212" xr:uid="{00000000-0005-0000-0000-0000AE010000}"/>
    <cellStyle name="20% - Accent3 2 2 2" xfId="1640" xr:uid="{00000000-0005-0000-0000-0000AF010000}"/>
    <cellStyle name="20% - Accent3 2 2 3" xfId="1800" xr:uid="{00000000-0005-0000-0000-0000B0010000}"/>
    <cellStyle name="20% - Accent3 2 2 4" xfId="1888" xr:uid="{00000000-0005-0000-0000-0000B1010000}"/>
    <cellStyle name="20% - Accent3 2 2 5" xfId="2105" xr:uid="{00000000-0005-0000-0000-0000B2010000}"/>
    <cellStyle name="20% - Accent3 2 2 6" xfId="2407" xr:uid="{00000000-0005-0000-0000-0000B3010000}"/>
    <cellStyle name="20% - Accent3 2 2 7" xfId="2784" xr:uid="{00000000-0005-0000-0000-0000B4010000}"/>
    <cellStyle name="20% - Accent3 2 2 8" xfId="3302" xr:uid="{00000000-0005-0000-0000-0000B5010000}"/>
    <cellStyle name="20% - Accent3 2 2 9" xfId="4367" xr:uid="{00000000-0005-0000-0000-0000B6010000}"/>
    <cellStyle name="20% - Accent3 2 3" xfId="86" xr:uid="{00000000-0005-0000-0000-0000B7010000}"/>
    <cellStyle name="20% - Accent3 2 3 10" xfId="8183" xr:uid="{00000000-0005-0000-0000-0000B8010000}"/>
    <cellStyle name="20% - Accent3 2 3 11" xfId="10213" xr:uid="{00000000-0005-0000-0000-0000B9010000}"/>
    <cellStyle name="20% - Accent3 2 3 2" xfId="1641" xr:uid="{00000000-0005-0000-0000-0000BA010000}"/>
    <cellStyle name="20% - Accent3 2 3 3" xfId="1799" xr:uid="{00000000-0005-0000-0000-0000BB010000}"/>
    <cellStyle name="20% - Accent3 2 3 4" xfId="1889" xr:uid="{00000000-0005-0000-0000-0000BC010000}"/>
    <cellStyle name="20% - Accent3 2 3 5" xfId="2104" xr:uid="{00000000-0005-0000-0000-0000BD010000}"/>
    <cellStyle name="20% - Accent3 2 3 6" xfId="2408" xr:uid="{00000000-0005-0000-0000-0000BE010000}"/>
    <cellStyle name="20% - Accent3 2 3 7" xfId="2783" xr:uid="{00000000-0005-0000-0000-0000BF010000}"/>
    <cellStyle name="20% - Accent3 2 3 8" xfId="3303" xr:uid="{00000000-0005-0000-0000-0000C0010000}"/>
    <cellStyle name="20% - Accent3 2 3 9" xfId="4365" xr:uid="{00000000-0005-0000-0000-0000C1010000}"/>
    <cellStyle name="20% - Accent3 2 4" xfId="1639" xr:uid="{00000000-0005-0000-0000-0000C2010000}"/>
    <cellStyle name="20% - Accent3 2 5" xfId="1801" xr:uid="{00000000-0005-0000-0000-0000C3010000}"/>
    <cellStyle name="20% - Accent3 2 6" xfId="1887" xr:uid="{00000000-0005-0000-0000-0000C4010000}"/>
    <cellStyle name="20% - Accent3 2 7" xfId="2106" xr:uid="{00000000-0005-0000-0000-0000C5010000}"/>
    <cellStyle name="20% - Accent3 2 8" xfId="2406" xr:uid="{00000000-0005-0000-0000-0000C6010000}"/>
    <cellStyle name="20% - Accent3 2 9" xfId="2785" xr:uid="{00000000-0005-0000-0000-0000C7010000}"/>
    <cellStyle name="20% - Accent3 3" xfId="87" xr:uid="{00000000-0005-0000-0000-0000C8010000}"/>
    <cellStyle name="20% - Accent3 3 10" xfId="8184" xr:uid="{00000000-0005-0000-0000-0000C9010000}"/>
    <cellStyle name="20% - Accent3 3 11" xfId="10214" xr:uid="{00000000-0005-0000-0000-0000CA010000}"/>
    <cellStyle name="20% - Accent3 3 2" xfId="1642" xr:uid="{00000000-0005-0000-0000-0000CB010000}"/>
    <cellStyle name="20% - Accent3 3 3" xfId="1798" xr:uid="{00000000-0005-0000-0000-0000CC010000}"/>
    <cellStyle name="20% - Accent3 3 4" xfId="1890" xr:uid="{00000000-0005-0000-0000-0000CD010000}"/>
    <cellStyle name="20% - Accent3 3 5" xfId="2103" xr:uid="{00000000-0005-0000-0000-0000CE010000}"/>
    <cellStyle name="20% - Accent3 3 6" xfId="2409" xr:uid="{00000000-0005-0000-0000-0000CF010000}"/>
    <cellStyle name="20% - Accent3 3 7" xfId="2782" xr:uid="{00000000-0005-0000-0000-0000D0010000}"/>
    <cellStyle name="20% - Accent3 3 8" xfId="3304" xr:uid="{00000000-0005-0000-0000-0000D1010000}"/>
    <cellStyle name="20% - Accent3 3 9" xfId="4988" xr:uid="{00000000-0005-0000-0000-0000D2010000}"/>
    <cellStyle name="20% - Accent3 4" xfId="88" xr:uid="{00000000-0005-0000-0000-0000D3010000}"/>
    <cellStyle name="20% - Accent3 4 10" xfId="8185" xr:uid="{00000000-0005-0000-0000-0000D4010000}"/>
    <cellStyle name="20% - Accent3 4 11" xfId="10215" xr:uid="{00000000-0005-0000-0000-0000D5010000}"/>
    <cellStyle name="20% - Accent3 4 2" xfId="1643" xr:uid="{00000000-0005-0000-0000-0000D6010000}"/>
    <cellStyle name="20% - Accent3 4 3" xfId="1797" xr:uid="{00000000-0005-0000-0000-0000D7010000}"/>
    <cellStyle name="20% - Accent3 4 4" xfId="1891" xr:uid="{00000000-0005-0000-0000-0000D8010000}"/>
    <cellStyle name="20% - Accent3 4 5" xfId="2102" xr:uid="{00000000-0005-0000-0000-0000D9010000}"/>
    <cellStyle name="20% - Accent3 4 6" xfId="2410" xr:uid="{00000000-0005-0000-0000-0000DA010000}"/>
    <cellStyle name="20% - Accent3 4 7" xfId="2781" xr:uid="{00000000-0005-0000-0000-0000DB010000}"/>
    <cellStyle name="20% - Accent3 4 8" xfId="3305" xr:uid="{00000000-0005-0000-0000-0000DC010000}"/>
    <cellStyle name="20% - Accent3 4 9" xfId="4985" xr:uid="{00000000-0005-0000-0000-0000DD010000}"/>
    <cellStyle name="20% - Accent3 5" xfId="89" xr:uid="{00000000-0005-0000-0000-0000DE010000}"/>
    <cellStyle name="20% - Accent3 5 10" xfId="8186" xr:uid="{00000000-0005-0000-0000-0000DF010000}"/>
    <cellStyle name="20% - Accent3 5 11" xfId="10216" xr:uid="{00000000-0005-0000-0000-0000E0010000}"/>
    <cellStyle name="20% - Accent3 5 2" xfId="1644" xr:uid="{00000000-0005-0000-0000-0000E1010000}"/>
    <cellStyle name="20% - Accent3 5 3" xfId="1796" xr:uid="{00000000-0005-0000-0000-0000E2010000}"/>
    <cellStyle name="20% - Accent3 5 4" xfId="1892" xr:uid="{00000000-0005-0000-0000-0000E3010000}"/>
    <cellStyle name="20% - Accent3 5 5" xfId="2101" xr:uid="{00000000-0005-0000-0000-0000E4010000}"/>
    <cellStyle name="20% - Accent3 5 6" xfId="2411" xr:uid="{00000000-0005-0000-0000-0000E5010000}"/>
    <cellStyle name="20% - Accent3 5 7" xfId="2780" xr:uid="{00000000-0005-0000-0000-0000E6010000}"/>
    <cellStyle name="20% - Accent3 5 8" xfId="3306" xr:uid="{00000000-0005-0000-0000-0000E7010000}"/>
    <cellStyle name="20% - Accent3 5 9" xfId="4987" xr:uid="{00000000-0005-0000-0000-0000E8010000}"/>
    <cellStyle name="20% - Accent4 2" xfId="90" xr:uid="{00000000-0005-0000-0000-0000E9010000}"/>
    <cellStyle name="20% - Accent4 2 10" xfId="3307" xr:uid="{00000000-0005-0000-0000-0000EA010000}"/>
    <cellStyle name="20% - Accent4 2 11" xfId="4986" xr:uid="{00000000-0005-0000-0000-0000EB010000}"/>
    <cellStyle name="20% - Accent4 2 12" xfId="8187" xr:uid="{00000000-0005-0000-0000-0000EC010000}"/>
    <cellStyle name="20% - Accent4 2 13" xfId="10217" xr:uid="{00000000-0005-0000-0000-0000ED010000}"/>
    <cellStyle name="20% - Accent4 2 2" xfId="91" xr:uid="{00000000-0005-0000-0000-0000EE010000}"/>
    <cellStyle name="20% - Accent4 2 2 10" xfId="8188" xr:uid="{00000000-0005-0000-0000-0000EF010000}"/>
    <cellStyle name="20% - Accent4 2 2 11" xfId="10218" xr:uid="{00000000-0005-0000-0000-0000F0010000}"/>
    <cellStyle name="20% - Accent4 2 2 2" xfId="1646" xr:uid="{00000000-0005-0000-0000-0000F1010000}"/>
    <cellStyle name="20% - Accent4 2 2 3" xfId="1794" xr:uid="{00000000-0005-0000-0000-0000F2010000}"/>
    <cellStyle name="20% - Accent4 2 2 4" xfId="1894" xr:uid="{00000000-0005-0000-0000-0000F3010000}"/>
    <cellStyle name="20% - Accent4 2 2 5" xfId="2099" xr:uid="{00000000-0005-0000-0000-0000F4010000}"/>
    <cellStyle name="20% - Accent4 2 2 6" xfId="2413" xr:uid="{00000000-0005-0000-0000-0000F5010000}"/>
    <cellStyle name="20% - Accent4 2 2 7" xfId="2778" xr:uid="{00000000-0005-0000-0000-0000F6010000}"/>
    <cellStyle name="20% - Accent4 2 2 8" xfId="3308" xr:uid="{00000000-0005-0000-0000-0000F7010000}"/>
    <cellStyle name="20% - Accent4 2 2 9" xfId="4360" xr:uid="{00000000-0005-0000-0000-0000F8010000}"/>
    <cellStyle name="20% - Accent4 2 3" xfId="92" xr:uid="{00000000-0005-0000-0000-0000F9010000}"/>
    <cellStyle name="20% - Accent4 2 3 10" xfId="8189" xr:uid="{00000000-0005-0000-0000-0000FA010000}"/>
    <cellStyle name="20% - Accent4 2 3 11" xfId="10219" xr:uid="{00000000-0005-0000-0000-0000FB010000}"/>
    <cellStyle name="20% - Accent4 2 3 2" xfId="1647" xr:uid="{00000000-0005-0000-0000-0000FC010000}"/>
    <cellStyle name="20% - Accent4 2 3 3" xfId="1793" xr:uid="{00000000-0005-0000-0000-0000FD010000}"/>
    <cellStyle name="20% - Accent4 2 3 4" xfId="1895" xr:uid="{00000000-0005-0000-0000-0000FE010000}"/>
    <cellStyle name="20% - Accent4 2 3 5" xfId="2098" xr:uid="{00000000-0005-0000-0000-0000FF010000}"/>
    <cellStyle name="20% - Accent4 2 3 6" xfId="2414" xr:uid="{00000000-0005-0000-0000-000000020000}"/>
    <cellStyle name="20% - Accent4 2 3 7" xfId="2777" xr:uid="{00000000-0005-0000-0000-000001020000}"/>
    <cellStyle name="20% - Accent4 2 3 8" xfId="3309" xr:uid="{00000000-0005-0000-0000-000002020000}"/>
    <cellStyle name="20% - Accent4 2 3 9" xfId="4357" xr:uid="{00000000-0005-0000-0000-000003020000}"/>
    <cellStyle name="20% - Accent4 2 4" xfId="1645" xr:uid="{00000000-0005-0000-0000-000004020000}"/>
    <cellStyle name="20% - Accent4 2 5" xfId="1795" xr:uid="{00000000-0005-0000-0000-000005020000}"/>
    <cellStyle name="20% - Accent4 2 6" xfId="1893" xr:uid="{00000000-0005-0000-0000-000006020000}"/>
    <cellStyle name="20% - Accent4 2 7" xfId="2100" xr:uid="{00000000-0005-0000-0000-000007020000}"/>
    <cellStyle name="20% - Accent4 2 8" xfId="2412" xr:uid="{00000000-0005-0000-0000-000008020000}"/>
    <cellStyle name="20% - Accent4 2 9" xfId="2779" xr:uid="{00000000-0005-0000-0000-000009020000}"/>
    <cellStyle name="20% - Accent4 3" xfId="93" xr:uid="{00000000-0005-0000-0000-00000A020000}"/>
    <cellStyle name="20% - Accent4 3 10" xfId="8190" xr:uid="{00000000-0005-0000-0000-00000B020000}"/>
    <cellStyle name="20% - Accent4 3 11" xfId="10220" xr:uid="{00000000-0005-0000-0000-00000C020000}"/>
    <cellStyle name="20% - Accent4 3 2" xfId="1648" xr:uid="{00000000-0005-0000-0000-00000D020000}"/>
    <cellStyle name="20% - Accent4 3 3" xfId="1792" xr:uid="{00000000-0005-0000-0000-00000E020000}"/>
    <cellStyle name="20% - Accent4 3 4" xfId="1898" xr:uid="{00000000-0005-0000-0000-00000F020000}"/>
    <cellStyle name="20% - Accent4 3 5" xfId="2097" xr:uid="{00000000-0005-0000-0000-000010020000}"/>
    <cellStyle name="20% - Accent4 3 6" xfId="2415" xr:uid="{00000000-0005-0000-0000-000011020000}"/>
    <cellStyle name="20% - Accent4 3 7" xfId="2776" xr:uid="{00000000-0005-0000-0000-000012020000}"/>
    <cellStyle name="20% - Accent4 3 8" xfId="3310" xr:uid="{00000000-0005-0000-0000-000013020000}"/>
    <cellStyle name="20% - Accent4 3 9" xfId="4356" xr:uid="{00000000-0005-0000-0000-000014020000}"/>
    <cellStyle name="20% - Accent4 4" xfId="94" xr:uid="{00000000-0005-0000-0000-000015020000}"/>
    <cellStyle name="20% - Accent4 4 10" xfId="8191" xr:uid="{00000000-0005-0000-0000-000016020000}"/>
    <cellStyle name="20% - Accent4 4 11" xfId="10221" xr:uid="{00000000-0005-0000-0000-000017020000}"/>
    <cellStyle name="20% - Accent4 4 2" xfId="1649" xr:uid="{00000000-0005-0000-0000-000018020000}"/>
    <cellStyle name="20% - Accent4 4 3" xfId="1791" xr:uid="{00000000-0005-0000-0000-000019020000}"/>
    <cellStyle name="20% - Accent4 4 4" xfId="1900" xr:uid="{00000000-0005-0000-0000-00001A020000}"/>
    <cellStyle name="20% - Accent4 4 5" xfId="2096" xr:uid="{00000000-0005-0000-0000-00001B020000}"/>
    <cellStyle name="20% - Accent4 4 6" xfId="2416" xr:uid="{00000000-0005-0000-0000-00001C020000}"/>
    <cellStyle name="20% - Accent4 4 7" xfId="2775" xr:uid="{00000000-0005-0000-0000-00001D020000}"/>
    <cellStyle name="20% - Accent4 4 8" xfId="3311" xr:uid="{00000000-0005-0000-0000-00001E020000}"/>
    <cellStyle name="20% - Accent4 4 9" xfId="4355" xr:uid="{00000000-0005-0000-0000-00001F020000}"/>
    <cellStyle name="20% - Accent4 5" xfId="95" xr:uid="{00000000-0005-0000-0000-000020020000}"/>
    <cellStyle name="20% - Accent4 5 10" xfId="8192" xr:uid="{00000000-0005-0000-0000-000021020000}"/>
    <cellStyle name="20% - Accent4 5 11" xfId="10222" xr:uid="{00000000-0005-0000-0000-000022020000}"/>
    <cellStyle name="20% - Accent4 5 2" xfId="1650" xr:uid="{00000000-0005-0000-0000-000023020000}"/>
    <cellStyle name="20% - Accent4 5 3" xfId="1790" xr:uid="{00000000-0005-0000-0000-000024020000}"/>
    <cellStyle name="20% - Accent4 5 4" xfId="1902" xr:uid="{00000000-0005-0000-0000-000025020000}"/>
    <cellStyle name="20% - Accent4 5 5" xfId="2095" xr:uid="{00000000-0005-0000-0000-000026020000}"/>
    <cellStyle name="20% - Accent4 5 6" xfId="2417" xr:uid="{00000000-0005-0000-0000-000027020000}"/>
    <cellStyle name="20% - Accent4 5 7" xfId="2774" xr:uid="{00000000-0005-0000-0000-000028020000}"/>
    <cellStyle name="20% - Accent4 5 8" xfId="3312" xr:uid="{00000000-0005-0000-0000-000029020000}"/>
    <cellStyle name="20% - Accent4 5 9" xfId="4354" xr:uid="{00000000-0005-0000-0000-00002A020000}"/>
    <cellStyle name="20% - Accent5 2" xfId="96" xr:uid="{00000000-0005-0000-0000-00002B020000}"/>
    <cellStyle name="20% - Accent5 2 10" xfId="3313" xr:uid="{00000000-0005-0000-0000-00002C020000}"/>
    <cellStyle name="20% - Accent5 2 11" xfId="4353" xr:uid="{00000000-0005-0000-0000-00002D020000}"/>
    <cellStyle name="20% - Accent5 2 12" xfId="8193" xr:uid="{00000000-0005-0000-0000-00002E020000}"/>
    <cellStyle name="20% - Accent5 2 13" xfId="10223" xr:uid="{00000000-0005-0000-0000-00002F020000}"/>
    <cellStyle name="20% - Accent5 2 2" xfId="97" xr:uid="{00000000-0005-0000-0000-000030020000}"/>
    <cellStyle name="20% - Accent5 2 2 10" xfId="8194" xr:uid="{00000000-0005-0000-0000-000031020000}"/>
    <cellStyle name="20% - Accent5 2 2 11" xfId="10224" xr:uid="{00000000-0005-0000-0000-000032020000}"/>
    <cellStyle name="20% - Accent5 2 2 2" xfId="1652" xr:uid="{00000000-0005-0000-0000-000033020000}"/>
    <cellStyle name="20% - Accent5 2 2 3" xfId="1788" xr:uid="{00000000-0005-0000-0000-000034020000}"/>
    <cellStyle name="20% - Accent5 2 2 4" xfId="1904" xr:uid="{00000000-0005-0000-0000-000035020000}"/>
    <cellStyle name="20% - Accent5 2 2 5" xfId="2093" xr:uid="{00000000-0005-0000-0000-000036020000}"/>
    <cellStyle name="20% - Accent5 2 2 6" xfId="2419" xr:uid="{00000000-0005-0000-0000-000037020000}"/>
    <cellStyle name="20% - Accent5 2 2 7" xfId="2772" xr:uid="{00000000-0005-0000-0000-000038020000}"/>
    <cellStyle name="20% - Accent5 2 2 8" xfId="3314" xr:uid="{00000000-0005-0000-0000-000039020000}"/>
    <cellStyle name="20% - Accent5 2 2 9" xfId="4352" xr:uid="{00000000-0005-0000-0000-00003A020000}"/>
    <cellStyle name="20% - Accent5 2 3" xfId="98" xr:uid="{00000000-0005-0000-0000-00003B020000}"/>
    <cellStyle name="20% - Accent5 2 3 10" xfId="8195" xr:uid="{00000000-0005-0000-0000-00003C020000}"/>
    <cellStyle name="20% - Accent5 2 3 11" xfId="10225" xr:uid="{00000000-0005-0000-0000-00003D020000}"/>
    <cellStyle name="20% - Accent5 2 3 2" xfId="1653" xr:uid="{00000000-0005-0000-0000-00003E020000}"/>
    <cellStyle name="20% - Accent5 2 3 3" xfId="1787" xr:uid="{00000000-0005-0000-0000-00003F020000}"/>
    <cellStyle name="20% - Accent5 2 3 4" xfId="1905" xr:uid="{00000000-0005-0000-0000-000040020000}"/>
    <cellStyle name="20% - Accent5 2 3 5" xfId="2092" xr:uid="{00000000-0005-0000-0000-000041020000}"/>
    <cellStyle name="20% - Accent5 2 3 6" xfId="2420" xr:uid="{00000000-0005-0000-0000-000042020000}"/>
    <cellStyle name="20% - Accent5 2 3 7" xfId="2769" xr:uid="{00000000-0005-0000-0000-000043020000}"/>
    <cellStyle name="20% - Accent5 2 3 8" xfId="3315" xr:uid="{00000000-0005-0000-0000-000044020000}"/>
    <cellStyle name="20% - Accent5 2 3 9" xfId="4351" xr:uid="{00000000-0005-0000-0000-000045020000}"/>
    <cellStyle name="20% - Accent5 2 4" xfId="1651" xr:uid="{00000000-0005-0000-0000-000046020000}"/>
    <cellStyle name="20% - Accent5 2 5" xfId="1789" xr:uid="{00000000-0005-0000-0000-000047020000}"/>
    <cellStyle name="20% - Accent5 2 6" xfId="1903" xr:uid="{00000000-0005-0000-0000-000048020000}"/>
    <cellStyle name="20% - Accent5 2 7" xfId="2094" xr:uid="{00000000-0005-0000-0000-000049020000}"/>
    <cellStyle name="20% - Accent5 2 8" xfId="2418" xr:uid="{00000000-0005-0000-0000-00004A020000}"/>
    <cellStyle name="20% - Accent5 2 9" xfId="2773" xr:uid="{00000000-0005-0000-0000-00004B020000}"/>
    <cellStyle name="20% - Accent5 3" xfId="99" xr:uid="{00000000-0005-0000-0000-00004C020000}"/>
    <cellStyle name="20% - Accent5 3 10" xfId="8196" xr:uid="{00000000-0005-0000-0000-00004D020000}"/>
    <cellStyle name="20% - Accent5 3 11" xfId="10226" xr:uid="{00000000-0005-0000-0000-00004E020000}"/>
    <cellStyle name="20% - Accent5 3 2" xfId="1654" xr:uid="{00000000-0005-0000-0000-00004F020000}"/>
    <cellStyle name="20% - Accent5 3 3" xfId="1786" xr:uid="{00000000-0005-0000-0000-000050020000}"/>
    <cellStyle name="20% - Accent5 3 4" xfId="1907" xr:uid="{00000000-0005-0000-0000-000051020000}"/>
    <cellStyle name="20% - Accent5 3 5" xfId="2091" xr:uid="{00000000-0005-0000-0000-000052020000}"/>
    <cellStyle name="20% - Accent5 3 6" xfId="2421" xr:uid="{00000000-0005-0000-0000-000053020000}"/>
    <cellStyle name="20% - Accent5 3 7" xfId="2766" xr:uid="{00000000-0005-0000-0000-000054020000}"/>
    <cellStyle name="20% - Accent5 3 8" xfId="3316" xr:uid="{00000000-0005-0000-0000-000055020000}"/>
    <cellStyle name="20% - Accent5 3 9" xfId="4350" xr:uid="{00000000-0005-0000-0000-000056020000}"/>
    <cellStyle name="20% - Accent5 4" xfId="100" xr:uid="{00000000-0005-0000-0000-000057020000}"/>
    <cellStyle name="20% - Accent5 4 10" xfId="8197" xr:uid="{00000000-0005-0000-0000-000058020000}"/>
    <cellStyle name="20% - Accent5 4 11" xfId="10227" xr:uid="{00000000-0005-0000-0000-000059020000}"/>
    <cellStyle name="20% - Accent5 4 2" xfId="1655" xr:uid="{00000000-0005-0000-0000-00005A020000}"/>
    <cellStyle name="20% - Accent5 4 3" xfId="1785" xr:uid="{00000000-0005-0000-0000-00005B020000}"/>
    <cellStyle name="20% - Accent5 4 4" xfId="1908" xr:uid="{00000000-0005-0000-0000-00005C020000}"/>
    <cellStyle name="20% - Accent5 4 5" xfId="2090" xr:uid="{00000000-0005-0000-0000-00005D020000}"/>
    <cellStyle name="20% - Accent5 4 6" xfId="2422" xr:uid="{00000000-0005-0000-0000-00005E020000}"/>
    <cellStyle name="20% - Accent5 4 7" xfId="2764" xr:uid="{00000000-0005-0000-0000-00005F020000}"/>
    <cellStyle name="20% - Accent5 4 8" xfId="3317" xr:uid="{00000000-0005-0000-0000-000060020000}"/>
    <cellStyle name="20% - Accent5 4 9" xfId="4349" xr:uid="{00000000-0005-0000-0000-000061020000}"/>
    <cellStyle name="20% - Accent5 5" xfId="101" xr:uid="{00000000-0005-0000-0000-000062020000}"/>
    <cellStyle name="20% - Accent5 5 10" xfId="8198" xr:uid="{00000000-0005-0000-0000-000063020000}"/>
    <cellStyle name="20% - Accent5 5 11" xfId="10228" xr:uid="{00000000-0005-0000-0000-000064020000}"/>
    <cellStyle name="20% - Accent5 5 2" xfId="1656" xr:uid="{00000000-0005-0000-0000-000065020000}"/>
    <cellStyle name="20% - Accent5 5 3" xfId="1784" xr:uid="{00000000-0005-0000-0000-000066020000}"/>
    <cellStyle name="20% - Accent5 5 4" xfId="1909" xr:uid="{00000000-0005-0000-0000-000067020000}"/>
    <cellStyle name="20% - Accent5 5 5" xfId="2089" xr:uid="{00000000-0005-0000-0000-000068020000}"/>
    <cellStyle name="20% - Accent5 5 6" xfId="2423" xr:uid="{00000000-0005-0000-0000-000069020000}"/>
    <cellStyle name="20% - Accent5 5 7" xfId="2761" xr:uid="{00000000-0005-0000-0000-00006A020000}"/>
    <cellStyle name="20% - Accent5 5 8" xfId="3318" xr:uid="{00000000-0005-0000-0000-00006B020000}"/>
    <cellStyle name="20% - Accent5 5 9" xfId="4348" xr:uid="{00000000-0005-0000-0000-00006C020000}"/>
    <cellStyle name="20% - Accent6 2" xfId="102" xr:uid="{00000000-0005-0000-0000-00006D020000}"/>
    <cellStyle name="20% - Accent6 2 10" xfId="3319" xr:uid="{00000000-0005-0000-0000-00006E020000}"/>
    <cellStyle name="20% - Accent6 2 11" xfId="4347" xr:uid="{00000000-0005-0000-0000-00006F020000}"/>
    <cellStyle name="20% - Accent6 2 12" xfId="8199" xr:uid="{00000000-0005-0000-0000-000070020000}"/>
    <cellStyle name="20% - Accent6 2 13" xfId="10229" xr:uid="{00000000-0005-0000-0000-000071020000}"/>
    <cellStyle name="20% - Accent6 2 2" xfId="103" xr:uid="{00000000-0005-0000-0000-000072020000}"/>
    <cellStyle name="20% - Accent6 2 2 10" xfId="8200" xr:uid="{00000000-0005-0000-0000-000073020000}"/>
    <cellStyle name="20% - Accent6 2 2 11" xfId="10230" xr:uid="{00000000-0005-0000-0000-000074020000}"/>
    <cellStyle name="20% - Accent6 2 2 2" xfId="1658" xr:uid="{00000000-0005-0000-0000-000075020000}"/>
    <cellStyle name="20% - Accent6 2 2 3" xfId="1782" xr:uid="{00000000-0005-0000-0000-000076020000}"/>
    <cellStyle name="20% - Accent6 2 2 4" xfId="1911" xr:uid="{00000000-0005-0000-0000-000077020000}"/>
    <cellStyle name="20% - Accent6 2 2 5" xfId="2087" xr:uid="{00000000-0005-0000-0000-000078020000}"/>
    <cellStyle name="20% - Accent6 2 2 6" xfId="2425" xr:uid="{00000000-0005-0000-0000-000079020000}"/>
    <cellStyle name="20% - Accent6 2 2 7" xfId="2759" xr:uid="{00000000-0005-0000-0000-00007A020000}"/>
    <cellStyle name="20% - Accent6 2 2 8" xfId="3320" xr:uid="{00000000-0005-0000-0000-00007B020000}"/>
    <cellStyle name="20% - Accent6 2 2 9" xfId="4346" xr:uid="{00000000-0005-0000-0000-00007C020000}"/>
    <cellStyle name="20% - Accent6 2 3" xfId="104" xr:uid="{00000000-0005-0000-0000-00007D020000}"/>
    <cellStyle name="20% - Accent6 2 3 10" xfId="8201" xr:uid="{00000000-0005-0000-0000-00007E020000}"/>
    <cellStyle name="20% - Accent6 2 3 11" xfId="10231" xr:uid="{00000000-0005-0000-0000-00007F020000}"/>
    <cellStyle name="20% - Accent6 2 3 2" xfId="1659" xr:uid="{00000000-0005-0000-0000-000080020000}"/>
    <cellStyle name="20% - Accent6 2 3 3" xfId="1781" xr:uid="{00000000-0005-0000-0000-000081020000}"/>
    <cellStyle name="20% - Accent6 2 3 4" xfId="1912" xr:uid="{00000000-0005-0000-0000-000082020000}"/>
    <cellStyle name="20% - Accent6 2 3 5" xfId="2086" xr:uid="{00000000-0005-0000-0000-000083020000}"/>
    <cellStyle name="20% - Accent6 2 3 6" xfId="2426" xr:uid="{00000000-0005-0000-0000-000084020000}"/>
    <cellStyle name="20% - Accent6 2 3 7" xfId="2758" xr:uid="{00000000-0005-0000-0000-000085020000}"/>
    <cellStyle name="20% - Accent6 2 3 8" xfId="3321" xr:uid="{00000000-0005-0000-0000-000086020000}"/>
    <cellStyle name="20% - Accent6 2 3 9" xfId="4345" xr:uid="{00000000-0005-0000-0000-000087020000}"/>
    <cellStyle name="20% - Accent6 2 4" xfId="1657" xr:uid="{00000000-0005-0000-0000-000088020000}"/>
    <cellStyle name="20% - Accent6 2 5" xfId="1783" xr:uid="{00000000-0005-0000-0000-000089020000}"/>
    <cellStyle name="20% - Accent6 2 6" xfId="1910" xr:uid="{00000000-0005-0000-0000-00008A020000}"/>
    <cellStyle name="20% - Accent6 2 7" xfId="2088" xr:uid="{00000000-0005-0000-0000-00008B020000}"/>
    <cellStyle name="20% - Accent6 2 8" xfId="2424" xr:uid="{00000000-0005-0000-0000-00008C020000}"/>
    <cellStyle name="20% - Accent6 2 9" xfId="2760" xr:uid="{00000000-0005-0000-0000-00008D020000}"/>
    <cellStyle name="20% - Accent6 3" xfId="105" xr:uid="{00000000-0005-0000-0000-00008E020000}"/>
    <cellStyle name="20% - Accent6 3 10" xfId="8202" xr:uid="{00000000-0005-0000-0000-00008F020000}"/>
    <cellStyle name="20% - Accent6 3 11" xfId="10232" xr:uid="{00000000-0005-0000-0000-000090020000}"/>
    <cellStyle name="20% - Accent6 3 2" xfId="1660" xr:uid="{00000000-0005-0000-0000-000091020000}"/>
    <cellStyle name="20% - Accent6 3 3" xfId="1780" xr:uid="{00000000-0005-0000-0000-000092020000}"/>
    <cellStyle name="20% - Accent6 3 4" xfId="1913" xr:uid="{00000000-0005-0000-0000-000093020000}"/>
    <cellStyle name="20% - Accent6 3 5" xfId="2085" xr:uid="{00000000-0005-0000-0000-000094020000}"/>
    <cellStyle name="20% - Accent6 3 6" xfId="2427" xr:uid="{00000000-0005-0000-0000-000095020000}"/>
    <cellStyle name="20% - Accent6 3 7" xfId="2757" xr:uid="{00000000-0005-0000-0000-000096020000}"/>
    <cellStyle name="20% - Accent6 3 8" xfId="3322" xr:uid="{00000000-0005-0000-0000-000097020000}"/>
    <cellStyle name="20% - Accent6 3 9" xfId="4344" xr:uid="{00000000-0005-0000-0000-000098020000}"/>
    <cellStyle name="20% - Accent6 4" xfId="106" xr:uid="{00000000-0005-0000-0000-000099020000}"/>
    <cellStyle name="20% - Accent6 4 10" xfId="8203" xr:uid="{00000000-0005-0000-0000-00009A020000}"/>
    <cellStyle name="20% - Accent6 4 11" xfId="10233" xr:uid="{00000000-0005-0000-0000-00009B020000}"/>
    <cellStyle name="20% - Accent6 4 2" xfId="1661" xr:uid="{00000000-0005-0000-0000-00009C020000}"/>
    <cellStyle name="20% - Accent6 4 3" xfId="1779" xr:uid="{00000000-0005-0000-0000-00009D020000}"/>
    <cellStyle name="20% - Accent6 4 4" xfId="1914" xr:uid="{00000000-0005-0000-0000-00009E020000}"/>
    <cellStyle name="20% - Accent6 4 5" xfId="2084" xr:uid="{00000000-0005-0000-0000-00009F020000}"/>
    <cellStyle name="20% - Accent6 4 6" xfId="2428" xr:uid="{00000000-0005-0000-0000-0000A0020000}"/>
    <cellStyle name="20% - Accent6 4 7" xfId="2756" xr:uid="{00000000-0005-0000-0000-0000A1020000}"/>
    <cellStyle name="20% - Accent6 4 8" xfId="3323" xr:uid="{00000000-0005-0000-0000-0000A2020000}"/>
    <cellStyle name="20% - Accent6 4 9" xfId="4343" xr:uid="{00000000-0005-0000-0000-0000A3020000}"/>
    <cellStyle name="20% - Accent6 5" xfId="107" xr:uid="{00000000-0005-0000-0000-0000A4020000}"/>
    <cellStyle name="20% - Accent6 5 10" xfId="8204" xr:uid="{00000000-0005-0000-0000-0000A5020000}"/>
    <cellStyle name="20% - Accent6 5 11" xfId="10234" xr:uid="{00000000-0005-0000-0000-0000A6020000}"/>
    <cellStyle name="20% - Accent6 5 2" xfId="1662" xr:uid="{00000000-0005-0000-0000-0000A7020000}"/>
    <cellStyle name="20% - Accent6 5 3" xfId="1778" xr:uid="{00000000-0005-0000-0000-0000A8020000}"/>
    <cellStyle name="20% - Accent6 5 4" xfId="1915" xr:uid="{00000000-0005-0000-0000-0000A9020000}"/>
    <cellStyle name="20% - Accent6 5 5" xfId="2083" xr:uid="{00000000-0005-0000-0000-0000AA020000}"/>
    <cellStyle name="20% - Accent6 5 6" xfId="2429" xr:uid="{00000000-0005-0000-0000-0000AB020000}"/>
    <cellStyle name="20% - Accent6 5 7" xfId="2755" xr:uid="{00000000-0005-0000-0000-0000AC020000}"/>
    <cellStyle name="20% - Accent6 5 8" xfId="3324" xr:uid="{00000000-0005-0000-0000-0000AD020000}"/>
    <cellStyle name="20% - Accent6 5 9" xfId="4341" xr:uid="{00000000-0005-0000-0000-0000AE020000}"/>
    <cellStyle name="3" xfId="108" xr:uid="{00000000-0005-0000-0000-0000AF020000}"/>
    <cellStyle name="3_Gia_VLQL48_duyet " xfId="109" xr:uid="{00000000-0005-0000-0000-0000B0020000}"/>
    <cellStyle name="4" xfId="110" xr:uid="{00000000-0005-0000-0000-0000B1020000}"/>
    <cellStyle name="4_Gia_VLQL48_duyet " xfId="111" xr:uid="{00000000-0005-0000-0000-0000B2020000}"/>
    <cellStyle name="40% - Accent1 2" xfId="112" xr:uid="{00000000-0005-0000-0000-0000B3020000}"/>
    <cellStyle name="40% - Accent1 2 10" xfId="3325" xr:uid="{00000000-0005-0000-0000-0000B4020000}"/>
    <cellStyle name="40% - Accent1 2 11" xfId="4338" xr:uid="{00000000-0005-0000-0000-0000B5020000}"/>
    <cellStyle name="40% - Accent1 2 12" xfId="8205" xr:uid="{00000000-0005-0000-0000-0000B6020000}"/>
    <cellStyle name="40% - Accent1 2 13" xfId="10235" xr:uid="{00000000-0005-0000-0000-0000B7020000}"/>
    <cellStyle name="40% - Accent1 2 2" xfId="113" xr:uid="{00000000-0005-0000-0000-0000B8020000}"/>
    <cellStyle name="40% - Accent1 2 2 10" xfId="8206" xr:uid="{00000000-0005-0000-0000-0000B9020000}"/>
    <cellStyle name="40% - Accent1 2 2 11" xfId="10236" xr:uid="{00000000-0005-0000-0000-0000BA020000}"/>
    <cellStyle name="40% - Accent1 2 2 2" xfId="1664" xr:uid="{00000000-0005-0000-0000-0000BB020000}"/>
    <cellStyle name="40% - Accent1 2 2 3" xfId="1776" xr:uid="{00000000-0005-0000-0000-0000BC020000}"/>
    <cellStyle name="40% - Accent1 2 2 4" xfId="1917" xr:uid="{00000000-0005-0000-0000-0000BD020000}"/>
    <cellStyle name="40% - Accent1 2 2 5" xfId="2161" xr:uid="{00000000-0005-0000-0000-0000BE020000}"/>
    <cellStyle name="40% - Accent1 2 2 6" xfId="2431" xr:uid="{00000000-0005-0000-0000-0000BF020000}"/>
    <cellStyle name="40% - Accent1 2 2 7" xfId="2753" xr:uid="{00000000-0005-0000-0000-0000C0020000}"/>
    <cellStyle name="40% - Accent1 2 2 8" xfId="3326" xr:uid="{00000000-0005-0000-0000-0000C1020000}"/>
    <cellStyle name="40% - Accent1 2 2 9" xfId="4337" xr:uid="{00000000-0005-0000-0000-0000C2020000}"/>
    <cellStyle name="40% - Accent1 2 3" xfId="114" xr:uid="{00000000-0005-0000-0000-0000C3020000}"/>
    <cellStyle name="40% - Accent1 2 3 10" xfId="8207" xr:uid="{00000000-0005-0000-0000-0000C4020000}"/>
    <cellStyle name="40% - Accent1 2 3 11" xfId="10237" xr:uid="{00000000-0005-0000-0000-0000C5020000}"/>
    <cellStyle name="40% - Accent1 2 3 2" xfId="1665" xr:uid="{00000000-0005-0000-0000-0000C6020000}"/>
    <cellStyle name="40% - Accent1 2 3 3" xfId="1775" xr:uid="{00000000-0005-0000-0000-0000C7020000}"/>
    <cellStyle name="40% - Accent1 2 3 4" xfId="1918" xr:uid="{00000000-0005-0000-0000-0000C8020000}"/>
    <cellStyle name="40% - Accent1 2 3 5" xfId="2162" xr:uid="{00000000-0005-0000-0000-0000C9020000}"/>
    <cellStyle name="40% - Accent1 2 3 6" xfId="2432" xr:uid="{00000000-0005-0000-0000-0000CA020000}"/>
    <cellStyle name="40% - Accent1 2 3 7" xfId="2752" xr:uid="{00000000-0005-0000-0000-0000CB020000}"/>
    <cellStyle name="40% - Accent1 2 3 8" xfId="3327" xr:uid="{00000000-0005-0000-0000-0000CC020000}"/>
    <cellStyle name="40% - Accent1 2 3 9" xfId="4335" xr:uid="{00000000-0005-0000-0000-0000CD020000}"/>
    <cellStyle name="40% - Accent1 2 4" xfId="1663" xr:uid="{00000000-0005-0000-0000-0000CE020000}"/>
    <cellStyle name="40% - Accent1 2 5" xfId="1777" xr:uid="{00000000-0005-0000-0000-0000CF020000}"/>
    <cellStyle name="40% - Accent1 2 6" xfId="1916" xr:uid="{00000000-0005-0000-0000-0000D0020000}"/>
    <cellStyle name="40% - Accent1 2 7" xfId="2081" xr:uid="{00000000-0005-0000-0000-0000D1020000}"/>
    <cellStyle name="40% - Accent1 2 8" xfId="2430" xr:uid="{00000000-0005-0000-0000-0000D2020000}"/>
    <cellStyle name="40% - Accent1 2 9" xfId="2754" xr:uid="{00000000-0005-0000-0000-0000D3020000}"/>
    <cellStyle name="40% - Accent1 3" xfId="115" xr:uid="{00000000-0005-0000-0000-0000D4020000}"/>
    <cellStyle name="40% - Accent1 3 10" xfId="8208" xr:uid="{00000000-0005-0000-0000-0000D5020000}"/>
    <cellStyle name="40% - Accent1 3 11" xfId="10238" xr:uid="{00000000-0005-0000-0000-0000D6020000}"/>
    <cellStyle name="40% - Accent1 3 2" xfId="1666" xr:uid="{00000000-0005-0000-0000-0000D7020000}"/>
    <cellStyle name="40% - Accent1 3 3" xfId="1774" xr:uid="{00000000-0005-0000-0000-0000D8020000}"/>
    <cellStyle name="40% - Accent1 3 4" xfId="1919" xr:uid="{00000000-0005-0000-0000-0000D9020000}"/>
    <cellStyle name="40% - Accent1 3 5" xfId="2077" xr:uid="{00000000-0005-0000-0000-0000DA020000}"/>
    <cellStyle name="40% - Accent1 3 6" xfId="2433" xr:uid="{00000000-0005-0000-0000-0000DB020000}"/>
    <cellStyle name="40% - Accent1 3 7" xfId="2751" xr:uid="{00000000-0005-0000-0000-0000DC020000}"/>
    <cellStyle name="40% - Accent1 3 8" xfId="3328" xr:uid="{00000000-0005-0000-0000-0000DD020000}"/>
    <cellStyle name="40% - Accent1 3 9" xfId="4333" xr:uid="{00000000-0005-0000-0000-0000DE020000}"/>
    <cellStyle name="40% - Accent1 4" xfId="116" xr:uid="{00000000-0005-0000-0000-0000DF020000}"/>
    <cellStyle name="40% - Accent1 4 10" xfId="8209" xr:uid="{00000000-0005-0000-0000-0000E0020000}"/>
    <cellStyle name="40% - Accent1 4 11" xfId="10239" xr:uid="{00000000-0005-0000-0000-0000E1020000}"/>
    <cellStyle name="40% - Accent1 4 2" xfId="1667" xr:uid="{00000000-0005-0000-0000-0000E2020000}"/>
    <cellStyle name="40% - Accent1 4 3" xfId="1773" xr:uid="{00000000-0005-0000-0000-0000E3020000}"/>
    <cellStyle name="40% - Accent1 4 4" xfId="1920" xr:uid="{00000000-0005-0000-0000-0000E4020000}"/>
    <cellStyle name="40% - Accent1 4 5" xfId="2076" xr:uid="{00000000-0005-0000-0000-0000E5020000}"/>
    <cellStyle name="40% - Accent1 4 6" xfId="2434" xr:uid="{00000000-0005-0000-0000-0000E6020000}"/>
    <cellStyle name="40% - Accent1 4 7" xfId="2750" xr:uid="{00000000-0005-0000-0000-0000E7020000}"/>
    <cellStyle name="40% - Accent1 4 8" xfId="3329" xr:uid="{00000000-0005-0000-0000-0000E8020000}"/>
    <cellStyle name="40% - Accent1 4 9" xfId="4332" xr:uid="{00000000-0005-0000-0000-0000E9020000}"/>
    <cellStyle name="40% - Accent1 5" xfId="117" xr:uid="{00000000-0005-0000-0000-0000EA020000}"/>
    <cellStyle name="40% - Accent1 5 10" xfId="8210" xr:uid="{00000000-0005-0000-0000-0000EB020000}"/>
    <cellStyle name="40% - Accent1 5 11" xfId="10240" xr:uid="{00000000-0005-0000-0000-0000EC020000}"/>
    <cellStyle name="40% - Accent1 5 2" xfId="1668" xr:uid="{00000000-0005-0000-0000-0000ED020000}"/>
    <cellStyle name="40% - Accent1 5 3" xfId="1772" xr:uid="{00000000-0005-0000-0000-0000EE020000}"/>
    <cellStyle name="40% - Accent1 5 4" xfId="1921" xr:uid="{00000000-0005-0000-0000-0000EF020000}"/>
    <cellStyle name="40% - Accent1 5 5" xfId="2074" xr:uid="{00000000-0005-0000-0000-0000F0020000}"/>
    <cellStyle name="40% - Accent1 5 6" xfId="2435" xr:uid="{00000000-0005-0000-0000-0000F1020000}"/>
    <cellStyle name="40% - Accent1 5 7" xfId="2749" xr:uid="{00000000-0005-0000-0000-0000F2020000}"/>
    <cellStyle name="40% - Accent1 5 8" xfId="3330" xr:uid="{00000000-0005-0000-0000-0000F3020000}"/>
    <cellStyle name="40% - Accent1 5 9" xfId="4330" xr:uid="{00000000-0005-0000-0000-0000F4020000}"/>
    <cellStyle name="40% - Accent2 2" xfId="118" xr:uid="{00000000-0005-0000-0000-0000F5020000}"/>
    <cellStyle name="40% - Accent2 2 10" xfId="3331" xr:uid="{00000000-0005-0000-0000-0000F6020000}"/>
    <cellStyle name="40% - Accent2 2 11" xfId="4329" xr:uid="{00000000-0005-0000-0000-0000F7020000}"/>
    <cellStyle name="40% - Accent2 2 12" xfId="8211" xr:uid="{00000000-0005-0000-0000-0000F8020000}"/>
    <cellStyle name="40% - Accent2 2 13" xfId="10241" xr:uid="{00000000-0005-0000-0000-0000F9020000}"/>
    <cellStyle name="40% - Accent2 2 2" xfId="119" xr:uid="{00000000-0005-0000-0000-0000FA020000}"/>
    <cellStyle name="40% - Accent2 2 2 10" xfId="8212" xr:uid="{00000000-0005-0000-0000-0000FB020000}"/>
    <cellStyle name="40% - Accent2 2 2 11" xfId="10242" xr:uid="{00000000-0005-0000-0000-0000FC020000}"/>
    <cellStyle name="40% - Accent2 2 2 2" xfId="1670" xr:uid="{00000000-0005-0000-0000-0000FD020000}"/>
    <cellStyle name="40% - Accent2 2 2 3" xfId="1770" xr:uid="{00000000-0005-0000-0000-0000FE020000}"/>
    <cellStyle name="40% - Accent2 2 2 4" xfId="1923" xr:uid="{00000000-0005-0000-0000-0000FF020000}"/>
    <cellStyle name="40% - Accent2 2 2 5" xfId="2070" xr:uid="{00000000-0005-0000-0000-000000030000}"/>
    <cellStyle name="40% - Accent2 2 2 6" xfId="2437" xr:uid="{00000000-0005-0000-0000-000001030000}"/>
    <cellStyle name="40% - Accent2 2 2 7" xfId="2747" xr:uid="{00000000-0005-0000-0000-000002030000}"/>
    <cellStyle name="40% - Accent2 2 2 8" xfId="3332" xr:uid="{00000000-0005-0000-0000-000003030000}"/>
    <cellStyle name="40% - Accent2 2 2 9" xfId="4328" xr:uid="{00000000-0005-0000-0000-000004030000}"/>
    <cellStyle name="40% - Accent2 2 3" xfId="120" xr:uid="{00000000-0005-0000-0000-000005030000}"/>
    <cellStyle name="40% - Accent2 2 3 10" xfId="8213" xr:uid="{00000000-0005-0000-0000-000006030000}"/>
    <cellStyle name="40% - Accent2 2 3 11" xfId="10243" xr:uid="{00000000-0005-0000-0000-000007030000}"/>
    <cellStyle name="40% - Accent2 2 3 2" xfId="1671" xr:uid="{00000000-0005-0000-0000-000008030000}"/>
    <cellStyle name="40% - Accent2 2 3 3" xfId="1769" xr:uid="{00000000-0005-0000-0000-000009030000}"/>
    <cellStyle name="40% - Accent2 2 3 4" xfId="1924" xr:uid="{00000000-0005-0000-0000-00000A030000}"/>
    <cellStyle name="40% - Accent2 2 3 5" xfId="2069" xr:uid="{00000000-0005-0000-0000-00000B030000}"/>
    <cellStyle name="40% - Accent2 2 3 6" xfId="2438" xr:uid="{00000000-0005-0000-0000-00000C030000}"/>
    <cellStyle name="40% - Accent2 2 3 7" xfId="2746" xr:uid="{00000000-0005-0000-0000-00000D030000}"/>
    <cellStyle name="40% - Accent2 2 3 8" xfId="3333" xr:uid="{00000000-0005-0000-0000-00000E030000}"/>
    <cellStyle name="40% - Accent2 2 3 9" xfId="4327" xr:uid="{00000000-0005-0000-0000-00000F030000}"/>
    <cellStyle name="40% - Accent2 2 4" xfId="1669" xr:uid="{00000000-0005-0000-0000-000010030000}"/>
    <cellStyle name="40% - Accent2 2 5" xfId="1771" xr:uid="{00000000-0005-0000-0000-000011030000}"/>
    <cellStyle name="40% - Accent2 2 6" xfId="1922" xr:uid="{00000000-0005-0000-0000-000012030000}"/>
    <cellStyle name="40% - Accent2 2 7" xfId="2071" xr:uid="{00000000-0005-0000-0000-000013030000}"/>
    <cellStyle name="40% - Accent2 2 8" xfId="2436" xr:uid="{00000000-0005-0000-0000-000014030000}"/>
    <cellStyle name="40% - Accent2 2 9" xfId="2748" xr:uid="{00000000-0005-0000-0000-000015030000}"/>
    <cellStyle name="40% - Accent2 3" xfId="121" xr:uid="{00000000-0005-0000-0000-000016030000}"/>
    <cellStyle name="40% - Accent2 3 10" xfId="8214" xr:uid="{00000000-0005-0000-0000-000017030000}"/>
    <cellStyle name="40% - Accent2 3 11" xfId="10244" xr:uid="{00000000-0005-0000-0000-000018030000}"/>
    <cellStyle name="40% - Accent2 3 2" xfId="1672" xr:uid="{00000000-0005-0000-0000-000019030000}"/>
    <cellStyle name="40% - Accent2 3 3" xfId="1768" xr:uid="{00000000-0005-0000-0000-00001A030000}"/>
    <cellStyle name="40% - Accent2 3 4" xfId="1925" xr:uid="{00000000-0005-0000-0000-00001B030000}"/>
    <cellStyle name="40% - Accent2 3 5" xfId="2068" xr:uid="{00000000-0005-0000-0000-00001C030000}"/>
    <cellStyle name="40% - Accent2 3 6" xfId="2439" xr:uid="{00000000-0005-0000-0000-00001D030000}"/>
    <cellStyle name="40% - Accent2 3 7" xfId="2745" xr:uid="{00000000-0005-0000-0000-00001E030000}"/>
    <cellStyle name="40% - Accent2 3 8" xfId="3335" xr:uid="{00000000-0005-0000-0000-00001F030000}"/>
    <cellStyle name="40% - Accent2 3 9" xfId="4326" xr:uid="{00000000-0005-0000-0000-000020030000}"/>
    <cellStyle name="40% - Accent2 4" xfId="122" xr:uid="{00000000-0005-0000-0000-000021030000}"/>
    <cellStyle name="40% - Accent2 4 10" xfId="8215" xr:uid="{00000000-0005-0000-0000-000022030000}"/>
    <cellStyle name="40% - Accent2 4 11" xfId="10245" xr:uid="{00000000-0005-0000-0000-000023030000}"/>
    <cellStyle name="40% - Accent2 4 2" xfId="1673" xr:uid="{00000000-0005-0000-0000-000024030000}"/>
    <cellStyle name="40% - Accent2 4 3" xfId="1767" xr:uid="{00000000-0005-0000-0000-000025030000}"/>
    <cellStyle name="40% - Accent2 4 4" xfId="1926" xr:uid="{00000000-0005-0000-0000-000026030000}"/>
    <cellStyle name="40% - Accent2 4 5" xfId="2067" xr:uid="{00000000-0005-0000-0000-000027030000}"/>
    <cellStyle name="40% - Accent2 4 6" xfId="2440" xr:uid="{00000000-0005-0000-0000-000028030000}"/>
    <cellStyle name="40% - Accent2 4 7" xfId="2744" xr:uid="{00000000-0005-0000-0000-000029030000}"/>
    <cellStyle name="40% - Accent2 4 8" xfId="3336" xr:uid="{00000000-0005-0000-0000-00002A030000}"/>
    <cellStyle name="40% - Accent2 4 9" xfId="4325" xr:uid="{00000000-0005-0000-0000-00002B030000}"/>
    <cellStyle name="40% - Accent2 5" xfId="123" xr:uid="{00000000-0005-0000-0000-00002C030000}"/>
    <cellStyle name="40% - Accent2 5 10" xfId="8216" xr:uid="{00000000-0005-0000-0000-00002D030000}"/>
    <cellStyle name="40% - Accent2 5 11" xfId="10246" xr:uid="{00000000-0005-0000-0000-00002E030000}"/>
    <cellStyle name="40% - Accent2 5 2" xfId="1674" xr:uid="{00000000-0005-0000-0000-00002F030000}"/>
    <cellStyle name="40% - Accent2 5 3" xfId="1766" xr:uid="{00000000-0005-0000-0000-000030030000}"/>
    <cellStyle name="40% - Accent2 5 4" xfId="1927" xr:uid="{00000000-0005-0000-0000-000031030000}"/>
    <cellStyle name="40% - Accent2 5 5" xfId="2066" xr:uid="{00000000-0005-0000-0000-000032030000}"/>
    <cellStyle name="40% - Accent2 5 6" xfId="2441" xr:uid="{00000000-0005-0000-0000-000033030000}"/>
    <cellStyle name="40% - Accent2 5 7" xfId="2743" xr:uid="{00000000-0005-0000-0000-000034030000}"/>
    <cellStyle name="40% - Accent2 5 8" xfId="3337" xr:uid="{00000000-0005-0000-0000-000035030000}"/>
    <cellStyle name="40% - Accent2 5 9" xfId="4324" xr:uid="{00000000-0005-0000-0000-000036030000}"/>
    <cellStyle name="40% - Accent3 2" xfId="124" xr:uid="{00000000-0005-0000-0000-000037030000}"/>
    <cellStyle name="40% - Accent3 2 10" xfId="3338" xr:uid="{00000000-0005-0000-0000-000038030000}"/>
    <cellStyle name="40% - Accent3 2 11" xfId="4323" xr:uid="{00000000-0005-0000-0000-000039030000}"/>
    <cellStyle name="40% - Accent3 2 12" xfId="8217" xr:uid="{00000000-0005-0000-0000-00003A030000}"/>
    <cellStyle name="40% - Accent3 2 13" xfId="10247" xr:uid="{00000000-0005-0000-0000-00003B030000}"/>
    <cellStyle name="40% - Accent3 2 2" xfId="125" xr:uid="{00000000-0005-0000-0000-00003C030000}"/>
    <cellStyle name="40% - Accent3 2 2 10" xfId="8218" xr:uid="{00000000-0005-0000-0000-00003D030000}"/>
    <cellStyle name="40% - Accent3 2 2 11" xfId="10248" xr:uid="{00000000-0005-0000-0000-00003E030000}"/>
    <cellStyle name="40% - Accent3 2 2 2" xfId="1676" xr:uid="{00000000-0005-0000-0000-00003F030000}"/>
    <cellStyle name="40% - Accent3 2 2 3" xfId="1764" xr:uid="{00000000-0005-0000-0000-000040030000}"/>
    <cellStyle name="40% - Accent3 2 2 4" xfId="1929" xr:uid="{00000000-0005-0000-0000-000041030000}"/>
    <cellStyle name="40% - Accent3 2 2 5" xfId="2064" xr:uid="{00000000-0005-0000-0000-000042030000}"/>
    <cellStyle name="40% - Accent3 2 2 6" xfId="2443" xr:uid="{00000000-0005-0000-0000-000043030000}"/>
    <cellStyle name="40% - Accent3 2 2 7" xfId="2741" xr:uid="{00000000-0005-0000-0000-000044030000}"/>
    <cellStyle name="40% - Accent3 2 2 8" xfId="3339" xr:uid="{00000000-0005-0000-0000-000045030000}"/>
    <cellStyle name="40% - Accent3 2 2 9" xfId="4322" xr:uid="{00000000-0005-0000-0000-000046030000}"/>
    <cellStyle name="40% - Accent3 2 3" xfId="126" xr:uid="{00000000-0005-0000-0000-000047030000}"/>
    <cellStyle name="40% - Accent3 2 3 10" xfId="8219" xr:uid="{00000000-0005-0000-0000-000048030000}"/>
    <cellStyle name="40% - Accent3 2 3 11" xfId="10249" xr:uid="{00000000-0005-0000-0000-000049030000}"/>
    <cellStyle name="40% - Accent3 2 3 2" xfId="1677" xr:uid="{00000000-0005-0000-0000-00004A030000}"/>
    <cellStyle name="40% - Accent3 2 3 3" xfId="1763" xr:uid="{00000000-0005-0000-0000-00004B030000}"/>
    <cellStyle name="40% - Accent3 2 3 4" xfId="1930" xr:uid="{00000000-0005-0000-0000-00004C030000}"/>
    <cellStyle name="40% - Accent3 2 3 5" xfId="2063" xr:uid="{00000000-0005-0000-0000-00004D030000}"/>
    <cellStyle name="40% - Accent3 2 3 6" xfId="2444" xr:uid="{00000000-0005-0000-0000-00004E030000}"/>
    <cellStyle name="40% - Accent3 2 3 7" xfId="2740" xr:uid="{00000000-0005-0000-0000-00004F030000}"/>
    <cellStyle name="40% - Accent3 2 3 8" xfId="3340" xr:uid="{00000000-0005-0000-0000-000050030000}"/>
    <cellStyle name="40% - Accent3 2 3 9" xfId="4321" xr:uid="{00000000-0005-0000-0000-000051030000}"/>
    <cellStyle name="40% - Accent3 2 4" xfId="1675" xr:uid="{00000000-0005-0000-0000-000052030000}"/>
    <cellStyle name="40% - Accent3 2 5" xfId="1765" xr:uid="{00000000-0005-0000-0000-000053030000}"/>
    <cellStyle name="40% - Accent3 2 6" xfId="1928" xr:uid="{00000000-0005-0000-0000-000054030000}"/>
    <cellStyle name="40% - Accent3 2 7" xfId="2065" xr:uid="{00000000-0005-0000-0000-000055030000}"/>
    <cellStyle name="40% - Accent3 2 8" xfId="2442" xr:uid="{00000000-0005-0000-0000-000056030000}"/>
    <cellStyle name="40% - Accent3 2 9" xfId="2742" xr:uid="{00000000-0005-0000-0000-000057030000}"/>
    <cellStyle name="40% - Accent3 3" xfId="127" xr:uid="{00000000-0005-0000-0000-000058030000}"/>
    <cellStyle name="40% - Accent3 3 10" xfId="8220" xr:uid="{00000000-0005-0000-0000-000059030000}"/>
    <cellStyle name="40% - Accent3 3 11" xfId="10250" xr:uid="{00000000-0005-0000-0000-00005A030000}"/>
    <cellStyle name="40% - Accent3 3 2" xfId="1678" xr:uid="{00000000-0005-0000-0000-00005B030000}"/>
    <cellStyle name="40% - Accent3 3 3" xfId="1762" xr:uid="{00000000-0005-0000-0000-00005C030000}"/>
    <cellStyle name="40% - Accent3 3 4" xfId="1931" xr:uid="{00000000-0005-0000-0000-00005D030000}"/>
    <cellStyle name="40% - Accent3 3 5" xfId="2062" xr:uid="{00000000-0005-0000-0000-00005E030000}"/>
    <cellStyle name="40% - Accent3 3 6" xfId="2445" xr:uid="{00000000-0005-0000-0000-00005F030000}"/>
    <cellStyle name="40% - Accent3 3 7" xfId="2739" xr:uid="{00000000-0005-0000-0000-000060030000}"/>
    <cellStyle name="40% - Accent3 3 8" xfId="3341" xr:uid="{00000000-0005-0000-0000-000061030000}"/>
    <cellStyle name="40% - Accent3 3 9" xfId="4320" xr:uid="{00000000-0005-0000-0000-000062030000}"/>
    <cellStyle name="40% - Accent3 4" xfId="128" xr:uid="{00000000-0005-0000-0000-000063030000}"/>
    <cellStyle name="40% - Accent3 4 10" xfId="8221" xr:uid="{00000000-0005-0000-0000-000064030000}"/>
    <cellStyle name="40% - Accent3 4 11" xfId="10251" xr:uid="{00000000-0005-0000-0000-000065030000}"/>
    <cellStyle name="40% - Accent3 4 2" xfId="1679" xr:uid="{00000000-0005-0000-0000-000066030000}"/>
    <cellStyle name="40% - Accent3 4 3" xfId="1761" xr:uid="{00000000-0005-0000-0000-000067030000}"/>
    <cellStyle name="40% - Accent3 4 4" xfId="1932" xr:uid="{00000000-0005-0000-0000-000068030000}"/>
    <cellStyle name="40% - Accent3 4 5" xfId="2061" xr:uid="{00000000-0005-0000-0000-000069030000}"/>
    <cellStyle name="40% - Accent3 4 6" xfId="2446" xr:uid="{00000000-0005-0000-0000-00006A030000}"/>
    <cellStyle name="40% - Accent3 4 7" xfId="2738" xr:uid="{00000000-0005-0000-0000-00006B030000}"/>
    <cellStyle name="40% - Accent3 4 8" xfId="3342" xr:uid="{00000000-0005-0000-0000-00006C030000}"/>
    <cellStyle name="40% - Accent3 4 9" xfId="4319" xr:uid="{00000000-0005-0000-0000-00006D030000}"/>
    <cellStyle name="40% - Accent3 5" xfId="129" xr:uid="{00000000-0005-0000-0000-00006E030000}"/>
    <cellStyle name="40% - Accent3 5 10" xfId="8222" xr:uid="{00000000-0005-0000-0000-00006F030000}"/>
    <cellStyle name="40% - Accent3 5 11" xfId="10252" xr:uid="{00000000-0005-0000-0000-000070030000}"/>
    <cellStyle name="40% - Accent3 5 2" xfId="1680" xr:uid="{00000000-0005-0000-0000-000071030000}"/>
    <cellStyle name="40% - Accent3 5 3" xfId="1760" xr:uid="{00000000-0005-0000-0000-000072030000}"/>
    <cellStyle name="40% - Accent3 5 4" xfId="1933" xr:uid="{00000000-0005-0000-0000-000073030000}"/>
    <cellStyle name="40% - Accent3 5 5" xfId="2060" xr:uid="{00000000-0005-0000-0000-000074030000}"/>
    <cellStyle name="40% - Accent3 5 6" xfId="2447" xr:uid="{00000000-0005-0000-0000-000075030000}"/>
    <cellStyle name="40% - Accent3 5 7" xfId="2737" xr:uid="{00000000-0005-0000-0000-000076030000}"/>
    <cellStyle name="40% - Accent3 5 8" xfId="3343" xr:uid="{00000000-0005-0000-0000-000077030000}"/>
    <cellStyle name="40% - Accent3 5 9" xfId="4318" xr:uid="{00000000-0005-0000-0000-000078030000}"/>
    <cellStyle name="40% - Accent4 2" xfId="130" xr:uid="{00000000-0005-0000-0000-000079030000}"/>
    <cellStyle name="40% - Accent4 2 10" xfId="3344" xr:uid="{00000000-0005-0000-0000-00007A030000}"/>
    <cellStyle name="40% - Accent4 2 11" xfId="4317" xr:uid="{00000000-0005-0000-0000-00007B030000}"/>
    <cellStyle name="40% - Accent4 2 12" xfId="8223" xr:uid="{00000000-0005-0000-0000-00007C030000}"/>
    <cellStyle name="40% - Accent4 2 13" xfId="10253" xr:uid="{00000000-0005-0000-0000-00007D030000}"/>
    <cellStyle name="40% - Accent4 2 2" xfId="131" xr:uid="{00000000-0005-0000-0000-00007E030000}"/>
    <cellStyle name="40% - Accent4 2 2 10" xfId="8224" xr:uid="{00000000-0005-0000-0000-00007F030000}"/>
    <cellStyle name="40% - Accent4 2 2 11" xfId="10254" xr:uid="{00000000-0005-0000-0000-000080030000}"/>
    <cellStyle name="40% - Accent4 2 2 2" xfId="1682" xr:uid="{00000000-0005-0000-0000-000081030000}"/>
    <cellStyle name="40% - Accent4 2 2 3" xfId="1758" xr:uid="{00000000-0005-0000-0000-000082030000}"/>
    <cellStyle name="40% - Accent4 2 2 4" xfId="1935" xr:uid="{00000000-0005-0000-0000-000083030000}"/>
    <cellStyle name="40% - Accent4 2 2 5" xfId="2058" xr:uid="{00000000-0005-0000-0000-000084030000}"/>
    <cellStyle name="40% - Accent4 2 2 6" xfId="2449" xr:uid="{00000000-0005-0000-0000-000085030000}"/>
    <cellStyle name="40% - Accent4 2 2 7" xfId="2735" xr:uid="{00000000-0005-0000-0000-000086030000}"/>
    <cellStyle name="40% - Accent4 2 2 8" xfId="3345" xr:uid="{00000000-0005-0000-0000-000087030000}"/>
    <cellStyle name="40% - Accent4 2 2 9" xfId="4316" xr:uid="{00000000-0005-0000-0000-000088030000}"/>
    <cellStyle name="40% - Accent4 2 3" xfId="132" xr:uid="{00000000-0005-0000-0000-000089030000}"/>
    <cellStyle name="40% - Accent4 2 3 10" xfId="8225" xr:uid="{00000000-0005-0000-0000-00008A030000}"/>
    <cellStyle name="40% - Accent4 2 3 11" xfId="10255" xr:uid="{00000000-0005-0000-0000-00008B030000}"/>
    <cellStyle name="40% - Accent4 2 3 2" xfId="1683" xr:uid="{00000000-0005-0000-0000-00008C030000}"/>
    <cellStyle name="40% - Accent4 2 3 3" xfId="1757" xr:uid="{00000000-0005-0000-0000-00008D030000}"/>
    <cellStyle name="40% - Accent4 2 3 4" xfId="1936" xr:uid="{00000000-0005-0000-0000-00008E030000}"/>
    <cellStyle name="40% - Accent4 2 3 5" xfId="2057" xr:uid="{00000000-0005-0000-0000-00008F030000}"/>
    <cellStyle name="40% - Accent4 2 3 6" xfId="2450" xr:uid="{00000000-0005-0000-0000-000090030000}"/>
    <cellStyle name="40% - Accent4 2 3 7" xfId="2734" xr:uid="{00000000-0005-0000-0000-000091030000}"/>
    <cellStyle name="40% - Accent4 2 3 8" xfId="3346" xr:uid="{00000000-0005-0000-0000-000092030000}"/>
    <cellStyle name="40% - Accent4 2 3 9" xfId="4315" xr:uid="{00000000-0005-0000-0000-000093030000}"/>
    <cellStyle name="40% - Accent4 2 4" xfId="1681" xr:uid="{00000000-0005-0000-0000-000094030000}"/>
    <cellStyle name="40% - Accent4 2 5" xfId="1759" xr:uid="{00000000-0005-0000-0000-000095030000}"/>
    <cellStyle name="40% - Accent4 2 6" xfId="1934" xr:uid="{00000000-0005-0000-0000-000096030000}"/>
    <cellStyle name="40% - Accent4 2 7" xfId="2059" xr:uid="{00000000-0005-0000-0000-000097030000}"/>
    <cellStyle name="40% - Accent4 2 8" xfId="2448" xr:uid="{00000000-0005-0000-0000-000098030000}"/>
    <cellStyle name="40% - Accent4 2 9" xfId="2736" xr:uid="{00000000-0005-0000-0000-000099030000}"/>
    <cellStyle name="40% - Accent4 3" xfId="133" xr:uid="{00000000-0005-0000-0000-00009A030000}"/>
    <cellStyle name="40% - Accent4 3 10" xfId="8226" xr:uid="{00000000-0005-0000-0000-00009B030000}"/>
    <cellStyle name="40% - Accent4 3 11" xfId="10256" xr:uid="{00000000-0005-0000-0000-00009C030000}"/>
    <cellStyle name="40% - Accent4 3 2" xfId="1684" xr:uid="{00000000-0005-0000-0000-00009D030000}"/>
    <cellStyle name="40% - Accent4 3 3" xfId="1756" xr:uid="{00000000-0005-0000-0000-00009E030000}"/>
    <cellStyle name="40% - Accent4 3 4" xfId="1937" xr:uid="{00000000-0005-0000-0000-00009F030000}"/>
    <cellStyle name="40% - Accent4 3 5" xfId="2056" xr:uid="{00000000-0005-0000-0000-0000A0030000}"/>
    <cellStyle name="40% - Accent4 3 6" xfId="2451" xr:uid="{00000000-0005-0000-0000-0000A1030000}"/>
    <cellStyle name="40% - Accent4 3 7" xfId="2731" xr:uid="{00000000-0005-0000-0000-0000A2030000}"/>
    <cellStyle name="40% - Accent4 3 8" xfId="3347" xr:uid="{00000000-0005-0000-0000-0000A3030000}"/>
    <cellStyle name="40% - Accent4 3 9" xfId="4314" xr:uid="{00000000-0005-0000-0000-0000A4030000}"/>
    <cellStyle name="40% - Accent4 4" xfId="134" xr:uid="{00000000-0005-0000-0000-0000A5030000}"/>
    <cellStyle name="40% - Accent4 4 10" xfId="8227" xr:uid="{00000000-0005-0000-0000-0000A6030000}"/>
    <cellStyle name="40% - Accent4 4 11" xfId="10257" xr:uid="{00000000-0005-0000-0000-0000A7030000}"/>
    <cellStyle name="40% - Accent4 4 2" xfId="1685" xr:uid="{00000000-0005-0000-0000-0000A8030000}"/>
    <cellStyle name="40% - Accent4 4 3" xfId="1755" xr:uid="{00000000-0005-0000-0000-0000A9030000}"/>
    <cellStyle name="40% - Accent4 4 4" xfId="1938" xr:uid="{00000000-0005-0000-0000-0000AA030000}"/>
    <cellStyle name="40% - Accent4 4 5" xfId="2055" xr:uid="{00000000-0005-0000-0000-0000AB030000}"/>
    <cellStyle name="40% - Accent4 4 6" xfId="2452" xr:uid="{00000000-0005-0000-0000-0000AC030000}"/>
    <cellStyle name="40% - Accent4 4 7" xfId="2729" xr:uid="{00000000-0005-0000-0000-0000AD030000}"/>
    <cellStyle name="40% - Accent4 4 8" xfId="3348" xr:uid="{00000000-0005-0000-0000-0000AE030000}"/>
    <cellStyle name="40% - Accent4 4 9" xfId="4313" xr:uid="{00000000-0005-0000-0000-0000AF030000}"/>
    <cellStyle name="40% - Accent4 5" xfId="135" xr:uid="{00000000-0005-0000-0000-0000B0030000}"/>
    <cellStyle name="40% - Accent4 5 10" xfId="8228" xr:uid="{00000000-0005-0000-0000-0000B1030000}"/>
    <cellStyle name="40% - Accent4 5 11" xfId="10258" xr:uid="{00000000-0005-0000-0000-0000B2030000}"/>
    <cellStyle name="40% - Accent4 5 2" xfId="1686" xr:uid="{00000000-0005-0000-0000-0000B3030000}"/>
    <cellStyle name="40% - Accent4 5 3" xfId="1754" xr:uid="{00000000-0005-0000-0000-0000B4030000}"/>
    <cellStyle name="40% - Accent4 5 4" xfId="1939" xr:uid="{00000000-0005-0000-0000-0000B5030000}"/>
    <cellStyle name="40% - Accent4 5 5" xfId="2054" xr:uid="{00000000-0005-0000-0000-0000B6030000}"/>
    <cellStyle name="40% - Accent4 5 6" xfId="2453" xr:uid="{00000000-0005-0000-0000-0000B7030000}"/>
    <cellStyle name="40% - Accent4 5 7" xfId="2726" xr:uid="{00000000-0005-0000-0000-0000B8030000}"/>
    <cellStyle name="40% - Accent4 5 8" xfId="3349" xr:uid="{00000000-0005-0000-0000-0000B9030000}"/>
    <cellStyle name="40% - Accent4 5 9" xfId="4312" xr:uid="{00000000-0005-0000-0000-0000BA030000}"/>
    <cellStyle name="40% - Accent5 2" xfId="136" xr:uid="{00000000-0005-0000-0000-0000BB030000}"/>
    <cellStyle name="40% - Accent5 2 10" xfId="3350" xr:uid="{00000000-0005-0000-0000-0000BC030000}"/>
    <cellStyle name="40% - Accent5 2 11" xfId="4311" xr:uid="{00000000-0005-0000-0000-0000BD030000}"/>
    <cellStyle name="40% - Accent5 2 12" xfId="8229" xr:uid="{00000000-0005-0000-0000-0000BE030000}"/>
    <cellStyle name="40% - Accent5 2 13" xfId="10259" xr:uid="{00000000-0005-0000-0000-0000BF030000}"/>
    <cellStyle name="40% - Accent5 2 2" xfId="137" xr:uid="{00000000-0005-0000-0000-0000C0030000}"/>
    <cellStyle name="40% - Accent5 2 2 10" xfId="8230" xr:uid="{00000000-0005-0000-0000-0000C1030000}"/>
    <cellStyle name="40% - Accent5 2 2 11" xfId="10260" xr:uid="{00000000-0005-0000-0000-0000C2030000}"/>
    <cellStyle name="40% - Accent5 2 2 2" xfId="1688" xr:uid="{00000000-0005-0000-0000-0000C3030000}"/>
    <cellStyle name="40% - Accent5 2 2 3" xfId="1752" xr:uid="{00000000-0005-0000-0000-0000C4030000}"/>
    <cellStyle name="40% - Accent5 2 2 4" xfId="1941" xr:uid="{00000000-0005-0000-0000-0000C5030000}"/>
    <cellStyle name="40% - Accent5 2 2 5" xfId="2052" xr:uid="{00000000-0005-0000-0000-0000C6030000}"/>
    <cellStyle name="40% - Accent5 2 2 6" xfId="2455" xr:uid="{00000000-0005-0000-0000-0000C7030000}"/>
    <cellStyle name="40% - Accent5 2 2 7" xfId="2724" xr:uid="{00000000-0005-0000-0000-0000C8030000}"/>
    <cellStyle name="40% - Accent5 2 2 8" xfId="3351" xr:uid="{00000000-0005-0000-0000-0000C9030000}"/>
    <cellStyle name="40% - Accent5 2 2 9" xfId="4310" xr:uid="{00000000-0005-0000-0000-0000CA030000}"/>
    <cellStyle name="40% - Accent5 2 3" xfId="138" xr:uid="{00000000-0005-0000-0000-0000CB030000}"/>
    <cellStyle name="40% - Accent5 2 3 10" xfId="8231" xr:uid="{00000000-0005-0000-0000-0000CC030000}"/>
    <cellStyle name="40% - Accent5 2 3 11" xfId="10261" xr:uid="{00000000-0005-0000-0000-0000CD030000}"/>
    <cellStyle name="40% - Accent5 2 3 2" xfId="1689" xr:uid="{00000000-0005-0000-0000-0000CE030000}"/>
    <cellStyle name="40% - Accent5 2 3 3" xfId="1751" xr:uid="{00000000-0005-0000-0000-0000CF030000}"/>
    <cellStyle name="40% - Accent5 2 3 4" xfId="1942" xr:uid="{00000000-0005-0000-0000-0000D0030000}"/>
    <cellStyle name="40% - Accent5 2 3 5" xfId="2051" xr:uid="{00000000-0005-0000-0000-0000D1030000}"/>
    <cellStyle name="40% - Accent5 2 3 6" xfId="2456" xr:uid="{00000000-0005-0000-0000-0000D2030000}"/>
    <cellStyle name="40% - Accent5 2 3 7" xfId="2723" xr:uid="{00000000-0005-0000-0000-0000D3030000}"/>
    <cellStyle name="40% - Accent5 2 3 8" xfId="3352" xr:uid="{00000000-0005-0000-0000-0000D4030000}"/>
    <cellStyle name="40% - Accent5 2 3 9" xfId="4309" xr:uid="{00000000-0005-0000-0000-0000D5030000}"/>
    <cellStyle name="40% - Accent5 2 4" xfId="1687" xr:uid="{00000000-0005-0000-0000-0000D6030000}"/>
    <cellStyle name="40% - Accent5 2 5" xfId="1753" xr:uid="{00000000-0005-0000-0000-0000D7030000}"/>
    <cellStyle name="40% - Accent5 2 6" xfId="1940" xr:uid="{00000000-0005-0000-0000-0000D8030000}"/>
    <cellStyle name="40% - Accent5 2 7" xfId="2053" xr:uid="{00000000-0005-0000-0000-0000D9030000}"/>
    <cellStyle name="40% - Accent5 2 8" xfId="2454" xr:uid="{00000000-0005-0000-0000-0000DA030000}"/>
    <cellStyle name="40% - Accent5 2 9" xfId="2725" xr:uid="{00000000-0005-0000-0000-0000DB030000}"/>
    <cellStyle name="40% - Accent5 3" xfId="139" xr:uid="{00000000-0005-0000-0000-0000DC030000}"/>
    <cellStyle name="40% - Accent5 3 10" xfId="8232" xr:uid="{00000000-0005-0000-0000-0000DD030000}"/>
    <cellStyle name="40% - Accent5 3 11" xfId="10262" xr:uid="{00000000-0005-0000-0000-0000DE030000}"/>
    <cellStyle name="40% - Accent5 3 2" xfId="1690" xr:uid="{00000000-0005-0000-0000-0000DF030000}"/>
    <cellStyle name="40% - Accent5 3 3" xfId="1750" xr:uid="{00000000-0005-0000-0000-0000E0030000}"/>
    <cellStyle name="40% - Accent5 3 4" xfId="1943" xr:uid="{00000000-0005-0000-0000-0000E1030000}"/>
    <cellStyle name="40% - Accent5 3 5" xfId="2050" xr:uid="{00000000-0005-0000-0000-0000E2030000}"/>
    <cellStyle name="40% - Accent5 3 6" xfId="2457" xr:uid="{00000000-0005-0000-0000-0000E3030000}"/>
    <cellStyle name="40% - Accent5 3 7" xfId="2722" xr:uid="{00000000-0005-0000-0000-0000E4030000}"/>
    <cellStyle name="40% - Accent5 3 8" xfId="3353" xr:uid="{00000000-0005-0000-0000-0000E5030000}"/>
    <cellStyle name="40% - Accent5 3 9" xfId="4308" xr:uid="{00000000-0005-0000-0000-0000E6030000}"/>
    <cellStyle name="40% - Accent5 4" xfId="140" xr:uid="{00000000-0005-0000-0000-0000E7030000}"/>
    <cellStyle name="40% - Accent5 4 10" xfId="8233" xr:uid="{00000000-0005-0000-0000-0000E8030000}"/>
    <cellStyle name="40% - Accent5 4 11" xfId="10263" xr:uid="{00000000-0005-0000-0000-0000E9030000}"/>
    <cellStyle name="40% - Accent5 4 2" xfId="1691" xr:uid="{00000000-0005-0000-0000-0000EA030000}"/>
    <cellStyle name="40% - Accent5 4 3" xfId="1749" xr:uid="{00000000-0005-0000-0000-0000EB030000}"/>
    <cellStyle name="40% - Accent5 4 4" xfId="1944" xr:uid="{00000000-0005-0000-0000-0000EC030000}"/>
    <cellStyle name="40% - Accent5 4 5" xfId="2049" xr:uid="{00000000-0005-0000-0000-0000ED030000}"/>
    <cellStyle name="40% - Accent5 4 6" xfId="2458" xr:uid="{00000000-0005-0000-0000-0000EE030000}"/>
    <cellStyle name="40% - Accent5 4 7" xfId="2720" xr:uid="{00000000-0005-0000-0000-0000EF030000}"/>
    <cellStyle name="40% - Accent5 4 8" xfId="3354" xr:uid="{00000000-0005-0000-0000-0000F0030000}"/>
    <cellStyle name="40% - Accent5 4 9" xfId="4307" xr:uid="{00000000-0005-0000-0000-0000F1030000}"/>
    <cellStyle name="40% - Accent5 5" xfId="141" xr:uid="{00000000-0005-0000-0000-0000F2030000}"/>
    <cellStyle name="40% - Accent5 5 10" xfId="8234" xr:uid="{00000000-0005-0000-0000-0000F3030000}"/>
    <cellStyle name="40% - Accent5 5 11" xfId="10264" xr:uid="{00000000-0005-0000-0000-0000F4030000}"/>
    <cellStyle name="40% - Accent5 5 2" xfId="1692" xr:uid="{00000000-0005-0000-0000-0000F5030000}"/>
    <cellStyle name="40% - Accent5 5 3" xfId="1741" xr:uid="{00000000-0005-0000-0000-0000F6030000}"/>
    <cellStyle name="40% - Accent5 5 4" xfId="1945" xr:uid="{00000000-0005-0000-0000-0000F7030000}"/>
    <cellStyle name="40% - Accent5 5 5" xfId="2048" xr:uid="{00000000-0005-0000-0000-0000F8030000}"/>
    <cellStyle name="40% - Accent5 5 6" xfId="2459" xr:uid="{00000000-0005-0000-0000-0000F9030000}"/>
    <cellStyle name="40% - Accent5 5 7" xfId="2719" xr:uid="{00000000-0005-0000-0000-0000FA030000}"/>
    <cellStyle name="40% - Accent5 5 8" xfId="3355" xr:uid="{00000000-0005-0000-0000-0000FB030000}"/>
    <cellStyle name="40% - Accent5 5 9" xfId="4306" xr:uid="{00000000-0005-0000-0000-0000FC030000}"/>
    <cellStyle name="40% - Accent6 2" xfId="142" xr:uid="{00000000-0005-0000-0000-0000FD030000}"/>
    <cellStyle name="40% - Accent6 2 10" xfId="3356" xr:uid="{00000000-0005-0000-0000-0000FE030000}"/>
    <cellStyle name="40% - Accent6 2 11" xfId="4305" xr:uid="{00000000-0005-0000-0000-0000FF030000}"/>
    <cellStyle name="40% - Accent6 2 12" xfId="8235" xr:uid="{00000000-0005-0000-0000-000000040000}"/>
    <cellStyle name="40% - Accent6 2 13" xfId="10265" xr:uid="{00000000-0005-0000-0000-000001040000}"/>
    <cellStyle name="40% - Accent6 2 2" xfId="143" xr:uid="{00000000-0005-0000-0000-000002040000}"/>
    <cellStyle name="40% - Accent6 2 2 10" xfId="8236" xr:uid="{00000000-0005-0000-0000-000003040000}"/>
    <cellStyle name="40% - Accent6 2 2 11" xfId="10266" xr:uid="{00000000-0005-0000-0000-000004040000}"/>
    <cellStyle name="40% - Accent6 2 2 2" xfId="1694" xr:uid="{00000000-0005-0000-0000-000005040000}"/>
    <cellStyle name="40% - Accent6 2 2 3" xfId="1739" xr:uid="{00000000-0005-0000-0000-000006040000}"/>
    <cellStyle name="40% - Accent6 2 2 4" xfId="1947" xr:uid="{00000000-0005-0000-0000-000007040000}"/>
    <cellStyle name="40% - Accent6 2 2 5" xfId="2046" xr:uid="{00000000-0005-0000-0000-000008040000}"/>
    <cellStyle name="40% - Accent6 2 2 6" xfId="2461" xr:uid="{00000000-0005-0000-0000-000009040000}"/>
    <cellStyle name="40% - Accent6 2 2 7" xfId="2717" xr:uid="{00000000-0005-0000-0000-00000A040000}"/>
    <cellStyle name="40% - Accent6 2 2 8" xfId="3357" xr:uid="{00000000-0005-0000-0000-00000B040000}"/>
    <cellStyle name="40% - Accent6 2 2 9" xfId="4304" xr:uid="{00000000-0005-0000-0000-00000C040000}"/>
    <cellStyle name="40% - Accent6 2 3" xfId="144" xr:uid="{00000000-0005-0000-0000-00000D040000}"/>
    <cellStyle name="40% - Accent6 2 3 10" xfId="8237" xr:uid="{00000000-0005-0000-0000-00000E040000}"/>
    <cellStyle name="40% - Accent6 2 3 11" xfId="10267" xr:uid="{00000000-0005-0000-0000-00000F040000}"/>
    <cellStyle name="40% - Accent6 2 3 2" xfId="1695" xr:uid="{00000000-0005-0000-0000-000010040000}"/>
    <cellStyle name="40% - Accent6 2 3 3" xfId="1619" xr:uid="{00000000-0005-0000-0000-000011040000}"/>
    <cellStyle name="40% - Accent6 2 3 4" xfId="1948" xr:uid="{00000000-0005-0000-0000-000012040000}"/>
    <cellStyle name="40% - Accent6 2 3 5" xfId="2045" xr:uid="{00000000-0005-0000-0000-000013040000}"/>
    <cellStyle name="40% - Accent6 2 3 6" xfId="2462" xr:uid="{00000000-0005-0000-0000-000014040000}"/>
    <cellStyle name="40% - Accent6 2 3 7" xfId="2716" xr:uid="{00000000-0005-0000-0000-000015040000}"/>
    <cellStyle name="40% - Accent6 2 3 8" xfId="3359" xr:uid="{00000000-0005-0000-0000-000016040000}"/>
    <cellStyle name="40% - Accent6 2 3 9" xfId="4303" xr:uid="{00000000-0005-0000-0000-000017040000}"/>
    <cellStyle name="40% - Accent6 2 4" xfId="1693" xr:uid="{00000000-0005-0000-0000-000018040000}"/>
    <cellStyle name="40% - Accent6 2 5" xfId="1740" xr:uid="{00000000-0005-0000-0000-000019040000}"/>
    <cellStyle name="40% - Accent6 2 6" xfId="1946" xr:uid="{00000000-0005-0000-0000-00001A040000}"/>
    <cellStyle name="40% - Accent6 2 7" xfId="2047" xr:uid="{00000000-0005-0000-0000-00001B040000}"/>
    <cellStyle name="40% - Accent6 2 8" xfId="2460" xr:uid="{00000000-0005-0000-0000-00001C040000}"/>
    <cellStyle name="40% - Accent6 2 9" xfId="2718" xr:uid="{00000000-0005-0000-0000-00001D040000}"/>
    <cellStyle name="40% - Accent6 3" xfId="145" xr:uid="{00000000-0005-0000-0000-00001E040000}"/>
    <cellStyle name="40% - Accent6 3 10" xfId="8238" xr:uid="{00000000-0005-0000-0000-00001F040000}"/>
    <cellStyle name="40% - Accent6 3 11" xfId="10268" xr:uid="{00000000-0005-0000-0000-000020040000}"/>
    <cellStyle name="40% - Accent6 3 2" xfId="1696" xr:uid="{00000000-0005-0000-0000-000021040000}"/>
    <cellStyle name="40% - Accent6 3 3" xfId="1738" xr:uid="{00000000-0005-0000-0000-000022040000}"/>
    <cellStyle name="40% - Accent6 3 4" xfId="1949" xr:uid="{00000000-0005-0000-0000-000023040000}"/>
    <cellStyle name="40% - Accent6 3 5" xfId="2044" xr:uid="{00000000-0005-0000-0000-000024040000}"/>
    <cellStyle name="40% - Accent6 3 6" xfId="2463" xr:uid="{00000000-0005-0000-0000-000025040000}"/>
    <cellStyle name="40% - Accent6 3 7" xfId="2715" xr:uid="{00000000-0005-0000-0000-000026040000}"/>
    <cellStyle name="40% - Accent6 3 8" xfId="3360" xr:uid="{00000000-0005-0000-0000-000027040000}"/>
    <cellStyle name="40% - Accent6 3 9" xfId="4302" xr:uid="{00000000-0005-0000-0000-000028040000}"/>
    <cellStyle name="40% - Accent6 4" xfId="146" xr:uid="{00000000-0005-0000-0000-000029040000}"/>
    <cellStyle name="40% - Accent6 4 10" xfId="8239" xr:uid="{00000000-0005-0000-0000-00002A040000}"/>
    <cellStyle name="40% - Accent6 4 11" xfId="10269" xr:uid="{00000000-0005-0000-0000-00002B040000}"/>
    <cellStyle name="40% - Accent6 4 2" xfId="1697" xr:uid="{00000000-0005-0000-0000-00002C040000}"/>
    <cellStyle name="40% - Accent6 4 3" xfId="1737" xr:uid="{00000000-0005-0000-0000-00002D040000}"/>
    <cellStyle name="40% - Accent6 4 4" xfId="1950" xr:uid="{00000000-0005-0000-0000-00002E040000}"/>
    <cellStyle name="40% - Accent6 4 5" xfId="2043" xr:uid="{00000000-0005-0000-0000-00002F040000}"/>
    <cellStyle name="40% - Accent6 4 6" xfId="2464" xr:uid="{00000000-0005-0000-0000-000030040000}"/>
    <cellStyle name="40% - Accent6 4 7" xfId="2714" xr:uid="{00000000-0005-0000-0000-000031040000}"/>
    <cellStyle name="40% - Accent6 4 8" xfId="3361" xr:uid="{00000000-0005-0000-0000-000032040000}"/>
    <cellStyle name="40% - Accent6 4 9" xfId="4301" xr:uid="{00000000-0005-0000-0000-000033040000}"/>
    <cellStyle name="40% - Accent6 5" xfId="147" xr:uid="{00000000-0005-0000-0000-000034040000}"/>
    <cellStyle name="40% - Accent6 5 10" xfId="8240" xr:uid="{00000000-0005-0000-0000-000035040000}"/>
    <cellStyle name="40% - Accent6 5 11" xfId="10270" xr:uid="{00000000-0005-0000-0000-000036040000}"/>
    <cellStyle name="40% - Accent6 5 2" xfId="1698" xr:uid="{00000000-0005-0000-0000-000037040000}"/>
    <cellStyle name="40% - Accent6 5 3" xfId="1736" xr:uid="{00000000-0005-0000-0000-000038040000}"/>
    <cellStyle name="40% - Accent6 5 4" xfId="1951" xr:uid="{00000000-0005-0000-0000-000039040000}"/>
    <cellStyle name="40% - Accent6 5 5" xfId="2042" xr:uid="{00000000-0005-0000-0000-00003A040000}"/>
    <cellStyle name="40% - Accent6 5 6" xfId="2465" xr:uid="{00000000-0005-0000-0000-00003B040000}"/>
    <cellStyle name="40% - Accent6 5 7" xfId="2713" xr:uid="{00000000-0005-0000-0000-00003C040000}"/>
    <cellStyle name="40% - Accent6 5 8" xfId="3362" xr:uid="{00000000-0005-0000-0000-00003D040000}"/>
    <cellStyle name="40% - Accent6 5 9" xfId="4300" xr:uid="{00000000-0005-0000-0000-00003E040000}"/>
    <cellStyle name="6" xfId="148" xr:uid="{00000000-0005-0000-0000-00003F040000}"/>
    <cellStyle name="60% - Accent1 2" xfId="149" xr:uid="{00000000-0005-0000-0000-000040040000}"/>
    <cellStyle name="60% - Accent2 2" xfId="150" xr:uid="{00000000-0005-0000-0000-000041040000}"/>
    <cellStyle name="60% - Accent3 2" xfId="151" xr:uid="{00000000-0005-0000-0000-000042040000}"/>
    <cellStyle name="60% - Accent4 2" xfId="152" xr:uid="{00000000-0005-0000-0000-000043040000}"/>
    <cellStyle name="60% - Accent5 2" xfId="153" xr:uid="{00000000-0005-0000-0000-000044040000}"/>
    <cellStyle name="60% - Accent6 2" xfId="154" xr:uid="{00000000-0005-0000-0000-000045040000}"/>
    <cellStyle name="Accent1 2" xfId="155" xr:uid="{00000000-0005-0000-0000-000046040000}"/>
    <cellStyle name="Accent2 2" xfId="156" xr:uid="{00000000-0005-0000-0000-000047040000}"/>
    <cellStyle name="Accent3 2" xfId="157" xr:uid="{00000000-0005-0000-0000-000048040000}"/>
    <cellStyle name="Accent4 2" xfId="158" xr:uid="{00000000-0005-0000-0000-000049040000}"/>
    <cellStyle name="Accent5 2" xfId="159" xr:uid="{00000000-0005-0000-0000-00004A040000}"/>
    <cellStyle name="Accent6 2" xfId="160" xr:uid="{00000000-0005-0000-0000-00004B040000}"/>
    <cellStyle name="ÅëÈ­ [0]_      " xfId="161" xr:uid="{00000000-0005-0000-0000-00004C040000}"/>
    <cellStyle name="AeE­ [0]_INQUIRY ¿?¾÷AßAø " xfId="162" xr:uid="{00000000-0005-0000-0000-00004D040000}"/>
    <cellStyle name="ÅëÈ­ [0]_laroux" xfId="163" xr:uid="{00000000-0005-0000-0000-00004E040000}"/>
    <cellStyle name="ÅëÈ­_      " xfId="164" xr:uid="{00000000-0005-0000-0000-00004F040000}"/>
    <cellStyle name="AeE­_INQUIRY ¿?¾÷AßAø " xfId="165" xr:uid="{00000000-0005-0000-0000-000050040000}"/>
    <cellStyle name="ÅëÈ­_laroux" xfId="166" xr:uid="{00000000-0005-0000-0000-000051040000}"/>
    <cellStyle name="args.style" xfId="167" xr:uid="{00000000-0005-0000-0000-000052040000}"/>
    <cellStyle name="ÄÞ¸¶ [0]_      " xfId="168" xr:uid="{00000000-0005-0000-0000-000053040000}"/>
    <cellStyle name="AÞ¸¶ [0]_INQUIRY ¿?¾÷AßAø " xfId="169" xr:uid="{00000000-0005-0000-0000-000054040000}"/>
    <cellStyle name="ÄÞ¸¶ [0]_laroux" xfId="170" xr:uid="{00000000-0005-0000-0000-000055040000}"/>
    <cellStyle name="ÄÞ¸¶_      " xfId="171" xr:uid="{00000000-0005-0000-0000-000056040000}"/>
    <cellStyle name="AÞ¸¶_INQUIRY ¿?¾÷AßAø " xfId="172" xr:uid="{00000000-0005-0000-0000-000057040000}"/>
    <cellStyle name="ÄÞ¸¶_laroux" xfId="173" xr:uid="{00000000-0005-0000-0000-000058040000}"/>
    <cellStyle name="AutoFormat Options" xfId="174" xr:uid="{00000000-0005-0000-0000-000059040000}"/>
    <cellStyle name="Bad 2" xfId="175" xr:uid="{00000000-0005-0000-0000-00005A040000}"/>
    <cellStyle name="Body" xfId="176" xr:uid="{00000000-0005-0000-0000-00005B040000}"/>
    <cellStyle name="C?AØ_¿?¾÷CoE² " xfId="177" xr:uid="{00000000-0005-0000-0000-00005C040000}"/>
    <cellStyle name="Ç¥ÁØ_      " xfId="178" xr:uid="{00000000-0005-0000-0000-00005D040000}"/>
    <cellStyle name="C￥AØ_¿μ¾÷CoE² " xfId="179" xr:uid="{00000000-0005-0000-0000-00005E040000}"/>
    <cellStyle name="Ç¥ÁØ_±³°¢¼ö·®" xfId="180" xr:uid="{00000000-0005-0000-0000-00005F040000}"/>
    <cellStyle name="C￥AØ_Sheet1_¿μ¾÷CoE² " xfId="181" xr:uid="{00000000-0005-0000-0000-000060040000}"/>
    <cellStyle name="Ç¥ÁØ_ÿÿÿÿÿÿ_4_ÃÑÇÕ°è " xfId="182" xr:uid="{00000000-0005-0000-0000-000061040000}"/>
    <cellStyle name="Calc Currency (0)" xfId="183" xr:uid="{00000000-0005-0000-0000-000062040000}"/>
    <cellStyle name="Calc Currency (2)" xfId="184" xr:uid="{00000000-0005-0000-0000-000063040000}"/>
    <cellStyle name="Calc Percent (0)" xfId="185" xr:uid="{00000000-0005-0000-0000-000064040000}"/>
    <cellStyle name="Calc Percent (1)" xfId="186" xr:uid="{00000000-0005-0000-0000-000065040000}"/>
    <cellStyle name="Calc Percent (2)" xfId="187" xr:uid="{00000000-0005-0000-0000-000066040000}"/>
    <cellStyle name="Calc Units (0)" xfId="188" xr:uid="{00000000-0005-0000-0000-000067040000}"/>
    <cellStyle name="Calc Units (1)" xfId="189" xr:uid="{00000000-0005-0000-0000-000068040000}"/>
    <cellStyle name="Calc Units (2)" xfId="190" xr:uid="{00000000-0005-0000-0000-000069040000}"/>
    <cellStyle name="Calculation 2" xfId="191" xr:uid="{00000000-0005-0000-0000-00006A040000}"/>
    <cellStyle name="Calculation 2 10" xfId="9074" xr:uid="{00000000-0005-0000-0000-00006B040000}"/>
    <cellStyle name="Calculation 2 10 2" xfId="11051" xr:uid="{00000000-0005-0000-0000-00006C040000}"/>
    <cellStyle name="Calculation 2 11" xfId="10271" xr:uid="{00000000-0005-0000-0000-00006D040000}"/>
    <cellStyle name="Calculation 2 2" xfId="7704" xr:uid="{00000000-0005-0000-0000-00006E040000}"/>
    <cellStyle name="Calculation 2 2 2" xfId="7954" xr:uid="{00000000-0005-0000-0000-00006F040000}"/>
    <cellStyle name="Calculation 2 2 2 2" xfId="9824" xr:uid="{00000000-0005-0000-0000-000070040000}"/>
    <cellStyle name="Calculation 2 2 2 2 2" xfId="12511" xr:uid="{00000000-0005-0000-0000-000071040000}"/>
    <cellStyle name="Calculation 2 2 2 3" xfId="11797" xr:uid="{00000000-0005-0000-0000-000072040000}"/>
    <cellStyle name="Calculation 2 2 3" xfId="7022" xr:uid="{00000000-0005-0000-0000-000073040000}"/>
    <cellStyle name="Calculation 2 2 3 2" xfId="9319" xr:uid="{00000000-0005-0000-0000-000074040000}"/>
    <cellStyle name="Calculation 2 2 3 2 2" xfId="12177" xr:uid="{00000000-0005-0000-0000-000075040000}"/>
    <cellStyle name="Calculation 2 2 3 3" xfId="11292" xr:uid="{00000000-0005-0000-0000-000076040000}"/>
    <cellStyle name="Calculation 2 2 4" xfId="8759" xr:uid="{00000000-0005-0000-0000-000077040000}"/>
    <cellStyle name="Calculation 2 2 4 2" xfId="12408" xr:uid="{00000000-0005-0000-0000-000078040000}"/>
    <cellStyle name="Calculation 2 2 5" xfId="10789" xr:uid="{00000000-0005-0000-0000-000079040000}"/>
    <cellStyle name="Calculation 2 3" xfId="7357" xr:uid="{00000000-0005-0000-0000-00007A040000}"/>
    <cellStyle name="Calculation 2 3 2" xfId="6831" xr:uid="{00000000-0005-0000-0000-00007B040000}"/>
    <cellStyle name="Calculation 2 3 2 2" xfId="9558" xr:uid="{00000000-0005-0000-0000-00007C040000}"/>
    <cellStyle name="Calculation 2 3 2 2 2" xfId="12169" xr:uid="{00000000-0005-0000-0000-00007D040000}"/>
    <cellStyle name="Calculation 2 3 2 3" xfId="11531" xr:uid="{00000000-0005-0000-0000-00007E040000}"/>
    <cellStyle name="Calculation 2 3 3" xfId="8428" xr:uid="{00000000-0005-0000-0000-00007F040000}"/>
    <cellStyle name="Calculation 2 3 3 2" xfId="12216" xr:uid="{00000000-0005-0000-0000-000080040000}"/>
    <cellStyle name="Calculation 2 3 4" xfId="10458" xr:uid="{00000000-0005-0000-0000-000081040000}"/>
    <cellStyle name="Calculation 2 4" xfId="7709" xr:uid="{00000000-0005-0000-0000-000082040000}"/>
    <cellStyle name="Calculation 2 4 2" xfId="7191" xr:uid="{00000000-0005-0000-0000-000083040000}"/>
    <cellStyle name="Calculation 2 4 2 2" xfId="9829" xr:uid="{00000000-0005-0000-0000-000084040000}"/>
    <cellStyle name="Calculation 2 4 2 2 2" xfId="12183" xr:uid="{00000000-0005-0000-0000-000085040000}"/>
    <cellStyle name="Calculation 2 4 2 3" xfId="11802" xr:uid="{00000000-0005-0000-0000-000086040000}"/>
    <cellStyle name="Calculation 2 4 3" xfId="8764" xr:uid="{00000000-0005-0000-0000-000087040000}"/>
    <cellStyle name="Calculation 2 4 3 2" xfId="12412" xr:uid="{00000000-0005-0000-0000-000088040000}"/>
    <cellStyle name="Calculation 2 4 4" xfId="10794" xr:uid="{00000000-0005-0000-0000-000089040000}"/>
    <cellStyle name="Calculation 2 5" xfId="7499" xr:uid="{00000000-0005-0000-0000-00008A040000}"/>
    <cellStyle name="Calculation 2 5 2" xfId="7200" xr:uid="{00000000-0005-0000-0000-00008B040000}"/>
    <cellStyle name="Calculation 2 5 2 2" xfId="9446" xr:uid="{00000000-0005-0000-0000-00008C040000}"/>
    <cellStyle name="Calculation 2 5 2 2 2" xfId="12184" xr:uid="{00000000-0005-0000-0000-00008D040000}"/>
    <cellStyle name="Calculation 2 5 2 3" xfId="11419" xr:uid="{00000000-0005-0000-0000-00008E040000}"/>
    <cellStyle name="Calculation 2 5 3" xfId="8566" xr:uid="{00000000-0005-0000-0000-00008F040000}"/>
    <cellStyle name="Calculation 2 5 3 2" xfId="12667" xr:uid="{00000000-0005-0000-0000-000090040000}"/>
    <cellStyle name="Calculation 2 5 4" xfId="10596" xr:uid="{00000000-0005-0000-0000-000091040000}"/>
    <cellStyle name="Calculation 2 6" xfId="7465" xr:uid="{00000000-0005-0000-0000-000092040000}"/>
    <cellStyle name="Calculation 2 6 2" xfId="7078" xr:uid="{00000000-0005-0000-0000-000093040000}"/>
    <cellStyle name="Calculation 2 6 2 2" xfId="9638" xr:uid="{00000000-0005-0000-0000-000094040000}"/>
    <cellStyle name="Calculation 2 6 2 2 2" xfId="12180" xr:uid="{00000000-0005-0000-0000-000095040000}"/>
    <cellStyle name="Calculation 2 6 2 3" xfId="11611" xr:uid="{00000000-0005-0000-0000-000096040000}"/>
    <cellStyle name="Calculation 2 6 3" xfId="8532" xr:uid="{00000000-0005-0000-0000-000097040000}"/>
    <cellStyle name="Calculation 2 6 3 2" xfId="12659" xr:uid="{00000000-0005-0000-0000-000098040000}"/>
    <cellStyle name="Calculation 2 6 4" xfId="10562" xr:uid="{00000000-0005-0000-0000-000099040000}"/>
    <cellStyle name="Calculation 2 7" xfId="7795" xr:uid="{00000000-0005-0000-0000-00009A040000}"/>
    <cellStyle name="Calculation 2 7 2" xfId="7025" xr:uid="{00000000-0005-0000-0000-00009B040000}"/>
    <cellStyle name="Calculation 2 7 2 2" xfId="9903" xr:uid="{00000000-0005-0000-0000-00009C040000}"/>
    <cellStyle name="Calculation 2 7 2 2 2" xfId="12178" xr:uid="{00000000-0005-0000-0000-00009D040000}"/>
    <cellStyle name="Calculation 2 7 2 3" xfId="11876" xr:uid="{00000000-0005-0000-0000-00009E040000}"/>
    <cellStyle name="Calculation 2 7 3" xfId="8847" xr:uid="{00000000-0005-0000-0000-00009F040000}"/>
    <cellStyle name="Calculation 2 7 3 2" xfId="12754" xr:uid="{00000000-0005-0000-0000-0000A0040000}"/>
    <cellStyle name="Calculation 2 7 4" xfId="10877" xr:uid="{00000000-0005-0000-0000-0000A1040000}"/>
    <cellStyle name="Calculation 2 8" xfId="7810" xr:uid="{00000000-0005-0000-0000-0000A2040000}"/>
    <cellStyle name="Calculation 2 8 2" xfId="7959" xr:uid="{00000000-0005-0000-0000-0000A3040000}"/>
    <cellStyle name="Calculation 2 8 2 2" xfId="9913" xr:uid="{00000000-0005-0000-0000-0000A4040000}"/>
    <cellStyle name="Calculation 2 8 2 2 2" xfId="12512" xr:uid="{00000000-0005-0000-0000-0000A5040000}"/>
    <cellStyle name="Calculation 2 8 2 3" xfId="11886" xr:uid="{00000000-0005-0000-0000-0000A6040000}"/>
    <cellStyle name="Calculation 2 8 3" xfId="8070" xr:uid="{00000000-0005-0000-0000-0000A7040000}"/>
    <cellStyle name="Calculation 2 8 3 2" xfId="10100" xr:uid="{00000000-0005-0000-0000-0000A8040000}"/>
    <cellStyle name="Calculation 2 8 3 2 2" xfId="12515" xr:uid="{00000000-0005-0000-0000-0000A9040000}"/>
    <cellStyle name="Calculation 2 8 3 3" xfId="12073" xr:uid="{00000000-0005-0000-0000-0000AA040000}"/>
    <cellStyle name="Calculation 2 8 4" xfId="8857" xr:uid="{00000000-0005-0000-0000-0000AB040000}"/>
    <cellStyle name="Calculation 2 8 4 2" xfId="12756" xr:uid="{00000000-0005-0000-0000-0000AC040000}"/>
    <cellStyle name="Calculation 2 8 5" xfId="10887" xr:uid="{00000000-0005-0000-0000-0000AD040000}"/>
    <cellStyle name="Calculation 2 9" xfId="8241" xr:uid="{00000000-0005-0000-0000-0000AE040000}"/>
    <cellStyle name="Calculation 2 9 2" xfId="9023" xr:uid="{00000000-0005-0000-0000-0000AF040000}"/>
    <cellStyle name="Calculation 2 9 2 2" xfId="12769" xr:uid="{00000000-0005-0000-0000-0000B0040000}"/>
    <cellStyle name="Calculation 2 9 3" xfId="11042" xr:uid="{00000000-0005-0000-0000-0000B1040000}"/>
    <cellStyle name="category" xfId="192" xr:uid="{00000000-0005-0000-0000-0000B2040000}"/>
    <cellStyle name="Check Cell 2" xfId="193" xr:uid="{00000000-0005-0000-0000-000071190000}"/>
    <cellStyle name="Chi phÝ kh¸c_Book1" xfId="194" xr:uid="{00000000-0005-0000-0000-000072190000}"/>
    <cellStyle name="Chuẩn 2" xfId="195" xr:uid="{00000000-0005-0000-0000-000073190000}"/>
    <cellStyle name="Chuẩn 3" xfId="196" xr:uid="{00000000-0005-0000-0000-000074190000}"/>
    <cellStyle name="Chuẩn 3 2" xfId="197" xr:uid="{00000000-0005-0000-0000-000075190000}"/>
    <cellStyle name="Chuẩn 3 3" xfId="198" xr:uid="{00000000-0005-0000-0000-000076190000}"/>
    <cellStyle name="Chuẩn 3 4" xfId="199" xr:uid="{00000000-0005-0000-0000-000077190000}"/>
    <cellStyle name="Chuẩn 3_2d" xfId="200" xr:uid="{00000000-0005-0000-0000-000078190000}"/>
    <cellStyle name="Chuẩn 5" xfId="201" xr:uid="{00000000-0005-0000-0000-000079190000}"/>
    <cellStyle name="Chuẩn 6" xfId="202" xr:uid="{00000000-0005-0000-0000-00007A190000}"/>
    <cellStyle name="Comma" xfId="203" builtinId="3"/>
    <cellStyle name="Comma  - Style1" xfId="204" xr:uid="{00000000-0005-0000-0000-0000B4040000}"/>
    <cellStyle name="Comma  - Style2" xfId="205" xr:uid="{00000000-0005-0000-0000-0000B5040000}"/>
    <cellStyle name="Comma  - Style3" xfId="206" xr:uid="{00000000-0005-0000-0000-0000B6040000}"/>
    <cellStyle name="Comma  - Style4" xfId="207" xr:uid="{00000000-0005-0000-0000-0000B7040000}"/>
    <cellStyle name="Comma  - Style5" xfId="208" xr:uid="{00000000-0005-0000-0000-0000B8040000}"/>
    <cellStyle name="Comma  - Style6" xfId="209" xr:uid="{00000000-0005-0000-0000-0000B9040000}"/>
    <cellStyle name="Comma  - Style7" xfId="210" xr:uid="{00000000-0005-0000-0000-0000BA040000}"/>
    <cellStyle name="Comma  - Style8" xfId="211" xr:uid="{00000000-0005-0000-0000-0000BB040000}"/>
    <cellStyle name="Comma [0]" xfId="212" builtinId="6"/>
    <cellStyle name="Comma [0] 18" xfId="213" xr:uid="{00000000-0005-0000-0000-0000BD040000}"/>
    <cellStyle name="Comma [0] 2" xfId="214" xr:uid="{00000000-0005-0000-0000-0000BE040000}"/>
    <cellStyle name="Comma [0] 2 10" xfId="2843" xr:uid="{00000000-0005-0000-0000-0000BF040000}"/>
    <cellStyle name="Comma [0] 2 11" xfId="2860" xr:uid="{00000000-0005-0000-0000-0000C0040000}"/>
    <cellStyle name="Comma [0] 2 12" xfId="4419" xr:uid="{00000000-0005-0000-0000-0000C1040000}"/>
    <cellStyle name="Comma [0] 2 13" xfId="4488" xr:uid="{00000000-0005-0000-0000-0000C2040000}"/>
    <cellStyle name="Comma [0] 2 2" xfId="1702" xr:uid="{00000000-0005-0000-0000-0000C3040000}"/>
    <cellStyle name="Comma [0] 2 3" xfId="1817" xr:uid="{00000000-0005-0000-0000-0000C4040000}"/>
    <cellStyle name="Comma [0] 2 4" xfId="1844" xr:uid="{00000000-0005-0000-0000-0000C5040000}"/>
    <cellStyle name="Comma [0] 2 5" xfId="1816" xr:uid="{00000000-0005-0000-0000-0000C6040000}"/>
    <cellStyle name="Comma [0] 2 6" xfId="1859" xr:uid="{00000000-0005-0000-0000-0000C7040000}"/>
    <cellStyle name="Comma [0] 2 7" xfId="2126" xr:uid="{00000000-0005-0000-0000-0000C8040000}"/>
    <cellStyle name="Comma [0] 2 8" xfId="2159" xr:uid="{00000000-0005-0000-0000-0000C9040000}"/>
    <cellStyle name="Comma [0] 2 9" xfId="2127" xr:uid="{00000000-0005-0000-0000-0000CA040000}"/>
    <cellStyle name="Comma [0] 3" xfId="215" xr:uid="{00000000-0005-0000-0000-0000CB040000}"/>
    <cellStyle name="Comma [0] 4" xfId="216" xr:uid="{00000000-0005-0000-0000-0000CC040000}"/>
    <cellStyle name="Comma [0] 4 3" xfId="217" xr:uid="{00000000-0005-0000-0000-0000CD040000}"/>
    <cellStyle name="Comma [0] 4 3 2" xfId="218" xr:uid="{00000000-0005-0000-0000-0000CE040000}"/>
    <cellStyle name="Comma [0] 4 3 2 2" xfId="219" xr:uid="{00000000-0005-0000-0000-0000CF040000}"/>
    <cellStyle name="Comma [0] 4 3 2 3" xfId="220" xr:uid="{00000000-0005-0000-0000-0000D0040000}"/>
    <cellStyle name="Comma [0] 4 3 2 4" xfId="221" xr:uid="{00000000-0005-0000-0000-0000D1040000}"/>
    <cellStyle name="Comma [0] 4 3 2 5" xfId="222" xr:uid="{00000000-0005-0000-0000-0000D2040000}"/>
    <cellStyle name="Comma [0] 4 3 2 6" xfId="223" xr:uid="{00000000-0005-0000-0000-0000D3040000}"/>
    <cellStyle name="Comma [0] 4 3 2 7" xfId="224" xr:uid="{00000000-0005-0000-0000-0000D4040000}"/>
    <cellStyle name="Comma [0] 4 3 3" xfId="225" xr:uid="{00000000-0005-0000-0000-0000D5040000}"/>
    <cellStyle name="Comma [0] 4 3 4" xfId="226" xr:uid="{00000000-0005-0000-0000-0000D6040000}"/>
    <cellStyle name="Comma [0] 4 3 5" xfId="227" xr:uid="{00000000-0005-0000-0000-0000D7040000}"/>
    <cellStyle name="Comma [0] 4 3 6" xfId="228" xr:uid="{00000000-0005-0000-0000-0000D8040000}"/>
    <cellStyle name="Comma [0] 4 3 7" xfId="229" xr:uid="{00000000-0005-0000-0000-0000D9040000}"/>
    <cellStyle name="Comma [0] 4 3 8" xfId="230" xr:uid="{00000000-0005-0000-0000-0000DA040000}"/>
    <cellStyle name="Comma [0] 4 3 9" xfId="231" xr:uid="{00000000-0005-0000-0000-0000DB040000}"/>
    <cellStyle name="Comma [0] 5" xfId="232" xr:uid="{00000000-0005-0000-0000-0000DC040000}"/>
    <cellStyle name="Comma [00]" xfId="233" xr:uid="{00000000-0005-0000-0000-0000DD040000}"/>
    <cellStyle name="Comma 10" xfId="234" xr:uid="{00000000-0005-0000-0000-0000DE040000}"/>
    <cellStyle name="Comma 10 10" xfId="235" xr:uid="{00000000-0005-0000-0000-0000DF040000}"/>
    <cellStyle name="Comma 10 10 10" xfId="236" xr:uid="{00000000-0005-0000-0000-0000E0040000}"/>
    <cellStyle name="Comma 10 10 11" xfId="237" xr:uid="{00000000-0005-0000-0000-0000E1040000}"/>
    <cellStyle name="Comma 10 10 2" xfId="238" xr:uid="{00000000-0005-0000-0000-0000E2040000}"/>
    <cellStyle name="Comma 10 10 2 10" xfId="239" xr:uid="{00000000-0005-0000-0000-0000E3040000}"/>
    <cellStyle name="Comma 10 10 2 2" xfId="240" xr:uid="{00000000-0005-0000-0000-0000E4040000}"/>
    <cellStyle name="Comma 10 10 2 2 10" xfId="241" xr:uid="{00000000-0005-0000-0000-0000E5040000}"/>
    <cellStyle name="Comma 10 10 2 2 2" xfId="242" xr:uid="{00000000-0005-0000-0000-0000E6040000}"/>
    <cellStyle name="Comma 10 10 2 2 2 2" xfId="243" xr:uid="{00000000-0005-0000-0000-0000E7040000}"/>
    <cellStyle name="Comma 10 10 2 2 2 2 10" xfId="244" xr:uid="{00000000-0005-0000-0000-0000E8040000}"/>
    <cellStyle name="Comma 10 10 2 2 2 2 11" xfId="245" xr:uid="{00000000-0005-0000-0000-0000E9040000}"/>
    <cellStyle name="Comma 10 10 2 2 2 2 2" xfId="246" xr:uid="{00000000-0005-0000-0000-0000EA040000}"/>
    <cellStyle name="Comma 10 10 2 2 2 2 3" xfId="247" xr:uid="{00000000-0005-0000-0000-0000EB040000}"/>
    <cellStyle name="Comma 10 10 2 2 2 2 4" xfId="248" xr:uid="{00000000-0005-0000-0000-0000EC040000}"/>
    <cellStyle name="Comma 10 10 2 2 2 2 5" xfId="249" xr:uid="{00000000-0005-0000-0000-0000ED040000}"/>
    <cellStyle name="Comma 10 10 2 2 2 2 6" xfId="250" xr:uid="{00000000-0005-0000-0000-0000EE040000}"/>
    <cellStyle name="Comma 10 10 2 2 2 2 7" xfId="251" xr:uid="{00000000-0005-0000-0000-0000EF040000}"/>
    <cellStyle name="Comma 10 10 2 2 2 2 8" xfId="252" xr:uid="{00000000-0005-0000-0000-0000F0040000}"/>
    <cellStyle name="Comma 10 10 2 2 2 2 9" xfId="253" xr:uid="{00000000-0005-0000-0000-0000F1040000}"/>
    <cellStyle name="Comma 10 10 2 2 2 3" xfId="254" xr:uid="{00000000-0005-0000-0000-0000F2040000}"/>
    <cellStyle name="Comma 10 10 2 2 2 4" xfId="255" xr:uid="{00000000-0005-0000-0000-0000F3040000}"/>
    <cellStyle name="Comma 10 10 2 2 2 5" xfId="256" xr:uid="{00000000-0005-0000-0000-0000F4040000}"/>
    <cellStyle name="Comma 10 10 2 2 2 6" xfId="257" xr:uid="{00000000-0005-0000-0000-0000F5040000}"/>
    <cellStyle name="Comma 10 10 2 2 2 7" xfId="258" xr:uid="{00000000-0005-0000-0000-0000F6040000}"/>
    <cellStyle name="Comma 10 10 2 2 2 8" xfId="259" xr:uid="{00000000-0005-0000-0000-0000F7040000}"/>
    <cellStyle name="Comma 10 10 2 2 2 9" xfId="260" xr:uid="{00000000-0005-0000-0000-0000F8040000}"/>
    <cellStyle name="Comma 10 10 2 2 3" xfId="261" xr:uid="{00000000-0005-0000-0000-0000F9040000}"/>
    <cellStyle name="Comma 10 10 2 2 3 2" xfId="262" xr:uid="{00000000-0005-0000-0000-0000FA040000}"/>
    <cellStyle name="Comma 10 10 2 2 3 3" xfId="263" xr:uid="{00000000-0005-0000-0000-0000FB040000}"/>
    <cellStyle name="Comma 10 10 2 2 3 4" xfId="264" xr:uid="{00000000-0005-0000-0000-0000FC040000}"/>
    <cellStyle name="Comma 10 10 2 2 3 5" xfId="265" xr:uid="{00000000-0005-0000-0000-0000FD040000}"/>
    <cellStyle name="Comma 10 10 2 2 3 6" xfId="266" xr:uid="{00000000-0005-0000-0000-0000FE040000}"/>
    <cellStyle name="Comma 10 10 2 2 3 7" xfId="267" xr:uid="{00000000-0005-0000-0000-0000FF040000}"/>
    <cellStyle name="Comma 10 10 2 2 4" xfId="268" xr:uid="{00000000-0005-0000-0000-000000050000}"/>
    <cellStyle name="Comma 10 10 2 2 5" xfId="269" xr:uid="{00000000-0005-0000-0000-000001050000}"/>
    <cellStyle name="Comma 10 10 2 2 6" xfId="270" xr:uid="{00000000-0005-0000-0000-000002050000}"/>
    <cellStyle name="Comma 10 10 2 2 7" xfId="271" xr:uid="{00000000-0005-0000-0000-000003050000}"/>
    <cellStyle name="Comma 10 10 2 2 8" xfId="272" xr:uid="{00000000-0005-0000-0000-000004050000}"/>
    <cellStyle name="Comma 10 10 2 2 9" xfId="273" xr:uid="{00000000-0005-0000-0000-000005050000}"/>
    <cellStyle name="Comma 10 10 2 3" xfId="274" xr:uid="{00000000-0005-0000-0000-000006050000}"/>
    <cellStyle name="Comma 10 10 2 3 2" xfId="275" xr:uid="{00000000-0005-0000-0000-000007050000}"/>
    <cellStyle name="Comma 10 10 2 3 3" xfId="276" xr:uid="{00000000-0005-0000-0000-000008050000}"/>
    <cellStyle name="Comma 10 10 2 3 4" xfId="277" xr:uid="{00000000-0005-0000-0000-000009050000}"/>
    <cellStyle name="Comma 10 10 2 3 4 2" xfId="13385" xr:uid="{00000000-0005-0000-0000-00000A050000}"/>
    <cellStyle name="Comma 10 10 2 3 5" xfId="278" xr:uid="{00000000-0005-0000-0000-00000B050000}"/>
    <cellStyle name="Comma 10 10 2 3 6" xfId="279" xr:uid="{00000000-0005-0000-0000-00000C050000}"/>
    <cellStyle name="Comma 10 10 2 3 7" xfId="280" xr:uid="{00000000-0005-0000-0000-00000D050000}"/>
    <cellStyle name="Comma 10 10 2 4" xfId="281" xr:uid="{00000000-0005-0000-0000-00000E050000}"/>
    <cellStyle name="Comma 10 10 2 5" xfId="282" xr:uid="{00000000-0005-0000-0000-00000F050000}"/>
    <cellStyle name="Comma 10 10 2 6" xfId="283" xr:uid="{00000000-0005-0000-0000-000010050000}"/>
    <cellStyle name="Comma 10 10 2 7" xfId="284" xr:uid="{00000000-0005-0000-0000-000011050000}"/>
    <cellStyle name="Comma 10 10 2 8" xfId="285" xr:uid="{00000000-0005-0000-0000-000012050000}"/>
    <cellStyle name="Comma 10 10 2 9" xfId="286" xr:uid="{00000000-0005-0000-0000-000013050000}"/>
    <cellStyle name="Comma 10 10 3" xfId="287" xr:uid="{00000000-0005-0000-0000-000014050000}"/>
    <cellStyle name="Comma 10 10 3 2" xfId="288" xr:uid="{00000000-0005-0000-0000-000015050000}"/>
    <cellStyle name="Comma 10 10 3 2 2" xfId="289" xr:uid="{00000000-0005-0000-0000-000016050000}"/>
    <cellStyle name="Comma 10 10 3 2 3" xfId="290" xr:uid="{00000000-0005-0000-0000-000017050000}"/>
    <cellStyle name="Comma 10 10 3 2 4" xfId="291" xr:uid="{00000000-0005-0000-0000-000018050000}"/>
    <cellStyle name="Comma 10 10 3 2 5" xfId="292" xr:uid="{00000000-0005-0000-0000-000019050000}"/>
    <cellStyle name="Comma 10 10 3 2 6" xfId="293" xr:uid="{00000000-0005-0000-0000-00001A050000}"/>
    <cellStyle name="Comma 10 10 3 2 7" xfId="294" xr:uid="{00000000-0005-0000-0000-00001B050000}"/>
    <cellStyle name="Comma 10 10 3 3" xfId="295" xr:uid="{00000000-0005-0000-0000-00001C050000}"/>
    <cellStyle name="Comma 10 10 3 4" xfId="296" xr:uid="{00000000-0005-0000-0000-00001D050000}"/>
    <cellStyle name="Comma 10 10 3 5" xfId="297" xr:uid="{00000000-0005-0000-0000-00001E050000}"/>
    <cellStyle name="Comma 10 10 3 6" xfId="298" xr:uid="{00000000-0005-0000-0000-00001F050000}"/>
    <cellStyle name="Comma 10 10 3 7" xfId="299" xr:uid="{00000000-0005-0000-0000-000020050000}"/>
    <cellStyle name="Comma 10 10 3 8" xfId="300" xr:uid="{00000000-0005-0000-0000-000021050000}"/>
    <cellStyle name="Comma 10 10 3 9" xfId="301" xr:uid="{00000000-0005-0000-0000-000022050000}"/>
    <cellStyle name="Comma 10 10 4" xfId="302" xr:uid="{00000000-0005-0000-0000-000023050000}"/>
    <cellStyle name="Comma 10 10 4 2" xfId="303" xr:uid="{00000000-0005-0000-0000-000024050000}"/>
    <cellStyle name="Comma 10 10 4 3" xfId="304" xr:uid="{00000000-0005-0000-0000-000025050000}"/>
    <cellStyle name="Comma 10 10 4 4" xfId="305" xr:uid="{00000000-0005-0000-0000-000026050000}"/>
    <cellStyle name="Comma 10 10 4 5" xfId="306" xr:uid="{00000000-0005-0000-0000-000027050000}"/>
    <cellStyle name="Comma 10 10 4 6" xfId="307" xr:uid="{00000000-0005-0000-0000-000028050000}"/>
    <cellStyle name="Comma 10 10 4 7" xfId="308" xr:uid="{00000000-0005-0000-0000-000029050000}"/>
    <cellStyle name="Comma 10 10 5" xfId="309" xr:uid="{00000000-0005-0000-0000-00002A050000}"/>
    <cellStyle name="Comma 10 10 6" xfId="310" xr:uid="{00000000-0005-0000-0000-00002B050000}"/>
    <cellStyle name="Comma 10 10 7" xfId="311" xr:uid="{00000000-0005-0000-0000-00002C050000}"/>
    <cellStyle name="Comma 10 10 8" xfId="312" xr:uid="{00000000-0005-0000-0000-00002D050000}"/>
    <cellStyle name="Comma 10 10 9" xfId="313" xr:uid="{00000000-0005-0000-0000-00002E050000}"/>
    <cellStyle name="Comma 10 11" xfId="314" xr:uid="{00000000-0005-0000-0000-00002F050000}"/>
    <cellStyle name="Comma 10 11 2" xfId="315" xr:uid="{00000000-0005-0000-0000-000030050000}"/>
    <cellStyle name="Comma 10 11 3" xfId="316" xr:uid="{00000000-0005-0000-0000-000031050000}"/>
    <cellStyle name="Comma 10 11 4" xfId="317" xr:uid="{00000000-0005-0000-0000-000032050000}"/>
    <cellStyle name="Comma 10 11 5" xfId="318" xr:uid="{00000000-0005-0000-0000-000033050000}"/>
    <cellStyle name="Comma 10 11 6" xfId="319" xr:uid="{00000000-0005-0000-0000-000034050000}"/>
    <cellStyle name="Comma 10 11 7" xfId="320" xr:uid="{00000000-0005-0000-0000-000035050000}"/>
    <cellStyle name="Comma 10 12" xfId="321" xr:uid="{00000000-0005-0000-0000-000036050000}"/>
    <cellStyle name="Comma 10 12 2" xfId="322" xr:uid="{00000000-0005-0000-0000-000037050000}"/>
    <cellStyle name="Comma 10 12 3" xfId="323" xr:uid="{00000000-0005-0000-0000-000038050000}"/>
    <cellStyle name="Comma 10 12 4" xfId="324" xr:uid="{00000000-0005-0000-0000-000039050000}"/>
    <cellStyle name="Comma 10 12 5" xfId="325" xr:uid="{00000000-0005-0000-0000-00003A050000}"/>
    <cellStyle name="Comma 10 12 6" xfId="326" xr:uid="{00000000-0005-0000-0000-00003B050000}"/>
    <cellStyle name="Comma 10 12 7" xfId="327" xr:uid="{00000000-0005-0000-0000-00003C050000}"/>
    <cellStyle name="Comma 10 13" xfId="328" xr:uid="{00000000-0005-0000-0000-00003D050000}"/>
    <cellStyle name="Comma 10 13 2" xfId="329" xr:uid="{00000000-0005-0000-0000-00003E050000}"/>
    <cellStyle name="Comma 10 13 3" xfId="330" xr:uid="{00000000-0005-0000-0000-00003F050000}"/>
    <cellStyle name="Comma 10 13 4" xfId="331" xr:uid="{00000000-0005-0000-0000-000040050000}"/>
    <cellStyle name="Comma 10 13 5" xfId="332" xr:uid="{00000000-0005-0000-0000-000041050000}"/>
    <cellStyle name="Comma 10 13 6" xfId="333" xr:uid="{00000000-0005-0000-0000-000042050000}"/>
    <cellStyle name="Comma 10 13 7" xfId="334" xr:uid="{00000000-0005-0000-0000-000043050000}"/>
    <cellStyle name="Comma 10 2" xfId="335" xr:uid="{00000000-0005-0000-0000-000044050000}"/>
    <cellStyle name="Comma 10 2 2" xfId="336" xr:uid="{00000000-0005-0000-0000-000045050000}"/>
    <cellStyle name="Comma 10 2 3" xfId="337" xr:uid="{00000000-0005-0000-0000-000046050000}"/>
    <cellStyle name="Comma 10 2 4" xfId="338" xr:uid="{00000000-0005-0000-0000-000047050000}"/>
    <cellStyle name="Comma 10 2 5" xfId="339" xr:uid="{00000000-0005-0000-0000-000048050000}"/>
    <cellStyle name="Comma 10 2 6" xfId="340" xr:uid="{00000000-0005-0000-0000-000049050000}"/>
    <cellStyle name="Comma 10 2 7" xfId="341" xr:uid="{00000000-0005-0000-0000-00004A050000}"/>
    <cellStyle name="Comma 10 2 8" xfId="342" xr:uid="{00000000-0005-0000-0000-00004B050000}"/>
    <cellStyle name="Comma 10 2 9" xfId="343" xr:uid="{00000000-0005-0000-0000-00004C050000}"/>
    <cellStyle name="Comma 10 3" xfId="344" xr:uid="{00000000-0005-0000-0000-00004D050000}"/>
    <cellStyle name="Comma 10 3 2" xfId="345" xr:uid="{00000000-0005-0000-0000-00004E050000}"/>
    <cellStyle name="Comma 10 3 2 2" xfId="346" xr:uid="{00000000-0005-0000-0000-00004F050000}"/>
    <cellStyle name="Comma 10 3 2 2 2" xfId="347" xr:uid="{00000000-0005-0000-0000-000050050000}"/>
    <cellStyle name="Comma 10 3 2 2 3" xfId="348" xr:uid="{00000000-0005-0000-0000-000051050000}"/>
    <cellStyle name="Comma 10 3 2 2 4" xfId="349" xr:uid="{00000000-0005-0000-0000-000052050000}"/>
    <cellStyle name="Comma 10 3 2 2 5" xfId="350" xr:uid="{00000000-0005-0000-0000-000053050000}"/>
    <cellStyle name="Comma 10 3 2 2 6" xfId="351" xr:uid="{00000000-0005-0000-0000-000054050000}"/>
    <cellStyle name="Comma 10 3 2 2 7" xfId="352" xr:uid="{00000000-0005-0000-0000-000055050000}"/>
    <cellStyle name="Comma 10 3 2 3" xfId="353" xr:uid="{00000000-0005-0000-0000-000056050000}"/>
    <cellStyle name="Comma 10 3 2 4" xfId="354" xr:uid="{00000000-0005-0000-0000-000057050000}"/>
    <cellStyle name="Comma 10 3 2 5" xfId="355" xr:uid="{00000000-0005-0000-0000-000058050000}"/>
    <cellStyle name="Comma 10 3 2 6" xfId="356" xr:uid="{00000000-0005-0000-0000-000059050000}"/>
    <cellStyle name="Comma 10 3 2 7" xfId="357" xr:uid="{00000000-0005-0000-0000-00005A050000}"/>
    <cellStyle name="Comma 10 3 2 8" xfId="358" xr:uid="{00000000-0005-0000-0000-00005B050000}"/>
    <cellStyle name="Comma 10 3 2 9" xfId="359" xr:uid="{00000000-0005-0000-0000-00005C050000}"/>
    <cellStyle name="Comma 10 3 4" xfId="360" xr:uid="{00000000-0005-0000-0000-00005D050000}"/>
    <cellStyle name="Comma 10 3 4 2" xfId="361" xr:uid="{00000000-0005-0000-0000-00005E050000}"/>
    <cellStyle name="Comma 10 3 4 2 2" xfId="362" xr:uid="{00000000-0005-0000-0000-00005F050000}"/>
    <cellStyle name="Comma 10 3 4 2 3" xfId="363" xr:uid="{00000000-0005-0000-0000-000060050000}"/>
    <cellStyle name="Comma 10 3 4 2 4" xfId="364" xr:uid="{00000000-0005-0000-0000-000061050000}"/>
    <cellStyle name="Comma 10 3 4 2 5" xfId="365" xr:uid="{00000000-0005-0000-0000-000062050000}"/>
    <cellStyle name="Comma 10 3 4 2 6" xfId="366" xr:uid="{00000000-0005-0000-0000-000063050000}"/>
    <cellStyle name="Comma 10 3 4 2 7" xfId="367" xr:uid="{00000000-0005-0000-0000-000064050000}"/>
    <cellStyle name="Comma 10 3 4 3" xfId="368" xr:uid="{00000000-0005-0000-0000-000065050000}"/>
    <cellStyle name="Comma 10 3 4 4" xfId="369" xr:uid="{00000000-0005-0000-0000-000066050000}"/>
    <cellStyle name="Comma 10 3 4 5" xfId="370" xr:uid="{00000000-0005-0000-0000-000067050000}"/>
    <cellStyle name="Comma 10 3 4 6" xfId="371" xr:uid="{00000000-0005-0000-0000-000068050000}"/>
    <cellStyle name="Comma 10 3 4 7" xfId="372" xr:uid="{00000000-0005-0000-0000-000069050000}"/>
    <cellStyle name="Comma 10 3 4 8" xfId="373" xr:uid="{00000000-0005-0000-0000-00006A050000}"/>
    <cellStyle name="Comma 10 3 4 9" xfId="374" xr:uid="{00000000-0005-0000-0000-00006B050000}"/>
    <cellStyle name="Comma 10 4" xfId="375" xr:uid="{00000000-0005-0000-0000-00006C050000}"/>
    <cellStyle name="Comma 10 4 2" xfId="376" xr:uid="{00000000-0005-0000-0000-00006D050000}"/>
    <cellStyle name="Comma 10 4 2 2" xfId="377" xr:uid="{00000000-0005-0000-0000-00006E050000}"/>
    <cellStyle name="Comma 10 4 2 2 2" xfId="378" xr:uid="{00000000-0005-0000-0000-00006F050000}"/>
    <cellStyle name="Comma 10 4 2 2 3" xfId="379" xr:uid="{00000000-0005-0000-0000-000070050000}"/>
    <cellStyle name="Comma 10 4 2 2 4" xfId="380" xr:uid="{00000000-0005-0000-0000-000071050000}"/>
    <cellStyle name="Comma 10 4 2 2 5" xfId="381" xr:uid="{00000000-0005-0000-0000-000072050000}"/>
    <cellStyle name="Comma 10 4 2 2 6" xfId="382" xr:uid="{00000000-0005-0000-0000-000073050000}"/>
    <cellStyle name="Comma 10 4 2 2 7" xfId="383" xr:uid="{00000000-0005-0000-0000-000074050000}"/>
    <cellStyle name="Comma 10 4 2 3" xfId="384" xr:uid="{00000000-0005-0000-0000-000075050000}"/>
    <cellStyle name="Comma 10 4 2 4" xfId="385" xr:uid="{00000000-0005-0000-0000-000076050000}"/>
    <cellStyle name="Comma 10 4 2 5" xfId="386" xr:uid="{00000000-0005-0000-0000-000077050000}"/>
    <cellStyle name="Comma 10 4 2 6" xfId="387" xr:uid="{00000000-0005-0000-0000-000078050000}"/>
    <cellStyle name="Comma 10 4 2 7" xfId="388" xr:uid="{00000000-0005-0000-0000-000079050000}"/>
    <cellStyle name="Comma 10 4 2 8" xfId="389" xr:uid="{00000000-0005-0000-0000-00007A050000}"/>
    <cellStyle name="Comma 10 4 2 9" xfId="390" xr:uid="{00000000-0005-0000-0000-00007B050000}"/>
    <cellStyle name="Comma 10 4 3" xfId="391" xr:uid="{00000000-0005-0000-0000-00007C050000}"/>
    <cellStyle name="Comma 10 4 4" xfId="392" xr:uid="{00000000-0005-0000-0000-00007D050000}"/>
    <cellStyle name="Comma 10 4 5" xfId="393" xr:uid="{00000000-0005-0000-0000-00007E050000}"/>
    <cellStyle name="Comma 10 4 6" xfId="394" xr:uid="{00000000-0005-0000-0000-00007F050000}"/>
    <cellStyle name="Comma 10 4 7" xfId="395" xr:uid="{00000000-0005-0000-0000-000080050000}"/>
    <cellStyle name="Comma 10 4 8" xfId="396" xr:uid="{00000000-0005-0000-0000-000081050000}"/>
    <cellStyle name="Comma 10 5" xfId="397" xr:uid="{00000000-0005-0000-0000-000082050000}"/>
    <cellStyle name="Comma 10 5 2" xfId="398" xr:uid="{00000000-0005-0000-0000-000083050000}"/>
    <cellStyle name="Comma 10 5 3" xfId="399" xr:uid="{00000000-0005-0000-0000-000084050000}"/>
    <cellStyle name="Comma 10 5 4" xfId="400" xr:uid="{00000000-0005-0000-0000-000085050000}"/>
    <cellStyle name="Comma 10 5 5" xfId="401" xr:uid="{00000000-0005-0000-0000-000086050000}"/>
    <cellStyle name="Comma 10 5 6" xfId="402" xr:uid="{00000000-0005-0000-0000-000087050000}"/>
    <cellStyle name="Comma 10 5 7" xfId="403" xr:uid="{00000000-0005-0000-0000-000088050000}"/>
    <cellStyle name="Comma 10 5 8" xfId="13402" xr:uid="{00000000-0005-0000-0000-000089050000}"/>
    <cellStyle name="Comma 10 6" xfId="404" xr:uid="{00000000-0005-0000-0000-00008A050000}"/>
    <cellStyle name="Comma 10 6 2" xfId="405" xr:uid="{00000000-0005-0000-0000-00008B050000}"/>
    <cellStyle name="Comma 10 6 3" xfId="406" xr:uid="{00000000-0005-0000-0000-00008C050000}"/>
    <cellStyle name="Comma 10 6 4" xfId="407" xr:uid="{00000000-0005-0000-0000-00008D050000}"/>
    <cellStyle name="Comma 10 6 5" xfId="408" xr:uid="{00000000-0005-0000-0000-00008E050000}"/>
    <cellStyle name="Comma 10 6 6" xfId="409" xr:uid="{00000000-0005-0000-0000-00008F050000}"/>
    <cellStyle name="Comma 10 6 7" xfId="410" xr:uid="{00000000-0005-0000-0000-000090050000}"/>
    <cellStyle name="Comma 10 7" xfId="411" xr:uid="{00000000-0005-0000-0000-000091050000}"/>
    <cellStyle name="Comma 10 7 2" xfId="412" xr:uid="{00000000-0005-0000-0000-000092050000}"/>
    <cellStyle name="Comma 10 7 3" xfId="413" xr:uid="{00000000-0005-0000-0000-000093050000}"/>
    <cellStyle name="Comma 10 7 4" xfId="414" xr:uid="{00000000-0005-0000-0000-000094050000}"/>
    <cellStyle name="Comma 10 7 5" xfId="415" xr:uid="{00000000-0005-0000-0000-000095050000}"/>
    <cellStyle name="Comma 10 7 6" xfId="416" xr:uid="{00000000-0005-0000-0000-000096050000}"/>
    <cellStyle name="Comma 10 7 7" xfId="417" xr:uid="{00000000-0005-0000-0000-000097050000}"/>
    <cellStyle name="Comma 10 8" xfId="418" xr:uid="{00000000-0005-0000-0000-000098050000}"/>
    <cellStyle name="Comma 10 8 2" xfId="419" xr:uid="{00000000-0005-0000-0000-000099050000}"/>
    <cellStyle name="Comma 10 8 3" xfId="420" xr:uid="{00000000-0005-0000-0000-00009A050000}"/>
    <cellStyle name="Comma 10 8 4" xfId="421" xr:uid="{00000000-0005-0000-0000-00009B050000}"/>
    <cellStyle name="Comma 10 8 5" xfId="422" xr:uid="{00000000-0005-0000-0000-00009C050000}"/>
    <cellStyle name="Comma 10 8 6" xfId="423" xr:uid="{00000000-0005-0000-0000-00009D050000}"/>
    <cellStyle name="Comma 10 8 7" xfId="424" xr:uid="{00000000-0005-0000-0000-00009E050000}"/>
    <cellStyle name="Comma 10 9" xfId="425" xr:uid="{00000000-0005-0000-0000-00009F050000}"/>
    <cellStyle name="Comma 10 9 2" xfId="426" xr:uid="{00000000-0005-0000-0000-0000A0050000}"/>
    <cellStyle name="Comma 10 9 3" xfId="427" xr:uid="{00000000-0005-0000-0000-0000A1050000}"/>
    <cellStyle name="Comma 10 9 4" xfId="428" xr:uid="{00000000-0005-0000-0000-0000A2050000}"/>
    <cellStyle name="Comma 10 9 5" xfId="429" xr:uid="{00000000-0005-0000-0000-0000A3050000}"/>
    <cellStyle name="Comma 10 9 6" xfId="430" xr:uid="{00000000-0005-0000-0000-0000A4050000}"/>
    <cellStyle name="Comma 10 9 7" xfId="431" xr:uid="{00000000-0005-0000-0000-0000A5050000}"/>
    <cellStyle name="Comma 100" xfId="13416" xr:uid="{00000000-0005-0000-0000-0000A6050000}"/>
    <cellStyle name="Comma 102" xfId="13410" xr:uid="{00000000-0005-0000-0000-0000A7050000}"/>
    <cellStyle name="Comma 11" xfId="432" xr:uid="{00000000-0005-0000-0000-0000A8050000}"/>
    <cellStyle name="Comma 11 2" xfId="433" xr:uid="{00000000-0005-0000-0000-0000A9050000}"/>
    <cellStyle name="Comma 12" xfId="434" xr:uid="{00000000-0005-0000-0000-0000AA050000}"/>
    <cellStyle name="Comma 12 2" xfId="435" xr:uid="{00000000-0005-0000-0000-0000AB050000}"/>
    <cellStyle name="Comma 13" xfId="436" xr:uid="{00000000-0005-0000-0000-0000AC050000}"/>
    <cellStyle name="Comma 13 2" xfId="437" xr:uid="{00000000-0005-0000-0000-0000AD050000}"/>
    <cellStyle name="Comma 13 2 2" xfId="438" xr:uid="{00000000-0005-0000-0000-0000AE050000}"/>
    <cellStyle name="Comma 13 2 2 2 2" xfId="13408" xr:uid="{00000000-0005-0000-0000-0000AF050000}"/>
    <cellStyle name="Comma 14" xfId="439" xr:uid="{00000000-0005-0000-0000-0000B0050000}"/>
    <cellStyle name="Comma 14 2" xfId="440" xr:uid="{00000000-0005-0000-0000-0000B1050000}"/>
    <cellStyle name="Comma 14 2 2 2" xfId="13400" xr:uid="{00000000-0005-0000-0000-0000B2050000}"/>
    <cellStyle name="Comma 14 3" xfId="13395" xr:uid="{00000000-0005-0000-0000-0000B3050000}"/>
    <cellStyle name="Comma 14 3 3" xfId="13399" xr:uid="{00000000-0005-0000-0000-0000B4050000}"/>
    <cellStyle name="Comma 14 3 4" xfId="13401" xr:uid="{00000000-0005-0000-0000-0000B5050000}"/>
    <cellStyle name="Comma 14 9" xfId="13404" xr:uid="{00000000-0005-0000-0000-0000B6050000}"/>
    <cellStyle name="Comma 15" xfId="441" xr:uid="{00000000-0005-0000-0000-0000B7050000}"/>
    <cellStyle name="Comma 15 2" xfId="442" xr:uid="{00000000-0005-0000-0000-0000B8050000}"/>
    <cellStyle name="Comma 15 2 2" xfId="443" xr:uid="{00000000-0005-0000-0000-0000B9050000}"/>
    <cellStyle name="Comma 16" xfId="444" xr:uid="{00000000-0005-0000-0000-0000BA050000}"/>
    <cellStyle name="Comma 16 2" xfId="445" xr:uid="{00000000-0005-0000-0000-0000BB050000}"/>
    <cellStyle name="Comma 16 3" xfId="446" xr:uid="{00000000-0005-0000-0000-0000BC050000}"/>
    <cellStyle name="Comma 16 4" xfId="447" xr:uid="{00000000-0005-0000-0000-0000BD050000}"/>
    <cellStyle name="Comma 16 5" xfId="448" xr:uid="{00000000-0005-0000-0000-0000BE050000}"/>
    <cellStyle name="Comma 16 6" xfId="449" xr:uid="{00000000-0005-0000-0000-0000BF050000}"/>
    <cellStyle name="Comma 17" xfId="450" xr:uid="{00000000-0005-0000-0000-0000C0050000}"/>
    <cellStyle name="Comma 17 2" xfId="451" xr:uid="{00000000-0005-0000-0000-0000C1050000}"/>
    <cellStyle name="Comma 17 2 2" xfId="452" xr:uid="{00000000-0005-0000-0000-0000C2050000}"/>
    <cellStyle name="Comma 18" xfId="453" xr:uid="{00000000-0005-0000-0000-0000C3050000}"/>
    <cellStyle name="Comma 18 10" xfId="454" xr:uid="{00000000-0005-0000-0000-0000C4050000}"/>
    <cellStyle name="Comma 18 2" xfId="455" xr:uid="{00000000-0005-0000-0000-0000C5050000}"/>
    <cellStyle name="Comma 18 2 2" xfId="456" xr:uid="{00000000-0005-0000-0000-0000C6050000}"/>
    <cellStyle name="Comma 18 2 2 2" xfId="457" xr:uid="{00000000-0005-0000-0000-0000C7050000}"/>
    <cellStyle name="Comma 18 2 2 3" xfId="458" xr:uid="{00000000-0005-0000-0000-0000C8050000}"/>
    <cellStyle name="Comma 18 2 2 4" xfId="459" xr:uid="{00000000-0005-0000-0000-0000C9050000}"/>
    <cellStyle name="Comma 18 2 2 5" xfId="460" xr:uid="{00000000-0005-0000-0000-0000CA050000}"/>
    <cellStyle name="Comma 18 2 2 6" xfId="461" xr:uid="{00000000-0005-0000-0000-0000CB050000}"/>
    <cellStyle name="Comma 18 2 2 7" xfId="462" xr:uid="{00000000-0005-0000-0000-0000CC050000}"/>
    <cellStyle name="Comma 18 2 3" xfId="463" xr:uid="{00000000-0005-0000-0000-0000CD050000}"/>
    <cellStyle name="Comma 18 2 4" xfId="464" xr:uid="{00000000-0005-0000-0000-0000CE050000}"/>
    <cellStyle name="Comma 18 2 5" xfId="465" xr:uid="{00000000-0005-0000-0000-0000CF050000}"/>
    <cellStyle name="Comma 18 2 6" xfId="466" xr:uid="{00000000-0005-0000-0000-0000D0050000}"/>
    <cellStyle name="Comma 18 2 7" xfId="467" xr:uid="{00000000-0005-0000-0000-0000D1050000}"/>
    <cellStyle name="Comma 18 2 8" xfId="468" xr:uid="{00000000-0005-0000-0000-0000D2050000}"/>
    <cellStyle name="Comma 18 2 9" xfId="469" xr:uid="{00000000-0005-0000-0000-0000D3050000}"/>
    <cellStyle name="Comma 18 3" xfId="470" xr:uid="{00000000-0005-0000-0000-0000D4050000}"/>
    <cellStyle name="Comma 18 3 2" xfId="471" xr:uid="{00000000-0005-0000-0000-0000D5050000}"/>
    <cellStyle name="Comma 18 3 3" xfId="472" xr:uid="{00000000-0005-0000-0000-0000D6050000}"/>
    <cellStyle name="Comma 18 3 4" xfId="473" xr:uid="{00000000-0005-0000-0000-0000D7050000}"/>
    <cellStyle name="Comma 18 3 5" xfId="474" xr:uid="{00000000-0005-0000-0000-0000D8050000}"/>
    <cellStyle name="Comma 18 3 6" xfId="475" xr:uid="{00000000-0005-0000-0000-0000D9050000}"/>
    <cellStyle name="Comma 18 3 7" xfId="476" xr:uid="{00000000-0005-0000-0000-0000DA050000}"/>
    <cellStyle name="Comma 18 4" xfId="477" xr:uid="{00000000-0005-0000-0000-0000DB050000}"/>
    <cellStyle name="Comma 18 5" xfId="478" xr:uid="{00000000-0005-0000-0000-0000DC050000}"/>
    <cellStyle name="Comma 18 6" xfId="479" xr:uid="{00000000-0005-0000-0000-0000DD050000}"/>
    <cellStyle name="Comma 18 7" xfId="480" xr:uid="{00000000-0005-0000-0000-0000DE050000}"/>
    <cellStyle name="Comma 18 8" xfId="481" xr:uid="{00000000-0005-0000-0000-0000DF050000}"/>
    <cellStyle name="Comma 18 9" xfId="482" xr:uid="{00000000-0005-0000-0000-0000E0050000}"/>
    <cellStyle name="Comma 19" xfId="483" xr:uid="{00000000-0005-0000-0000-0000E1050000}"/>
    <cellStyle name="Comma 2" xfId="484" xr:uid="{00000000-0005-0000-0000-0000E2050000}"/>
    <cellStyle name="Comma 2 10" xfId="485" xr:uid="{00000000-0005-0000-0000-0000E3050000}"/>
    <cellStyle name="Comma 2 11" xfId="486" xr:uid="{00000000-0005-0000-0000-0000E4050000}"/>
    <cellStyle name="Comma 2 12" xfId="487" xr:uid="{00000000-0005-0000-0000-0000E5050000}"/>
    <cellStyle name="Comma 2 13" xfId="488" xr:uid="{00000000-0005-0000-0000-0000E6050000}"/>
    <cellStyle name="Comma 2 14" xfId="489" xr:uid="{00000000-0005-0000-0000-0000E7050000}"/>
    <cellStyle name="Comma 2 15" xfId="1819" xr:uid="{00000000-0005-0000-0000-0000E8050000}"/>
    <cellStyle name="Comma 2 16" xfId="1843" xr:uid="{00000000-0005-0000-0000-0000E9050000}"/>
    <cellStyle name="Comma 2 17" xfId="1818" xr:uid="{00000000-0005-0000-0000-0000EA050000}"/>
    <cellStyle name="Comma 2 18" xfId="1858" xr:uid="{00000000-0005-0000-0000-0000EB050000}"/>
    <cellStyle name="Comma 2 19" xfId="2129" xr:uid="{00000000-0005-0000-0000-0000EC050000}"/>
    <cellStyle name="Comma 2 2" xfId="490" xr:uid="{00000000-0005-0000-0000-0000ED050000}"/>
    <cellStyle name="Comma 2 2 10" xfId="1820" xr:uid="{00000000-0005-0000-0000-0000EE050000}"/>
    <cellStyle name="Comma 2 2 11" xfId="1729" xr:uid="{00000000-0005-0000-0000-0000EF050000}"/>
    <cellStyle name="Comma 2 2 11 10" xfId="4296" xr:uid="{00000000-0005-0000-0000-0000F0050000}"/>
    <cellStyle name="Comma 2 2 11 11" xfId="9026" xr:uid="{00000000-0005-0000-0000-0000F1050000}"/>
    <cellStyle name="Comma 2 2 11 2" xfId="1857" xr:uid="{00000000-0005-0000-0000-0000F2050000}"/>
    <cellStyle name="Comma 2 2 11 2 10" xfId="4295" xr:uid="{00000000-0005-0000-0000-0000F3050000}"/>
    <cellStyle name="Comma 2 2 11 2 2" xfId="2181" xr:uid="{00000000-0005-0000-0000-0000F4050000}"/>
    <cellStyle name="Comma 2 2 11 2 2 2" xfId="2207" xr:uid="{00000000-0005-0000-0000-0000F5050000}"/>
    <cellStyle name="Comma 2 2 11 2 2 2 2" xfId="3025" xr:uid="{00000000-0005-0000-0000-0000F6050000}"/>
    <cellStyle name="Comma 2 2 11 2 2 2 2 2" xfId="3045" xr:uid="{00000000-0005-0000-0000-0000F7050000}"/>
    <cellStyle name="Comma 2 2 11 2 2 2 2 2 2" xfId="5205" xr:uid="{00000000-0005-0000-0000-0000F8050000}"/>
    <cellStyle name="Comma 2 2 11 2 2 2 2 2 2 2" xfId="5225" xr:uid="{00000000-0005-0000-0000-0000F9050000}"/>
    <cellStyle name="Comma 2 2 11 2 2 2 2 2 2 3" xfId="6430" xr:uid="{00000000-0005-0000-0000-0000FA050000}"/>
    <cellStyle name="Comma 2 2 11 2 2 2 2 2 3" xfId="5708" xr:uid="{00000000-0005-0000-0000-0000FB050000}"/>
    <cellStyle name="Comma 2 2 11 2 2 2 2 2 4" xfId="6410" xr:uid="{00000000-0005-0000-0000-0000FC050000}"/>
    <cellStyle name="Comma 2 2 11 2 2 2 2 3" xfId="3525" xr:uid="{00000000-0005-0000-0000-0000FD050000}"/>
    <cellStyle name="Comma 2 2 11 2 2 2 2 3 2" xfId="5688" xr:uid="{00000000-0005-0000-0000-0000FE050000}"/>
    <cellStyle name="Comma 2 2 11 2 2 2 2 3 3" xfId="6771" xr:uid="{00000000-0005-0000-0000-0000FF050000}"/>
    <cellStyle name="Comma 2 2 11 2 2 2 2 4" xfId="4292" xr:uid="{00000000-0005-0000-0000-000000060000}"/>
    <cellStyle name="Comma 2 2 11 2 2 2 3" xfId="3227" xr:uid="{00000000-0005-0000-0000-000001060000}"/>
    <cellStyle name="Comma 2 2 11 2 2 2 4" xfId="3524" xr:uid="{00000000-0005-0000-0000-000002060000}"/>
    <cellStyle name="Comma 2 2 11 2 2 2 4 2" xfId="4774" xr:uid="{00000000-0005-0000-0000-000003060000}"/>
    <cellStyle name="Comma 2 2 11 2 2 2 4 3" xfId="6019" xr:uid="{00000000-0005-0000-0000-000004060000}"/>
    <cellStyle name="Comma 2 2 11 2 2 2 5" xfId="4842" xr:uid="{00000000-0005-0000-0000-000005060000}"/>
    <cellStyle name="Comma 2 2 11 2 2 2 6" xfId="4293" xr:uid="{00000000-0005-0000-0000-000006060000}"/>
    <cellStyle name="Comma 2 2 11 2 2 3" xfId="2356" xr:uid="{00000000-0005-0000-0000-000007060000}"/>
    <cellStyle name="Comma 2 2 11 2 2 4" xfId="2470" xr:uid="{00000000-0005-0000-0000-000008060000}"/>
    <cellStyle name="Comma 2 2 11 2 2 5" xfId="2708" xr:uid="{00000000-0005-0000-0000-000009060000}"/>
    <cellStyle name="Comma 2 2 11 2 2 5 2" xfId="3207" xr:uid="{00000000-0005-0000-0000-00000A060000}"/>
    <cellStyle name="Comma 2 2 11 2 2 5 2 2" xfId="4980" xr:uid="{00000000-0005-0000-0000-00000B060000}"/>
    <cellStyle name="Comma 2 2 11 2 2 5 2 2 2" xfId="5335" xr:uid="{00000000-0005-0000-0000-00000C060000}"/>
    <cellStyle name="Comma 2 2 11 2 2 5 2 2 3" xfId="6540" xr:uid="{00000000-0005-0000-0000-00000D060000}"/>
    <cellStyle name="Comma 2 2 11 2 2 5 2 3" xfId="5818" xr:uid="{00000000-0005-0000-0000-00000E060000}"/>
    <cellStyle name="Comma 2 2 11 2 2 5 2 4" xfId="6191" xr:uid="{00000000-0005-0000-0000-00000F060000}"/>
    <cellStyle name="Comma 2 2 11 2 2 5 3" xfId="3528" xr:uid="{00000000-0005-0000-0000-000010060000}"/>
    <cellStyle name="Comma 2 2 11 2 2 5 3 2" xfId="5468" xr:uid="{00000000-0005-0000-0000-000011060000}"/>
    <cellStyle name="Comma 2 2 11 2 2 5 3 3" xfId="6662" xr:uid="{00000000-0005-0000-0000-000012060000}"/>
    <cellStyle name="Comma 2 2 11 2 2 5 4" xfId="4291" xr:uid="{00000000-0005-0000-0000-000013060000}"/>
    <cellStyle name="Comma 2 2 11 2 2 6" xfId="3523" xr:uid="{00000000-0005-0000-0000-000014060000}"/>
    <cellStyle name="Comma 2 2 11 2 2 6 2" xfId="4754" xr:uid="{00000000-0005-0000-0000-000015060000}"/>
    <cellStyle name="Comma 2 2 11 2 2 6 3" xfId="5999" xr:uid="{00000000-0005-0000-0000-000016060000}"/>
    <cellStyle name="Comma 2 2 11 2 2 7" xfId="4548" xr:uid="{00000000-0005-0000-0000-000017060000}"/>
    <cellStyle name="Comma 2 2 11 2 2 8" xfId="4294" xr:uid="{00000000-0005-0000-0000-000018060000}"/>
    <cellStyle name="Comma 2 2 11 2 3" xfId="2259" xr:uid="{00000000-0005-0000-0000-000019060000}"/>
    <cellStyle name="Comma 2 2 11 2 4" xfId="2294" xr:uid="{00000000-0005-0000-0000-00001A060000}"/>
    <cellStyle name="Comma 2 2 11 2 5" xfId="2337" xr:uid="{00000000-0005-0000-0000-00001B060000}"/>
    <cellStyle name="Comma 2 2 11 2 5 2" xfId="2909" xr:uid="{00000000-0005-0000-0000-00001C060000}"/>
    <cellStyle name="Comma 2 2 11 2 5 2 2" xfId="3094" xr:uid="{00000000-0005-0000-0000-00001D060000}"/>
    <cellStyle name="Comma 2 2 11 2 5 2 2 2" xfId="5090" xr:uid="{00000000-0005-0000-0000-00001E060000}"/>
    <cellStyle name="Comma 2 2 11 2 5 2 2 2 2" xfId="5274" xr:uid="{00000000-0005-0000-0000-00001F060000}"/>
    <cellStyle name="Comma 2 2 11 2 5 2 2 2 3" xfId="6479" xr:uid="{00000000-0005-0000-0000-000020060000}"/>
    <cellStyle name="Comma 2 2 11 2 5 2 2 3" xfId="5757" xr:uid="{00000000-0005-0000-0000-000021060000}"/>
    <cellStyle name="Comma 2 2 11 2 5 2 2 4" xfId="6295" xr:uid="{00000000-0005-0000-0000-000022060000}"/>
    <cellStyle name="Comma 2 2 11 2 5 2 3" xfId="3531" xr:uid="{00000000-0005-0000-0000-000023060000}"/>
    <cellStyle name="Comma 2 2 11 2 5 2 3 2" xfId="5573" xr:uid="{00000000-0005-0000-0000-000024060000}"/>
    <cellStyle name="Comma 2 2 11 2 5 2 3 3" xfId="6707" xr:uid="{00000000-0005-0000-0000-000025060000}"/>
    <cellStyle name="Comma 2 2 11 2 5 2 4" xfId="4289" xr:uid="{00000000-0005-0000-0000-000026060000}"/>
    <cellStyle name="Comma 2 2 11 2 5 3" xfId="3276" xr:uid="{00000000-0005-0000-0000-000027060000}"/>
    <cellStyle name="Comma 2 2 11 2 5 4" xfId="3530" xr:uid="{00000000-0005-0000-0000-000028060000}"/>
    <cellStyle name="Comma 2 2 11 2 5 4 2" xfId="4823" xr:uid="{00000000-0005-0000-0000-000029060000}"/>
    <cellStyle name="Comma 2 2 11 2 5 4 3" xfId="6068" xr:uid="{00000000-0005-0000-0000-00002A060000}"/>
    <cellStyle name="Comma 2 2 11 2 5 5" xfId="4561" xr:uid="{00000000-0005-0000-0000-00002B060000}"/>
    <cellStyle name="Comma 2 2 11 2 5 6" xfId="4290" xr:uid="{00000000-0005-0000-0000-00002C060000}"/>
    <cellStyle name="Comma 2 2 11 2 6" xfId="2469" xr:uid="{00000000-0005-0000-0000-00002D060000}"/>
    <cellStyle name="Comma 2 2 11 2 7" xfId="2709" xr:uid="{00000000-0005-0000-0000-00002E060000}"/>
    <cellStyle name="Comma 2 2 11 2 7 2" xfId="2820" xr:uid="{00000000-0005-0000-0000-00002F060000}"/>
    <cellStyle name="Comma 2 2 11 2 7 2 2" xfId="4981" xr:uid="{00000000-0005-0000-0000-000030060000}"/>
    <cellStyle name="Comma 2 2 11 2 7 2 2 2" xfId="5005" xr:uid="{00000000-0005-0000-0000-000031060000}"/>
    <cellStyle name="Comma 2 2 11 2 7 2 2 3" xfId="6210" xr:uid="{00000000-0005-0000-0000-000032060000}"/>
    <cellStyle name="Comma 2 2 11 2 7 2 3" xfId="5488" xr:uid="{00000000-0005-0000-0000-000033060000}"/>
    <cellStyle name="Comma 2 2 11 2 7 2 4" xfId="6192" xr:uid="{00000000-0005-0000-0000-000034060000}"/>
    <cellStyle name="Comma 2 2 11 2 7 3" xfId="3532" xr:uid="{00000000-0005-0000-0000-000035060000}"/>
    <cellStyle name="Comma 2 2 11 2 7 3 2" xfId="5469" xr:uid="{00000000-0005-0000-0000-000036060000}"/>
    <cellStyle name="Comma 2 2 11 2 7 3 3" xfId="6663" xr:uid="{00000000-0005-0000-0000-000037060000}"/>
    <cellStyle name="Comma 2 2 11 2 7 4" xfId="4288" xr:uid="{00000000-0005-0000-0000-000038060000}"/>
    <cellStyle name="Comma 2 2 11 2 8" xfId="3522" xr:uid="{00000000-0005-0000-0000-000039060000}"/>
    <cellStyle name="Comma 2 2 11 2 8 2" xfId="4582" xr:uid="{00000000-0005-0000-0000-00003A060000}"/>
    <cellStyle name="Comma 2 2 11 2 8 3" xfId="5886" xr:uid="{00000000-0005-0000-0000-00003B060000}"/>
    <cellStyle name="Comma 2 2 11 2 9" xfId="4435" xr:uid="{00000000-0005-0000-0000-00003C060000}"/>
    <cellStyle name="Comma 2 2 11 3" xfId="1954" xr:uid="{00000000-0005-0000-0000-00003D060000}"/>
    <cellStyle name="Comma 2 2 11 3 2" xfId="2233" xr:uid="{00000000-0005-0000-0000-00003E060000}"/>
    <cellStyle name="Comma 2 2 11 3 2 2" xfId="2926" xr:uid="{00000000-0005-0000-0000-00003F060000}"/>
    <cellStyle name="Comma 2 2 11 3 2 2 2" xfId="3069" xr:uid="{00000000-0005-0000-0000-000040060000}"/>
    <cellStyle name="Comma 2 2 11 3 2 2 2 2" xfId="5107" xr:uid="{00000000-0005-0000-0000-000041060000}"/>
    <cellStyle name="Comma 2 2 11 3 2 2 2 2 2" xfId="5249" xr:uid="{00000000-0005-0000-0000-000042060000}"/>
    <cellStyle name="Comma 2 2 11 3 2 2 2 2 3" xfId="6454" xr:uid="{00000000-0005-0000-0000-000043060000}"/>
    <cellStyle name="Comma 2 2 11 3 2 2 2 3" xfId="5732" xr:uid="{00000000-0005-0000-0000-000044060000}"/>
    <cellStyle name="Comma 2 2 11 3 2 2 2 4" xfId="6312" xr:uid="{00000000-0005-0000-0000-000045060000}"/>
    <cellStyle name="Comma 2 2 11 3 2 2 3" xfId="3535" xr:uid="{00000000-0005-0000-0000-000046060000}"/>
    <cellStyle name="Comma 2 2 11 3 2 2 3 2" xfId="5590" xr:uid="{00000000-0005-0000-0000-000047060000}"/>
    <cellStyle name="Comma 2 2 11 3 2 2 3 3" xfId="6724" xr:uid="{00000000-0005-0000-0000-000048060000}"/>
    <cellStyle name="Comma 2 2 11 3 2 2 4" xfId="4285" xr:uid="{00000000-0005-0000-0000-000049060000}"/>
    <cellStyle name="Comma 2 2 11 3 2 3" xfId="3251" xr:uid="{00000000-0005-0000-0000-00004A060000}"/>
    <cellStyle name="Comma 2 2 11 3 2 4" xfId="3534" xr:uid="{00000000-0005-0000-0000-00004B060000}"/>
    <cellStyle name="Comma 2 2 11 3 2 4 2" xfId="4798" xr:uid="{00000000-0005-0000-0000-00004C060000}"/>
    <cellStyle name="Comma 2 2 11 3 2 4 3" xfId="6043" xr:uid="{00000000-0005-0000-0000-00004D060000}"/>
    <cellStyle name="Comma 2 2 11 3 2 5" xfId="4721" xr:uid="{00000000-0005-0000-0000-00004E060000}"/>
    <cellStyle name="Comma 2 2 11 3 2 6" xfId="4286" xr:uid="{00000000-0005-0000-0000-00004F060000}"/>
    <cellStyle name="Comma 2 2 11 3 3" xfId="2380" xr:uid="{00000000-0005-0000-0000-000050060000}"/>
    <cellStyle name="Comma 2 2 11 3 4" xfId="2471" xr:uid="{00000000-0005-0000-0000-000051060000}"/>
    <cellStyle name="Comma 2 2 11 3 5" xfId="2707" xr:uid="{00000000-0005-0000-0000-000052060000}"/>
    <cellStyle name="Comma 2 2 11 3 5 2" xfId="3108" xr:uid="{00000000-0005-0000-0000-000053060000}"/>
    <cellStyle name="Comma 2 2 11 3 5 2 2" xfId="4979" xr:uid="{00000000-0005-0000-0000-000054060000}"/>
    <cellStyle name="Comma 2 2 11 3 5 2 2 2" xfId="5288" xr:uid="{00000000-0005-0000-0000-000055060000}"/>
    <cellStyle name="Comma 2 2 11 3 5 2 2 3" xfId="6493" xr:uid="{00000000-0005-0000-0000-000056060000}"/>
    <cellStyle name="Comma 2 2 11 3 5 2 3" xfId="5771" xr:uid="{00000000-0005-0000-0000-000057060000}"/>
    <cellStyle name="Comma 2 2 11 3 5 2 4" xfId="6190" xr:uid="{00000000-0005-0000-0000-000058060000}"/>
    <cellStyle name="Comma 2 2 11 3 5 3" xfId="3538" xr:uid="{00000000-0005-0000-0000-000059060000}"/>
    <cellStyle name="Comma 2 2 11 3 5 3 2" xfId="5467" xr:uid="{00000000-0005-0000-0000-00005A060000}"/>
    <cellStyle name="Comma 2 2 11 3 5 3 3" xfId="6661" xr:uid="{00000000-0005-0000-0000-00005B060000}"/>
    <cellStyle name="Comma 2 2 11 3 5 4" xfId="4284" xr:uid="{00000000-0005-0000-0000-00005C060000}"/>
    <cellStyle name="Comma 2 2 11 3 6" xfId="3533" xr:uid="{00000000-0005-0000-0000-00005D060000}"/>
    <cellStyle name="Comma 2 2 11 3 6 2" xfId="4628" xr:uid="{00000000-0005-0000-0000-00005E060000}"/>
    <cellStyle name="Comma 2 2 11 3 6 3" xfId="5903" xr:uid="{00000000-0005-0000-0000-00005F060000}"/>
    <cellStyle name="Comma 2 2 11 3 7" xfId="4416" xr:uid="{00000000-0005-0000-0000-000060060000}"/>
    <cellStyle name="Comma 2 2 11 3 8" xfId="4287" xr:uid="{00000000-0005-0000-0000-000061060000}"/>
    <cellStyle name="Comma 2 2 11 4" xfId="2239" xr:uid="{00000000-0005-0000-0000-000062060000}"/>
    <cellStyle name="Comma 2 2 11 5" xfId="2033" xr:uid="{00000000-0005-0000-0000-000063060000}"/>
    <cellStyle name="Comma 2 2 11 5 2" xfId="2883" xr:uid="{00000000-0005-0000-0000-000064060000}"/>
    <cellStyle name="Comma 2 2 11 5 2 2" xfId="2995" xr:uid="{00000000-0005-0000-0000-000065060000}"/>
    <cellStyle name="Comma 2 2 11 5 2 2 2" xfId="5064" xr:uid="{00000000-0005-0000-0000-000066060000}"/>
    <cellStyle name="Comma 2 2 11 5 2 2 2 2" xfId="5176" xr:uid="{00000000-0005-0000-0000-000067060000}"/>
    <cellStyle name="Comma 2 2 11 5 2 2 2 3" xfId="6381" xr:uid="{00000000-0005-0000-0000-000068060000}"/>
    <cellStyle name="Comma 2 2 11 5 2 2 3" xfId="5659" xr:uid="{00000000-0005-0000-0000-000069060000}"/>
    <cellStyle name="Comma 2 2 11 5 2 2 4" xfId="6269" xr:uid="{00000000-0005-0000-0000-00006A060000}"/>
    <cellStyle name="Comma 2 2 11 5 2 3" xfId="3541" xr:uid="{00000000-0005-0000-0000-00006B060000}"/>
    <cellStyle name="Comma 2 2 11 5 2 3 2" xfId="5547" xr:uid="{00000000-0005-0000-0000-00006C060000}"/>
    <cellStyle name="Comma 2 2 11 5 2 3 3" xfId="6688" xr:uid="{00000000-0005-0000-0000-00006D060000}"/>
    <cellStyle name="Comma 2 2 11 5 2 4" xfId="4282" xr:uid="{00000000-0005-0000-0000-00006E060000}"/>
    <cellStyle name="Comma 2 2 11 5 3" xfId="3177" xr:uid="{00000000-0005-0000-0000-00006F060000}"/>
    <cellStyle name="Comma 2 2 11 5 4" xfId="3540" xr:uid="{00000000-0005-0000-0000-000070060000}"/>
    <cellStyle name="Comma 2 2 11 5 4 2" xfId="4697" xr:uid="{00000000-0005-0000-0000-000071060000}"/>
    <cellStyle name="Comma 2 2 11 5 4 3" xfId="5970" xr:uid="{00000000-0005-0000-0000-000072060000}"/>
    <cellStyle name="Comma 2 2 11 5 5" xfId="4545" xr:uid="{00000000-0005-0000-0000-000073060000}"/>
    <cellStyle name="Comma 2 2 11 5 6" xfId="4283" xr:uid="{00000000-0005-0000-0000-000074060000}"/>
    <cellStyle name="Comma 2 2 11 6" xfId="2468" xr:uid="{00000000-0005-0000-0000-000075060000}"/>
    <cellStyle name="Comma 2 2 11 7" xfId="2710" xr:uid="{00000000-0005-0000-0000-000076060000}"/>
    <cellStyle name="Comma 2 2 11 7 2" xfId="2888" xr:uid="{00000000-0005-0000-0000-000077060000}"/>
    <cellStyle name="Comma 2 2 11 7 2 2" xfId="4982" xr:uid="{00000000-0005-0000-0000-000078060000}"/>
    <cellStyle name="Comma 2 2 11 7 2 2 2" xfId="5069" xr:uid="{00000000-0005-0000-0000-000079060000}"/>
    <cellStyle name="Comma 2 2 11 7 2 2 3" xfId="6274" xr:uid="{00000000-0005-0000-0000-00007A060000}"/>
    <cellStyle name="Comma 2 2 11 7 2 3" xfId="5552" xr:uid="{00000000-0005-0000-0000-00007B060000}"/>
    <cellStyle name="Comma 2 2 11 7 2 4" xfId="6193" xr:uid="{00000000-0005-0000-0000-00007C060000}"/>
    <cellStyle name="Comma 2 2 11 7 3" xfId="3544" xr:uid="{00000000-0005-0000-0000-00007D060000}"/>
    <cellStyle name="Comma 2 2 11 7 3 2" xfId="5470" xr:uid="{00000000-0005-0000-0000-00007E060000}"/>
    <cellStyle name="Comma 2 2 11 7 3 3" xfId="6664" xr:uid="{00000000-0005-0000-0000-00007F060000}"/>
    <cellStyle name="Comma 2 2 11 7 4" xfId="4281" xr:uid="{00000000-0005-0000-0000-000080060000}"/>
    <cellStyle name="Comma 2 2 11 8" xfId="3521" xr:uid="{00000000-0005-0000-0000-000081060000}"/>
    <cellStyle name="Comma 2 2 11 8 2" xfId="4534" xr:uid="{00000000-0005-0000-0000-000082060000}"/>
    <cellStyle name="Comma 2 2 11 8 3" xfId="5867" xr:uid="{00000000-0005-0000-0000-000083060000}"/>
    <cellStyle name="Comma 2 2 11 9" xfId="4455" xr:uid="{00000000-0005-0000-0000-000084060000}"/>
    <cellStyle name="Comma 2 2 12" xfId="1953" xr:uid="{00000000-0005-0000-0000-000085060000}"/>
    <cellStyle name="Comma 2 2 12 2" xfId="2132" xr:uid="{00000000-0005-0000-0000-000086060000}"/>
    <cellStyle name="Comma 2 2 12 2 2" xfId="2925" xr:uid="{00000000-0005-0000-0000-000087060000}"/>
    <cellStyle name="Comma 2 2 12 2 2 2" xfId="3003" xr:uid="{00000000-0005-0000-0000-000088060000}"/>
    <cellStyle name="Comma 2 2 12 2 2 2 2" xfId="5106" xr:uid="{00000000-0005-0000-0000-000089060000}"/>
    <cellStyle name="Comma 2 2 12 2 2 2 2 2" xfId="5183" xr:uid="{00000000-0005-0000-0000-00008A060000}"/>
    <cellStyle name="Comma 2 2 12 2 2 2 2 3" xfId="6388" xr:uid="{00000000-0005-0000-0000-00008B060000}"/>
    <cellStyle name="Comma 2 2 12 2 2 2 3" xfId="5666" xr:uid="{00000000-0005-0000-0000-00008C060000}"/>
    <cellStyle name="Comma 2 2 12 2 2 2 4" xfId="6311" xr:uid="{00000000-0005-0000-0000-00008D060000}"/>
    <cellStyle name="Comma 2 2 12 2 2 3" xfId="3547" xr:uid="{00000000-0005-0000-0000-00008E060000}"/>
    <cellStyle name="Comma 2 2 12 2 2 3 2" xfId="5589" xr:uid="{00000000-0005-0000-0000-00008F060000}"/>
    <cellStyle name="Comma 2 2 12 2 2 3 3" xfId="6723" xr:uid="{00000000-0005-0000-0000-000090060000}"/>
    <cellStyle name="Comma 2 2 12 2 2 4" xfId="4278" xr:uid="{00000000-0005-0000-0000-000091060000}"/>
    <cellStyle name="Comma 2 2 12 2 3" xfId="3185" xr:uid="{00000000-0005-0000-0000-000092060000}"/>
    <cellStyle name="Comma 2 2 12 2 4" xfId="3546" xr:uid="{00000000-0005-0000-0000-000093060000}"/>
    <cellStyle name="Comma 2 2 12 2 4 2" xfId="4731" xr:uid="{00000000-0005-0000-0000-000094060000}"/>
    <cellStyle name="Comma 2 2 12 2 4 3" xfId="5977" xr:uid="{00000000-0005-0000-0000-000095060000}"/>
    <cellStyle name="Comma 2 2 12 2 5" xfId="4711" xr:uid="{00000000-0005-0000-0000-000096060000}"/>
    <cellStyle name="Comma 2 2 12 2 6" xfId="4279" xr:uid="{00000000-0005-0000-0000-000097060000}"/>
    <cellStyle name="Comma 2 2 12 3" xfId="2315" xr:uid="{00000000-0005-0000-0000-000098060000}"/>
    <cellStyle name="Comma 2 2 12 4" xfId="2472" xr:uid="{00000000-0005-0000-0000-000099060000}"/>
    <cellStyle name="Comma 2 2 12 5" xfId="2706" xr:uid="{00000000-0005-0000-0000-00009A060000}"/>
    <cellStyle name="Comma 2 2 12 5 2" xfId="3107" xr:uid="{00000000-0005-0000-0000-00009B060000}"/>
    <cellStyle name="Comma 2 2 12 5 2 2" xfId="4978" xr:uid="{00000000-0005-0000-0000-00009C060000}"/>
    <cellStyle name="Comma 2 2 12 5 2 2 2" xfId="5287" xr:uid="{00000000-0005-0000-0000-00009D060000}"/>
    <cellStyle name="Comma 2 2 12 5 2 2 3" xfId="6492" xr:uid="{00000000-0005-0000-0000-00009E060000}"/>
    <cellStyle name="Comma 2 2 12 5 2 3" xfId="5770" xr:uid="{00000000-0005-0000-0000-00009F060000}"/>
    <cellStyle name="Comma 2 2 12 5 2 4" xfId="6189" xr:uid="{00000000-0005-0000-0000-0000A0060000}"/>
    <cellStyle name="Comma 2 2 12 5 3" xfId="3549" xr:uid="{00000000-0005-0000-0000-0000A1060000}"/>
    <cellStyle name="Comma 2 2 12 5 3 2" xfId="5466" xr:uid="{00000000-0005-0000-0000-0000A2060000}"/>
    <cellStyle name="Comma 2 2 12 5 3 3" xfId="6660" xr:uid="{00000000-0005-0000-0000-0000A3060000}"/>
    <cellStyle name="Comma 2 2 12 5 4" xfId="4277" xr:uid="{00000000-0005-0000-0000-0000A4060000}"/>
    <cellStyle name="Comma 2 2 12 6" xfId="3545" xr:uid="{00000000-0005-0000-0000-0000A5060000}"/>
    <cellStyle name="Comma 2 2 12 6 2" xfId="4627" xr:uid="{00000000-0005-0000-0000-0000A6060000}"/>
    <cellStyle name="Comma 2 2 12 6 3" xfId="5902" xr:uid="{00000000-0005-0000-0000-0000A7060000}"/>
    <cellStyle name="Comma 2 2 12 7" xfId="4417" xr:uid="{00000000-0005-0000-0000-0000A8060000}"/>
    <cellStyle name="Comma 2 2 12 8" xfId="4280" xr:uid="{00000000-0005-0000-0000-0000A9060000}"/>
    <cellStyle name="Comma 2 2 13" xfId="2152" xr:uid="{00000000-0005-0000-0000-0000AA060000}"/>
    <cellStyle name="Comma 2 2 14" xfId="2130" xr:uid="{00000000-0005-0000-0000-0000AB060000}"/>
    <cellStyle name="Comma 2 2 15" xfId="2034" xr:uid="{00000000-0005-0000-0000-0000AC060000}"/>
    <cellStyle name="Comma 2 2 15 2" xfId="2845" xr:uid="{00000000-0005-0000-0000-0000AD060000}"/>
    <cellStyle name="Comma 2 2 15 2 2" xfId="2996" xr:uid="{00000000-0005-0000-0000-0000AE060000}"/>
    <cellStyle name="Comma 2 2 15 2 2 2" xfId="5028" xr:uid="{00000000-0005-0000-0000-0000AF060000}"/>
    <cellStyle name="Comma 2 2 15 2 2 2 2" xfId="5177" xr:uid="{00000000-0005-0000-0000-0000B0060000}"/>
    <cellStyle name="Comma 2 2 15 2 2 2 3" xfId="6382" xr:uid="{00000000-0005-0000-0000-0000B1060000}"/>
    <cellStyle name="Comma 2 2 15 2 2 3" xfId="5660" xr:uid="{00000000-0005-0000-0000-0000B2060000}"/>
    <cellStyle name="Comma 2 2 15 2 2 4" xfId="6233" xr:uid="{00000000-0005-0000-0000-0000B3060000}"/>
    <cellStyle name="Comma 2 2 15 2 3" xfId="3552" xr:uid="{00000000-0005-0000-0000-0000B4060000}"/>
    <cellStyle name="Comma 2 2 15 2 3 2" xfId="5511" xr:uid="{00000000-0005-0000-0000-0000B5060000}"/>
    <cellStyle name="Comma 2 2 15 2 3 3" xfId="6666" xr:uid="{00000000-0005-0000-0000-0000B6060000}"/>
    <cellStyle name="Comma 2 2 15 2 4" xfId="4275" xr:uid="{00000000-0005-0000-0000-0000B7060000}"/>
    <cellStyle name="Comma 2 2 15 3" xfId="3178" xr:uid="{00000000-0005-0000-0000-0000B8060000}"/>
    <cellStyle name="Comma 2 2 15 4" xfId="3551" xr:uid="{00000000-0005-0000-0000-0000B9060000}"/>
    <cellStyle name="Comma 2 2 15 4 2" xfId="4698" xr:uid="{00000000-0005-0000-0000-0000BA060000}"/>
    <cellStyle name="Comma 2 2 15 4 3" xfId="5971" xr:uid="{00000000-0005-0000-0000-0000BB060000}"/>
    <cellStyle name="Comma 2 2 15 5" xfId="4506" xr:uid="{00000000-0005-0000-0000-0000BC060000}"/>
    <cellStyle name="Comma 2 2 15 6" xfId="4276" xr:uid="{00000000-0005-0000-0000-0000BD060000}"/>
    <cellStyle name="Comma 2 2 16" xfId="2467" xr:uid="{00000000-0005-0000-0000-0000BE060000}"/>
    <cellStyle name="Comma 2 2 17" xfId="2711" xr:uid="{00000000-0005-0000-0000-0000BF060000}"/>
    <cellStyle name="Comma 2 2 17 2" xfId="2858" xr:uid="{00000000-0005-0000-0000-0000C0060000}"/>
    <cellStyle name="Comma 2 2 17 2 2" xfId="4983" xr:uid="{00000000-0005-0000-0000-0000C1060000}"/>
    <cellStyle name="Comma 2 2 17 2 2 2" xfId="5041" xr:uid="{00000000-0005-0000-0000-0000C2060000}"/>
    <cellStyle name="Comma 2 2 17 2 2 3" xfId="6246" xr:uid="{00000000-0005-0000-0000-0000C3060000}"/>
    <cellStyle name="Comma 2 2 17 2 3" xfId="5524" xr:uid="{00000000-0005-0000-0000-0000C4060000}"/>
    <cellStyle name="Comma 2 2 17 2 4" xfId="6194" xr:uid="{00000000-0005-0000-0000-0000C5060000}"/>
    <cellStyle name="Comma 2 2 17 3" xfId="3554" xr:uid="{00000000-0005-0000-0000-0000C6060000}"/>
    <cellStyle name="Comma 2 2 17 3 2" xfId="5471" xr:uid="{00000000-0005-0000-0000-0000C7060000}"/>
    <cellStyle name="Comma 2 2 17 3 3" xfId="6665" xr:uid="{00000000-0005-0000-0000-0000C8060000}"/>
    <cellStyle name="Comma 2 2 17 4" xfId="4274" xr:uid="{00000000-0005-0000-0000-0000C9060000}"/>
    <cellStyle name="Comma 2 2 18" xfId="3520" xr:uid="{00000000-0005-0000-0000-0000CA060000}"/>
    <cellStyle name="Comma 2 2 18 2" xfId="4472" xr:uid="{00000000-0005-0000-0000-0000CB060000}"/>
    <cellStyle name="Comma 2 2 18 3" xfId="5845" xr:uid="{00000000-0005-0000-0000-0000CC060000}"/>
    <cellStyle name="Comma 2 2 19" xfId="4486" xr:uid="{00000000-0005-0000-0000-0000CD060000}"/>
    <cellStyle name="Comma 2 2 2" xfId="491" xr:uid="{00000000-0005-0000-0000-0000CE060000}"/>
    <cellStyle name="Comma 2 2 2 10" xfId="1728" xr:uid="{00000000-0005-0000-0000-0000CF060000}"/>
    <cellStyle name="Comma 2 2 2 10 10" xfId="4456" xr:uid="{00000000-0005-0000-0000-0000D0060000}"/>
    <cellStyle name="Comma 2 2 2 10 11" xfId="4272" xr:uid="{00000000-0005-0000-0000-0000D1060000}"/>
    <cellStyle name="Comma 2 2 2 10 12" xfId="9028" xr:uid="{00000000-0005-0000-0000-0000D2060000}"/>
    <cellStyle name="Comma 2 2 2 10 2" xfId="492" xr:uid="{00000000-0005-0000-0000-0000D3060000}"/>
    <cellStyle name="Comma 2 2 2 10 2 2" xfId="493" xr:uid="{00000000-0005-0000-0000-0000D4060000}"/>
    <cellStyle name="Comma 2 2 2 10 2 2 2" xfId="494" xr:uid="{00000000-0005-0000-0000-0000D5060000}"/>
    <cellStyle name="Comma 2 2 2 10 2 2 3" xfId="495" xr:uid="{00000000-0005-0000-0000-0000D6060000}"/>
    <cellStyle name="Comma 2 2 2 10 2 2 4" xfId="496" xr:uid="{00000000-0005-0000-0000-0000D7060000}"/>
    <cellStyle name="Comma 2 2 2 10 2 2 5" xfId="497" xr:uid="{00000000-0005-0000-0000-0000D8060000}"/>
    <cellStyle name="Comma 2 2 2 10 2 2 6" xfId="498" xr:uid="{00000000-0005-0000-0000-0000D9060000}"/>
    <cellStyle name="Comma 2 2 2 10 2 2 7" xfId="499" xr:uid="{00000000-0005-0000-0000-0000DA060000}"/>
    <cellStyle name="Comma 2 2 2 10 2 3" xfId="500" xr:uid="{00000000-0005-0000-0000-0000DB060000}"/>
    <cellStyle name="Comma 2 2 2 10 2 4" xfId="501" xr:uid="{00000000-0005-0000-0000-0000DC060000}"/>
    <cellStyle name="Comma 2 2 2 10 2 5" xfId="502" xr:uid="{00000000-0005-0000-0000-0000DD060000}"/>
    <cellStyle name="Comma 2 2 2 10 2 6" xfId="503" xr:uid="{00000000-0005-0000-0000-0000DE060000}"/>
    <cellStyle name="Comma 2 2 2 10 2 7" xfId="504" xr:uid="{00000000-0005-0000-0000-0000DF060000}"/>
    <cellStyle name="Comma 2 2 2 10 2 8" xfId="505" xr:uid="{00000000-0005-0000-0000-0000E0060000}"/>
    <cellStyle name="Comma 2 2 2 10 2 9" xfId="506" xr:uid="{00000000-0005-0000-0000-0000E1060000}"/>
    <cellStyle name="Comma 2 2 2 10 3" xfId="1856" xr:uid="{00000000-0005-0000-0000-0000E2060000}"/>
    <cellStyle name="Comma 2 2 2 10 3 10" xfId="4271" xr:uid="{00000000-0005-0000-0000-0000E3060000}"/>
    <cellStyle name="Comma 2 2 2 10 3 2" xfId="2180" xr:uid="{00000000-0005-0000-0000-0000E4060000}"/>
    <cellStyle name="Comma 2 2 2 10 3 2 2" xfId="2206" xr:uid="{00000000-0005-0000-0000-0000E5060000}"/>
    <cellStyle name="Comma 2 2 2 10 3 2 2 2" xfId="3024" xr:uid="{00000000-0005-0000-0000-0000E6060000}"/>
    <cellStyle name="Comma 2 2 2 10 3 2 2 2 2" xfId="3044" xr:uid="{00000000-0005-0000-0000-0000E7060000}"/>
    <cellStyle name="Comma 2 2 2 10 3 2 2 2 2 2" xfId="5204" xr:uid="{00000000-0005-0000-0000-0000E8060000}"/>
    <cellStyle name="Comma 2 2 2 10 3 2 2 2 2 2 2" xfId="5224" xr:uid="{00000000-0005-0000-0000-0000E9060000}"/>
    <cellStyle name="Comma 2 2 2 10 3 2 2 2 2 2 3" xfId="6429" xr:uid="{00000000-0005-0000-0000-0000EA060000}"/>
    <cellStyle name="Comma 2 2 2 10 3 2 2 2 2 3" xfId="5707" xr:uid="{00000000-0005-0000-0000-0000EB060000}"/>
    <cellStyle name="Comma 2 2 2 10 3 2 2 2 2 4" xfId="6409" xr:uid="{00000000-0005-0000-0000-0000EC060000}"/>
    <cellStyle name="Comma 2 2 2 10 3 2 2 2 3" xfId="3567" xr:uid="{00000000-0005-0000-0000-0000ED060000}"/>
    <cellStyle name="Comma 2 2 2 10 3 2 2 2 3 2" xfId="5687" xr:uid="{00000000-0005-0000-0000-0000EE060000}"/>
    <cellStyle name="Comma 2 2 2 10 3 2 2 2 3 3" xfId="6770" xr:uid="{00000000-0005-0000-0000-0000EF060000}"/>
    <cellStyle name="Comma 2 2 2 10 3 2 2 2 4" xfId="4268" xr:uid="{00000000-0005-0000-0000-0000F0060000}"/>
    <cellStyle name="Comma 2 2 2 10 3 2 2 3" xfId="3226" xr:uid="{00000000-0005-0000-0000-0000F1060000}"/>
    <cellStyle name="Comma 2 2 2 10 3 2 2 4" xfId="3566" xr:uid="{00000000-0005-0000-0000-0000F2060000}"/>
    <cellStyle name="Comma 2 2 2 10 3 2 2 4 2" xfId="4773" xr:uid="{00000000-0005-0000-0000-0000F3060000}"/>
    <cellStyle name="Comma 2 2 2 10 3 2 2 4 3" xfId="6018" xr:uid="{00000000-0005-0000-0000-0000F4060000}"/>
    <cellStyle name="Comma 2 2 2 10 3 2 2 5" xfId="4390" xr:uid="{00000000-0005-0000-0000-0000F5060000}"/>
    <cellStyle name="Comma 2 2 2 10 3 2 2 6" xfId="4269" xr:uid="{00000000-0005-0000-0000-0000F6060000}"/>
    <cellStyle name="Comma 2 2 2 10 3 2 3" xfId="2355" xr:uid="{00000000-0005-0000-0000-0000F7060000}"/>
    <cellStyle name="Comma 2 2 2 10 3 2 4" xfId="2476" xr:uid="{00000000-0005-0000-0000-0000F8060000}"/>
    <cellStyle name="Comma 2 2 2 10 3 2 5" xfId="2702" xr:uid="{00000000-0005-0000-0000-0000F9060000}"/>
    <cellStyle name="Comma 2 2 2 10 3 2 5 2" xfId="3206" xr:uid="{00000000-0005-0000-0000-0000FA060000}"/>
    <cellStyle name="Comma 2 2 2 10 3 2 5 2 2" xfId="4974" xr:uid="{00000000-0005-0000-0000-0000FB060000}"/>
    <cellStyle name="Comma 2 2 2 10 3 2 5 2 2 2" xfId="5334" xr:uid="{00000000-0005-0000-0000-0000FC060000}"/>
    <cellStyle name="Comma 2 2 2 10 3 2 5 2 2 3" xfId="6539" xr:uid="{00000000-0005-0000-0000-0000FD060000}"/>
    <cellStyle name="Comma 2 2 2 10 3 2 5 2 3" xfId="5817" xr:uid="{00000000-0005-0000-0000-0000FE060000}"/>
    <cellStyle name="Comma 2 2 2 10 3 2 5 2 4" xfId="6185" xr:uid="{00000000-0005-0000-0000-0000FF060000}"/>
    <cellStyle name="Comma 2 2 2 10 3 2 5 3" xfId="3570" xr:uid="{00000000-0005-0000-0000-000000070000}"/>
    <cellStyle name="Comma 2 2 2 10 3 2 5 3 2" xfId="5462" xr:uid="{00000000-0005-0000-0000-000001070000}"/>
    <cellStyle name="Comma 2 2 2 10 3 2 5 3 3" xfId="6656" xr:uid="{00000000-0005-0000-0000-000002070000}"/>
    <cellStyle name="Comma 2 2 2 10 3 2 5 4" xfId="4267" xr:uid="{00000000-0005-0000-0000-000003070000}"/>
    <cellStyle name="Comma 2 2 2 10 3 2 6" xfId="3565" xr:uid="{00000000-0005-0000-0000-000004070000}"/>
    <cellStyle name="Comma 2 2 2 10 3 2 6 2" xfId="4753" xr:uid="{00000000-0005-0000-0000-000005070000}"/>
    <cellStyle name="Comma 2 2 2 10 3 2 6 3" xfId="5998" xr:uid="{00000000-0005-0000-0000-000006070000}"/>
    <cellStyle name="Comma 2 2 2 10 3 2 7" xfId="4610" xr:uid="{00000000-0005-0000-0000-000007070000}"/>
    <cellStyle name="Comma 2 2 2 10 3 2 8" xfId="4270" xr:uid="{00000000-0005-0000-0000-000008070000}"/>
    <cellStyle name="Comma 2 2 2 10 3 3" xfId="2258" xr:uid="{00000000-0005-0000-0000-000009070000}"/>
    <cellStyle name="Comma 2 2 2 10 3 4" xfId="2293" xr:uid="{00000000-0005-0000-0000-00000A070000}"/>
    <cellStyle name="Comma 2 2 2 10 3 5" xfId="2336" xr:uid="{00000000-0005-0000-0000-00000B070000}"/>
    <cellStyle name="Comma 2 2 2 10 3 5 2" xfId="2908" xr:uid="{00000000-0005-0000-0000-00000C070000}"/>
    <cellStyle name="Comma 2 2 2 10 3 5 2 2" xfId="3093" xr:uid="{00000000-0005-0000-0000-00000D070000}"/>
    <cellStyle name="Comma 2 2 2 10 3 5 2 2 2" xfId="5089" xr:uid="{00000000-0005-0000-0000-00000E070000}"/>
    <cellStyle name="Comma 2 2 2 10 3 5 2 2 2 2" xfId="5273" xr:uid="{00000000-0005-0000-0000-00000F070000}"/>
    <cellStyle name="Comma 2 2 2 10 3 5 2 2 2 3" xfId="6478" xr:uid="{00000000-0005-0000-0000-000010070000}"/>
    <cellStyle name="Comma 2 2 2 10 3 5 2 2 3" xfId="5756" xr:uid="{00000000-0005-0000-0000-000011070000}"/>
    <cellStyle name="Comma 2 2 2 10 3 5 2 2 4" xfId="6294" xr:uid="{00000000-0005-0000-0000-000012070000}"/>
    <cellStyle name="Comma 2 2 2 10 3 5 2 3" xfId="3574" xr:uid="{00000000-0005-0000-0000-000013070000}"/>
    <cellStyle name="Comma 2 2 2 10 3 5 2 3 2" xfId="5572" xr:uid="{00000000-0005-0000-0000-000014070000}"/>
    <cellStyle name="Comma 2 2 2 10 3 5 2 3 3" xfId="6706" xr:uid="{00000000-0005-0000-0000-000015070000}"/>
    <cellStyle name="Comma 2 2 2 10 3 5 2 4" xfId="4266" xr:uid="{00000000-0005-0000-0000-000016070000}"/>
    <cellStyle name="Comma 2 2 2 10 3 5 3" xfId="3275" xr:uid="{00000000-0005-0000-0000-000017070000}"/>
    <cellStyle name="Comma 2 2 2 10 3 5 4" xfId="3573" xr:uid="{00000000-0005-0000-0000-000018070000}"/>
    <cellStyle name="Comma 2 2 2 10 3 5 4 2" xfId="4822" xr:uid="{00000000-0005-0000-0000-000019070000}"/>
    <cellStyle name="Comma 2 2 2 10 3 5 4 3" xfId="6067" xr:uid="{00000000-0005-0000-0000-00001A070000}"/>
    <cellStyle name="Comma 2 2 2 10 3 5 5" xfId="4599" xr:uid="{00000000-0005-0000-0000-00001B070000}"/>
    <cellStyle name="Comma 2 2 2 10 3 5 6" xfId="4859" xr:uid="{00000000-0005-0000-0000-00001C070000}"/>
    <cellStyle name="Comma 2 2 2 10 3 6" xfId="2475" xr:uid="{00000000-0005-0000-0000-00001D070000}"/>
    <cellStyle name="Comma 2 2 2 10 3 7" xfId="2703" xr:uid="{00000000-0005-0000-0000-00001E070000}"/>
    <cellStyle name="Comma 2 2 2 10 3 7 2" xfId="2821" xr:uid="{00000000-0005-0000-0000-00001F070000}"/>
    <cellStyle name="Comma 2 2 2 10 3 7 2 2" xfId="4975" xr:uid="{00000000-0005-0000-0000-000020070000}"/>
    <cellStyle name="Comma 2 2 2 10 3 7 2 2 2" xfId="5006" xr:uid="{00000000-0005-0000-0000-000021070000}"/>
    <cellStyle name="Comma 2 2 2 10 3 7 2 2 3" xfId="6211" xr:uid="{00000000-0005-0000-0000-000022070000}"/>
    <cellStyle name="Comma 2 2 2 10 3 7 2 3" xfId="5489" xr:uid="{00000000-0005-0000-0000-000023070000}"/>
    <cellStyle name="Comma 2 2 2 10 3 7 2 4" xfId="6186" xr:uid="{00000000-0005-0000-0000-000024070000}"/>
    <cellStyle name="Comma 2 2 2 10 3 7 3" xfId="3575" xr:uid="{00000000-0005-0000-0000-000025070000}"/>
    <cellStyle name="Comma 2 2 2 10 3 7 3 2" xfId="5463" xr:uid="{00000000-0005-0000-0000-000026070000}"/>
    <cellStyle name="Comma 2 2 2 10 3 7 3 3" xfId="6657" xr:uid="{00000000-0005-0000-0000-000027070000}"/>
    <cellStyle name="Comma 2 2 2 10 3 7 4" xfId="4265" xr:uid="{00000000-0005-0000-0000-000028070000}"/>
    <cellStyle name="Comma 2 2 2 10 3 8" xfId="3564" xr:uid="{00000000-0005-0000-0000-000029070000}"/>
    <cellStyle name="Comma 2 2 2 10 3 8 2" xfId="4581" xr:uid="{00000000-0005-0000-0000-00002A070000}"/>
    <cellStyle name="Comma 2 2 2 10 3 8 3" xfId="5885" xr:uid="{00000000-0005-0000-0000-00002B070000}"/>
    <cellStyle name="Comma 2 2 2 10 3 9" xfId="4436" xr:uid="{00000000-0005-0000-0000-00002C070000}"/>
    <cellStyle name="Comma 2 2 2 10 4" xfId="1956" xr:uid="{00000000-0005-0000-0000-00002D070000}"/>
    <cellStyle name="Comma 2 2 2 10 4 2" xfId="2232" xr:uid="{00000000-0005-0000-0000-00002E070000}"/>
    <cellStyle name="Comma 2 2 2 10 4 2 2" xfId="2928" xr:uid="{00000000-0005-0000-0000-00002F070000}"/>
    <cellStyle name="Comma 2 2 2 10 4 2 2 2" xfId="3068" xr:uid="{00000000-0005-0000-0000-000030070000}"/>
    <cellStyle name="Comma 2 2 2 10 4 2 2 2 2" xfId="5109" xr:uid="{00000000-0005-0000-0000-000031070000}"/>
    <cellStyle name="Comma 2 2 2 10 4 2 2 2 2 2" xfId="5248" xr:uid="{00000000-0005-0000-0000-000032070000}"/>
    <cellStyle name="Comma 2 2 2 10 4 2 2 2 2 3" xfId="6453" xr:uid="{00000000-0005-0000-0000-000033070000}"/>
    <cellStyle name="Comma 2 2 2 10 4 2 2 2 3" xfId="5731" xr:uid="{00000000-0005-0000-0000-000034070000}"/>
    <cellStyle name="Comma 2 2 2 10 4 2 2 2 4" xfId="6314" xr:uid="{00000000-0005-0000-0000-000035070000}"/>
    <cellStyle name="Comma 2 2 2 10 4 2 2 3" xfId="3578" xr:uid="{00000000-0005-0000-0000-000036070000}"/>
    <cellStyle name="Comma 2 2 2 10 4 2 2 3 2" xfId="5592" xr:uid="{00000000-0005-0000-0000-000037070000}"/>
    <cellStyle name="Comma 2 2 2 10 4 2 2 3 3" xfId="6726" xr:uid="{00000000-0005-0000-0000-000038070000}"/>
    <cellStyle name="Comma 2 2 2 10 4 2 2 4" xfId="4261" xr:uid="{00000000-0005-0000-0000-000039070000}"/>
    <cellStyle name="Comma 2 2 2 10 4 2 3" xfId="3250" xr:uid="{00000000-0005-0000-0000-00003A070000}"/>
    <cellStyle name="Comma 2 2 2 10 4 2 4" xfId="3577" xr:uid="{00000000-0005-0000-0000-00003B070000}"/>
    <cellStyle name="Comma 2 2 2 10 4 2 4 2" xfId="4797" xr:uid="{00000000-0005-0000-0000-00003C070000}"/>
    <cellStyle name="Comma 2 2 2 10 4 2 4 3" xfId="6042" xr:uid="{00000000-0005-0000-0000-00003D070000}"/>
    <cellStyle name="Comma 2 2 2 10 4 2 5" xfId="4838" xr:uid="{00000000-0005-0000-0000-00003E070000}"/>
    <cellStyle name="Comma 2 2 2 10 4 2 6" xfId="4262" xr:uid="{00000000-0005-0000-0000-00003F070000}"/>
    <cellStyle name="Comma 2 2 2 10 4 3" xfId="2379" xr:uid="{00000000-0005-0000-0000-000040070000}"/>
    <cellStyle name="Comma 2 2 2 10 4 4" xfId="2477" xr:uid="{00000000-0005-0000-0000-000041070000}"/>
    <cellStyle name="Comma 2 2 2 10 4 5" xfId="2701" xr:uid="{00000000-0005-0000-0000-000042070000}"/>
    <cellStyle name="Comma 2 2 2 10 4 5 2" xfId="3110" xr:uid="{00000000-0005-0000-0000-000043070000}"/>
    <cellStyle name="Comma 2 2 2 10 4 5 2 2" xfId="4973" xr:uid="{00000000-0005-0000-0000-000044070000}"/>
    <cellStyle name="Comma 2 2 2 10 4 5 2 2 2" xfId="5290" xr:uid="{00000000-0005-0000-0000-000045070000}"/>
    <cellStyle name="Comma 2 2 2 10 4 5 2 2 3" xfId="6495" xr:uid="{00000000-0005-0000-0000-000046070000}"/>
    <cellStyle name="Comma 2 2 2 10 4 5 2 3" xfId="5773" xr:uid="{00000000-0005-0000-0000-000047070000}"/>
    <cellStyle name="Comma 2 2 2 10 4 5 2 4" xfId="6184" xr:uid="{00000000-0005-0000-0000-000048070000}"/>
    <cellStyle name="Comma 2 2 2 10 4 5 3" xfId="3581" xr:uid="{00000000-0005-0000-0000-000049070000}"/>
    <cellStyle name="Comma 2 2 2 10 4 5 3 2" xfId="5461" xr:uid="{00000000-0005-0000-0000-00004A070000}"/>
    <cellStyle name="Comma 2 2 2 10 4 5 3 3" xfId="6655" xr:uid="{00000000-0005-0000-0000-00004B070000}"/>
    <cellStyle name="Comma 2 2 2 10 4 5 4" xfId="4260" xr:uid="{00000000-0005-0000-0000-00004C070000}"/>
    <cellStyle name="Comma 2 2 2 10 4 6" xfId="3576" xr:uid="{00000000-0005-0000-0000-00004D070000}"/>
    <cellStyle name="Comma 2 2 2 10 4 6 2" xfId="4630" xr:uid="{00000000-0005-0000-0000-00004E070000}"/>
    <cellStyle name="Comma 2 2 2 10 4 6 3" xfId="5905" xr:uid="{00000000-0005-0000-0000-00004F070000}"/>
    <cellStyle name="Comma 2 2 2 10 4 7" xfId="4414" xr:uid="{00000000-0005-0000-0000-000050070000}"/>
    <cellStyle name="Comma 2 2 2 10 4 8" xfId="4264" xr:uid="{00000000-0005-0000-0000-000051070000}"/>
    <cellStyle name="Comma 2 2 2 10 5" xfId="2158" xr:uid="{00000000-0005-0000-0000-000052070000}"/>
    <cellStyle name="Comma 2 2 2 10 6" xfId="2031" xr:uid="{00000000-0005-0000-0000-000053070000}"/>
    <cellStyle name="Comma 2 2 2 10 6 2" xfId="2882" xr:uid="{00000000-0005-0000-0000-000054070000}"/>
    <cellStyle name="Comma 2 2 2 10 6 2 2" xfId="2993" xr:uid="{00000000-0005-0000-0000-000055070000}"/>
    <cellStyle name="Comma 2 2 2 10 6 2 2 2" xfId="5063" xr:uid="{00000000-0005-0000-0000-000056070000}"/>
    <cellStyle name="Comma 2 2 2 10 6 2 2 2 2" xfId="5174" xr:uid="{00000000-0005-0000-0000-000057070000}"/>
    <cellStyle name="Comma 2 2 2 10 6 2 2 2 3" xfId="6379" xr:uid="{00000000-0005-0000-0000-000058070000}"/>
    <cellStyle name="Comma 2 2 2 10 6 2 2 3" xfId="5657" xr:uid="{00000000-0005-0000-0000-000059070000}"/>
    <cellStyle name="Comma 2 2 2 10 6 2 2 4" xfId="6268" xr:uid="{00000000-0005-0000-0000-00005A070000}"/>
    <cellStyle name="Comma 2 2 2 10 6 2 3" xfId="3583" xr:uid="{00000000-0005-0000-0000-00005B070000}"/>
    <cellStyle name="Comma 2 2 2 10 6 2 3 2" xfId="5546" xr:uid="{00000000-0005-0000-0000-00005C070000}"/>
    <cellStyle name="Comma 2 2 2 10 6 2 3 3" xfId="6687" xr:uid="{00000000-0005-0000-0000-00005D070000}"/>
    <cellStyle name="Comma 2 2 2 10 6 2 4" xfId="4258" xr:uid="{00000000-0005-0000-0000-00005E070000}"/>
    <cellStyle name="Comma 2 2 2 10 6 3" xfId="3175" xr:uid="{00000000-0005-0000-0000-00005F070000}"/>
    <cellStyle name="Comma 2 2 2 10 6 4" xfId="3582" xr:uid="{00000000-0005-0000-0000-000060070000}"/>
    <cellStyle name="Comma 2 2 2 10 6 4 2" xfId="4695" xr:uid="{00000000-0005-0000-0000-000061070000}"/>
    <cellStyle name="Comma 2 2 2 10 6 4 3" xfId="5968" xr:uid="{00000000-0005-0000-0000-000062070000}"/>
    <cellStyle name="Comma 2 2 2 10 6 5" xfId="4710" xr:uid="{00000000-0005-0000-0000-000063070000}"/>
    <cellStyle name="Comma 2 2 2 10 6 6" xfId="4259" xr:uid="{00000000-0005-0000-0000-000064070000}"/>
    <cellStyle name="Comma 2 2 2 10 7" xfId="2474" xr:uid="{00000000-0005-0000-0000-000065070000}"/>
    <cellStyle name="Comma 2 2 2 10 8" xfId="2704" xr:uid="{00000000-0005-0000-0000-000066070000}"/>
    <cellStyle name="Comma 2 2 2 10 8 2" xfId="2837" xr:uid="{00000000-0005-0000-0000-000067070000}"/>
    <cellStyle name="Comma 2 2 2 10 8 2 2" xfId="4976" xr:uid="{00000000-0005-0000-0000-000068070000}"/>
    <cellStyle name="Comma 2 2 2 10 8 2 2 2" xfId="5022" xr:uid="{00000000-0005-0000-0000-000069070000}"/>
    <cellStyle name="Comma 2 2 2 10 8 2 2 3" xfId="6227" xr:uid="{00000000-0005-0000-0000-00006A070000}"/>
    <cellStyle name="Comma 2 2 2 10 8 2 3" xfId="5505" xr:uid="{00000000-0005-0000-0000-00006B070000}"/>
    <cellStyle name="Comma 2 2 2 10 8 2 4" xfId="6187" xr:uid="{00000000-0005-0000-0000-00006C070000}"/>
    <cellStyle name="Comma 2 2 2 10 8 3" xfId="3585" xr:uid="{00000000-0005-0000-0000-00006D070000}"/>
    <cellStyle name="Comma 2 2 2 10 8 3 2" xfId="5464" xr:uid="{00000000-0005-0000-0000-00006E070000}"/>
    <cellStyle name="Comma 2 2 2 10 8 3 3" xfId="6658" xr:uid="{00000000-0005-0000-0000-00006F070000}"/>
    <cellStyle name="Comma 2 2 2 10 8 4" xfId="4257" xr:uid="{00000000-0005-0000-0000-000070070000}"/>
    <cellStyle name="Comma 2 2 2 10 9" xfId="3556" xr:uid="{00000000-0005-0000-0000-000071070000}"/>
    <cellStyle name="Comma 2 2 2 10 9 2" xfId="4533" xr:uid="{00000000-0005-0000-0000-000072070000}"/>
    <cellStyle name="Comma 2 2 2 10 9 3" xfId="5866" xr:uid="{00000000-0005-0000-0000-000073070000}"/>
    <cellStyle name="Comma 2 2 2 11" xfId="1955" xr:uid="{00000000-0005-0000-0000-000074070000}"/>
    <cellStyle name="Comma 2 2 2 11 2" xfId="2133" xr:uid="{00000000-0005-0000-0000-000075070000}"/>
    <cellStyle name="Comma 2 2 2 11 2 2" xfId="2927" xr:uid="{00000000-0005-0000-0000-000076070000}"/>
    <cellStyle name="Comma 2 2 2 11 2 2 2" xfId="3004" xr:uid="{00000000-0005-0000-0000-000077070000}"/>
    <cellStyle name="Comma 2 2 2 11 2 2 2 2" xfId="5108" xr:uid="{00000000-0005-0000-0000-000078070000}"/>
    <cellStyle name="Comma 2 2 2 11 2 2 2 2 2" xfId="5184" xr:uid="{00000000-0005-0000-0000-000079070000}"/>
    <cellStyle name="Comma 2 2 2 11 2 2 2 2 3" xfId="6389" xr:uid="{00000000-0005-0000-0000-00007A070000}"/>
    <cellStyle name="Comma 2 2 2 11 2 2 2 3" xfId="5667" xr:uid="{00000000-0005-0000-0000-00007B070000}"/>
    <cellStyle name="Comma 2 2 2 11 2 2 2 4" xfId="6313" xr:uid="{00000000-0005-0000-0000-00007C070000}"/>
    <cellStyle name="Comma 2 2 2 11 2 2 3" xfId="3588" xr:uid="{00000000-0005-0000-0000-00007D070000}"/>
    <cellStyle name="Comma 2 2 2 11 2 2 3 2" xfId="5591" xr:uid="{00000000-0005-0000-0000-00007E070000}"/>
    <cellStyle name="Comma 2 2 2 11 2 2 3 3" xfId="6725" xr:uid="{00000000-0005-0000-0000-00007F070000}"/>
    <cellStyle name="Comma 2 2 2 11 2 2 4" xfId="4254" xr:uid="{00000000-0005-0000-0000-000080070000}"/>
    <cellStyle name="Comma 2 2 2 11 2 3" xfId="3186" xr:uid="{00000000-0005-0000-0000-000081070000}"/>
    <cellStyle name="Comma 2 2 2 11 2 4" xfId="3587" xr:uid="{00000000-0005-0000-0000-000082070000}"/>
    <cellStyle name="Comma 2 2 2 11 2 4 2" xfId="4732" xr:uid="{00000000-0005-0000-0000-000083070000}"/>
    <cellStyle name="Comma 2 2 2 11 2 4 3" xfId="5978" xr:uid="{00000000-0005-0000-0000-000084070000}"/>
    <cellStyle name="Comma 2 2 2 11 2 5" xfId="4613" xr:uid="{00000000-0005-0000-0000-000085070000}"/>
    <cellStyle name="Comma 2 2 2 11 2 6" xfId="4255" xr:uid="{00000000-0005-0000-0000-000086070000}"/>
    <cellStyle name="Comma 2 2 2 11 3" xfId="2316" xr:uid="{00000000-0005-0000-0000-000087070000}"/>
    <cellStyle name="Comma 2 2 2 11 4" xfId="2478" xr:uid="{00000000-0005-0000-0000-000088070000}"/>
    <cellStyle name="Comma 2 2 2 11 5" xfId="2700" xr:uid="{00000000-0005-0000-0000-000089070000}"/>
    <cellStyle name="Comma 2 2 2 11 5 2" xfId="3109" xr:uid="{00000000-0005-0000-0000-00008A070000}"/>
    <cellStyle name="Comma 2 2 2 11 5 2 2" xfId="4972" xr:uid="{00000000-0005-0000-0000-00008B070000}"/>
    <cellStyle name="Comma 2 2 2 11 5 2 2 2" xfId="5289" xr:uid="{00000000-0005-0000-0000-00008C070000}"/>
    <cellStyle name="Comma 2 2 2 11 5 2 2 3" xfId="6494" xr:uid="{00000000-0005-0000-0000-00008D070000}"/>
    <cellStyle name="Comma 2 2 2 11 5 2 3" xfId="5772" xr:uid="{00000000-0005-0000-0000-00008E070000}"/>
    <cellStyle name="Comma 2 2 2 11 5 2 4" xfId="6183" xr:uid="{00000000-0005-0000-0000-00008F070000}"/>
    <cellStyle name="Comma 2 2 2 11 5 3" xfId="3590" xr:uid="{00000000-0005-0000-0000-000090070000}"/>
    <cellStyle name="Comma 2 2 2 11 5 3 2" xfId="5460" xr:uid="{00000000-0005-0000-0000-000091070000}"/>
    <cellStyle name="Comma 2 2 2 11 5 3 3" xfId="6654" xr:uid="{00000000-0005-0000-0000-000092070000}"/>
    <cellStyle name="Comma 2 2 2 11 5 4" xfId="4253" xr:uid="{00000000-0005-0000-0000-000093070000}"/>
    <cellStyle name="Comma 2 2 2 11 6" xfId="3586" xr:uid="{00000000-0005-0000-0000-000094070000}"/>
    <cellStyle name="Comma 2 2 2 11 6 2" xfId="4629" xr:uid="{00000000-0005-0000-0000-000095070000}"/>
    <cellStyle name="Comma 2 2 2 11 6 3" xfId="5904" xr:uid="{00000000-0005-0000-0000-000096070000}"/>
    <cellStyle name="Comma 2 2 2 11 7" xfId="4415" xr:uid="{00000000-0005-0000-0000-000097070000}"/>
    <cellStyle name="Comma 2 2 2 11 8" xfId="4256" xr:uid="{00000000-0005-0000-0000-000098070000}"/>
    <cellStyle name="Comma 2 2 2 12" xfId="2151" xr:uid="{00000000-0005-0000-0000-000099070000}"/>
    <cellStyle name="Comma 2 2 2 13" xfId="2131" xr:uid="{00000000-0005-0000-0000-00009A070000}"/>
    <cellStyle name="Comma 2 2 2 14" xfId="2032" xr:uid="{00000000-0005-0000-0000-00009B070000}"/>
    <cellStyle name="Comma 2 2 2 14 2" xfId="2846" xr:uid="{00000000-0005-0000-0000-00009C070000}"/>
    <cellStyle name="Comma 2 2 2 14 2 2" xfId="2994" xr:uid="{00000000-0005-0000-0000-00009D070000}"/>
    <cellStyle name="Comma 2 2 2 14 2 2 2" xfId="5029" xr:uid="{00000000-0005-0000-0000-00009E070000}"/>
    <cellStyle name="Comma 2 2 2 14 2 2 2 2" xfId="5175" xr:uid="{00000000-0005-0000-0000-00009F070000}"/>
    <cellStyle name="Comma 2 2 2 14 2 2 2 3" xfId="6380" xr:uid="{00000000-0005-0000-0000-0000A0070000}"/>
    <cellStyle name="Comma 2 2 2 14 2 2 3" xfId="5658" xr:uid="{00000000-0005-0000-0000-0000A1070000}"/>
    <cellStyle name="Comma 2 2 2 14 2 2 4" xfId="6234" xr:uid="{00000000-0005-0000-0000-0000A2070000}"/>
    <cellStyle name="Comma 2 2 2 14 2 3" xfId="3594" xr:uid="{00000000-0005-0000-0000-0000A3070000}"/>
    <cellStyle name="Comma 2 2 2 14 2 3 2" xfId="5512" xr:uid="{00000000-0005-0000-0000-0000A4070000}"/>
    <cellStyle name="Comma 2 2 2 14 2 3 3" xfId="6667" xr:uid="{00000000-0005-0000-0000-0000A5070000}"/>
    <cellStyle name="Comma 2 2 2 14 2 4" xfId="4251" xr:uid="{00000000-0005-0000-0000-0000A6070000}"/>
    <cellStyle name="Comma 2 2 2 14 3" xfId="3176" xr:uid="{00000000-0005-0000-0000-0000A7070000}"/>
    <cellStyle name="Comma 2 2 2 14 4" xfId="3593" xr:uid="{00000000-0005-0000-0000-0000A8070000}"/>
    <cellStyle name="Comma 2 2 2 14 4 2" xfId="4696" xr:uid="{00000000-0005-0000-0000-0000A9070000}"/>
    <cellStyle name="Comma 2 2 2 14 4 3" xfId="5969" xr:uid="{00000000-0005-0000-0000-0000AA070000}"/>
    <cellStyle name="Comma 2 2 2 14 5" xfId="4614" xr:uid="{00000000-0005-0000-0000-0000AB070000}"/>
    <cellStyle name="Comma 2 2 2 14 6" xfId="4252" xr:uid="{00000000-0005-0000-0000-0000AC070000}"/>
    <cellStyle name="Comma 2 2 2 15" xfId="2473" xr:uid="{00000000-0005-0000-0000-0000AD070000}"/>
    <cellStyle name="Comma 2 2 2 16" xfId="2705" xr:uid="{00000000-0005-0000-0000-0000AE070000}"/>
    <cellStyle name="Comma 2 2 2 16 2" xfId="2857" xr:uid="{00000000-0005-0000-0000-0000AF070000}"/>
    <cellStyle name="Comma 2 2 2 16 2 2" xfId="4977" xr:uid="{00000000-0005-0000-0000-0000B0070000}"/>
    <cellStyle name="Comma 2 2 2 16 2 2 2" xfId="5040" xr:uid="{00000000-0005-0000-0000-0000B1070000}"/>
    <cellStyle name="Comma 2 2 2 16 2 2 3" xfId="6245" xr:uid="{00000000-0005-0000-0000-0000B2070000}"/>
    <cellStyle name="Comma 2 2 2 16 2 3" xfId="5523" xr:uid="{00000000-0005-0000-0000-0000B3070000}"/>
    <cellStyle name="Comma 2 2 2 16 2 4" xfId="6188" xr:uid="{00000000-0005-0000-0000-0000B4070000}"/>
    <cellStyle name="Comma 2 2 2 16 3" xfId="3597" xr:uid="{00000000-0005-0000-0000-0000B5070000}"/>
    <cellStyle name="Comma 2 2 2 16 3 2" xfId="5465" xr:uid="{00000000-0005-0000-0000-0000B6070000}"/>
    <cellStyle name="Comma 2 2 2 16 3 3" xfId="6659" xr:uid="{00000000-0005-0000-0000-0000B7070000}"/>
    <cellStyle name="Comma 2 2 2 16 4" xfId="4250" xr:uid="{00000000-0005-0000-0000-0000B8070000}"/>
    <cellStyle name="Comma 2 2 2 17" xfId="3555" xr:uid="{00000000-0005-0000-0000-0000B9070000}"/>
    <cellStyle name="Comma 2 2 2 17 2" xfId="4473" xr:uid="{00000000-0005-0000-0000-0000BA070000}"/>
    <cellStyle name="Comma 2 2 2 17 3" xfId="5846" xr:uid="{00000000-0005-0000-0000-0000BB070000}"/>
    <cellStyle name="Comma 2 2 2 18" xfId="4485" xr:uid="{00000000-0005-0000-0000-0000BC070000}"/>
    <cellStyle name="Comma 2 2 2 19" xfId="4273" xr:uid="{00000000-0005-0000-0000-0000BD070000}"/>
    <cellStyle name="Comma 2 2 2 2" xfId="507" xr:uid="{00000000-0005-0000-0000-0000BE070000}"/>
    <cellStyle name="Comma 2 2 2 2 10" xfId="508" xr:uid="{00000000-0005-0000-0000-0000BF070000}"/>
    <cellStyle name="Comma 2 2 2 2 11" xfId="509" xr:uid="{00000000-0005-0000-0000-0000C0070000}"/>
    <cellStyle name="Comma 2 2 2 2 12" xfId="510" xr:uid="{00000000-0005-0000-0000-0000C1070000}"/>
    <cellStyle name="Comma 2 2 2 2 13" xfId="511" xr:uid="{00000000-0005-0000-0000-0000C2070000}"/>
    <cellStyle name="Comma 2 2 2 2 14" xfId="1708" xr:uid="{00000000-0005-0000-0000-0000C3070000}"/>
    <cellStyle name="Comma 2 2 2 2 14 10" xfId="4468" xr:uid="{00000000-0005-0000-0000-0000C4070000}"/>
    <cellStyle name="Comma 2 2 2 2 14 11" xfId="4248" xr:uid="{00000000-0005-0000-0000-0000C5070000}"/>
    <cellStyle name="Comma 2 2 2 2 14 12" xfId="9030" xr:uid="{00000000-0005-0000-0000-0000C6070000}"/>
    <cellStyle name="Comma 2 2 2 2 14 2" xfId="1825" xr:uid="{00000000-0005-0000-0000-0000C7070000}"/>
    <cellStyle name="Comma 2 2 2 2 14 2 10" xfId="4451" xr:uid="{00000000-0005-0000-0000-0000C8070000}"/>
    <cellStyle name="Comma 2 2 2 2 14 2 11" xfId="4247" xr:uid="{00000000-0005-0000-0000-0000C9070000}"/>
    <cellStyle name="Comma 2 2 2 2 14 2 12" xfId="9031" xr:uid="{00000000-0005-0000-0000-0000CA070000}"/>
    <cellStyle name="Comma 2 2 2 2 14 2 2" xfId="1863" xr:uid="{00000000-0005-0000-0000-0000CB070000}"/>
    <cellStyle name="Comma 2 2 2 2 14 2 2 10" xfId="4246" xr:uid="{00000000-0005-0000-0000-0000CC070000}"/>
    <cellStyle name="Comma 2 2 2 2 14 2 2 11" xfId="9032" xr:uid="{00000000-0005-0000-0000-0000CD070000}"/>
    <cellStyle name="Comma 2 2 2 2 14 2 2 2" xfId="1871" xr:uid="{00000000-0005-0000-0000-0000CE070000}"/>
    <cellStyle name="Comma 2 2 2 2 14 2 2 2 10" xfId="4245" xr:uid="{00000000-0005-0000-0000-0000CF070000}"/>
    <cellStyle name="Comma 2 2 2 2 14 2 2 2 2" xfId="2211" xr:uid="{00000000-0005-0000-0000-0000D0070000}"/>
    <cellStyle name="Comma 2 2 2 2 14 2 2 2 2 2" xfId="2219" xr:uid="{00000000-0005-0000-0000-0000D1070000}"/>
    <cellStyle name="Comma 2 2 2 2 14 2 2 2 2 2 2" xfId="3049" xr:uid="{00000000-0005-0000-0000-0000D2070000}"/>
    <cellStyle name="Comma 2 2 2 2 14 2 2 2 2 2 2 2" xfId="3057" xr:uid="{00000000-0005-0000-0000-0000D3070000}"/>
    <cellStyle name="Comma 2 2 2 2 14 2 2 2 2 2 2 2 2" xfId="5229" xr:uid="{00000000-0005-0000-0000-0000D4070000}"/>
    <cellStyle name="Comma 2 2 2 2 14 2 2 2 2 2 2 2 2 2" xfId="5237" xr:uid="{00000000-0005-0000-0000-0000D5070000}"/>
    <cellStyle name="Comma 2 2 2 2 14 2 2 2 2 2 2 2 2 3" xfId="6442" xr:uid="{00000000-0005-0000-0000-0000D6070000}"/>
    <cellStyle name="Comma 2 2 2 2 14 2 2 2 2 2 2 2 3" xfId="5720" xr:uid="{00000000-0005-0000-0000-0000D7070000}"/>
    <cellStyle name="Comma 2 2 2 2 14 2 2 2 2 2 2 2 4" xfId="6434" xr:uid="{00000000-0005-0000-0000-0000D8070000}"/>
    <cellStyle name="Comma 2 2 2 2 14 2 2 2 2 2 2 3" xfId="3608" xr:uid="{00000000-0005-0000-0000-0000D9070000}"/>
    <cellStyle name="Comma 2 2 2 2 14 2 2 2 2 2 2 3 2" xfId="5712" xr:uid="{00000000-0005-0000-0000-0000DA070000}"/>
    <cellStyle name="Comma 2 2 2 2 14 2 2 2 2 2 2 3 3" xfId="6775" xr:uid="{00000000-0005-0000-0000-0000DB070000}"/>
    <cellStyle name="Comma 2 2 2 2 14 2 2 2 2 2 2 4" xfId="4241" xr:uid="{00000000-0005-0000-0000-0000DC070000}"/>
    <cellStyle name="Comma 2 2 2 2 14 2 2 2 2 2 3" xfId="3239" xr:uid="{00000000-0005-0000-0000-0000DD070000}"/>
    <cellStyle name="Comma 2 2 2 2 14 2 2 2 2 2 4" xfId="3607" xr:uid="{00000000-0005-0000-0000-0000DE070000}"/>
    <cellStyle name="Comma 2 2 2 2 14 2 2 2 2 2 4 2" xfId="4786" xr:uid="{00000000-0005-0000-0000-0000DF070000}"/>
    <cellStyle name="Comma 2 2 2 2 14 2 2 2 2 2 4 3" xfId="6031" xr:uid="{00000000-0005-0000-0000-0000E0070000}"/>
    <cellStyle name="Comma 2 2 2 2 14 2 2 2 2 2 5" xfId="4387" xr:uid="{00000000-0005-0000-0000-0000E1070000}"/>
    <cellStyle name="Comma 2 2 2 2 14 2 2 2 2 2 6" xfId="4242" xr:uid="{00000000-0005-0000-0000-0000E2070000}"/>
    <cellStyle name="Comma 2 2 2 2 14 2 2 2 2 3" xfId="2368" xr:uid="{00000000-0005-0000-0000-0000E3070000}"/>
    <cellStyle name="Comma 2 2 2 2 14 2 2 2 2 4" xfId="2484" xr:uid="{00000000-0005-0000-0000-0000E4070000}"/>
    <cellStyle name="Comma 2 2 2 2 14 2 2 2 2 5" xfId="2694" xr:uid="{00000000-0005-0000-0000-0000E5070000}"/>
    <cellStyle name="Comma 2 2 2 2 14 2 2 2 2 5 2" xfId="3231" xr:uid="{00000000-0005-0000-0000-0000E6070000}"/>
    <cellStyle name="Comma 2 2 2 2 14 2 2 2 2 5 2 2" xfId="4966" xr:uid="{00000000-0005-0000-0000-0000E7070000}"/>
    <cellStyle name="Comma 2 2 2 2 14 2 2 2 2 5 2 2 2" xfId="5340" xr:uid="{00000000-0005-0000-0000-0000E8070000}"/>
    <cellStyle name="Comma 2 2 2 2 14 2 2 2 2 5 2 2 3" xfId="6545" xr:uid="{00000000-0005-0000-0000-0000E9070000}"/>
    <cellStyle name="Comma 2 2 2 2 14 2 2 2 2 5 2 3" xfId="5823" xr:uid="{00000000-0005-0000-0000-0000EA070000}"/>
    <cellStyle name="Comma 2 2 2 2 14 2 2 2 2 5 2 4" xfId="6177" xr:uid="{00000000-0005-0000-0000-0000EB070000}"/>
    <cellStyle name="Comma 2 2 2 2 14 2 2 2 2 5 3" xfId="3611" xr:uid="{00000000-0005-0000-0000-0000EC070000}"/>
    <cellStyle name="Comma 2 2 2 2 14 2 2 2 2 5 3 2" xfId="5454" xr:uid="{00000000-0005-0000-0000-0000ED070000}"/>
    <cellStyle name="Comma 2 2 2 2 14 2 2 2 2 5 3 3" xfId="6648" xr:uid="{00000000-0005-0000-0000-0000EE070000}"/>
    <cellStyle name="Comma 2 2 2 2 14 2 2 2 2 5 4" xfId="4240" xr:uid="{00000000-0005-0000-0000-0000EF070000}"/>
    <cellStyle name="Comma 2 2 2 2 14 2 2 2 2 6" xfId="3606" xr:uid="{00000000-0005-0000-0000-0000F0070000}"/>
    <cellStyle name="Comma 2 2 2 2 14 2 2 2 2 6 2" xfId="4778" xr:uid="{00000000-0005-0000-0000-0000F1070000}"/>
    <cellStyle name="Comma 2 2 2 2 14 2 2 2 2 6 3" xfId="6023" xr:uid="{00000000-0005-0000-0000-0000F2070000}"/>
    <cellStyle name="Comma 2 2 2 2 14 2 2 2 2 7" xfId="4500" xr:uid="{00000000-0005-0000-0000-0000F3070000}"/>
    <cellStyle name="Comma 2 2 2 2 14 2 2 2 2 8" xfId="4244" xr:uid="{00000000-0005-0000-0000-0000F4070000}"/>
    <cellStyle name="Comma 2 2 2 2 14 2 2 2 3" xfId="2271" xr:uid="{00000000-0005-0000-0000-0000F5070000}"/>
    <cellStyle name="Comma 2 2 2 2 14 2 2 2 4" xfId="2306" xr:uid="{00000000-0005-0000-0000-0000F6070000}"/>
    <cellStyle name="Comma 2 2 2 2 14 2 2 2 5" xfId="2360" xr:uid="{00000000-0005-0000-0000-0000F7070000}"/>
    <cellStyle name="Comma 2 2 2 2 14 2 2 2 5 2" xfId="2921" xr:uid="{00000000-0005-0000-0000-0000F8070000}"/>
    <cellStyle name="Comma 2 2 2 2 14 2 2 2 5 2 2" xfId="3097" xr:uid="{00000000-0005-0000-0000-0000F9070000}"/>
    <cellStyle name="Comma 2 2 2 2 14 2 2 2 5 2 2 2" xfId="5102" xr:uid="{00000000-0005-0000-0000-0000FA070000}"/>
    <cellStyle name="Comma 2 2 2 2 14 2 2 2 5 2 2 2 2" xfId="5277" xr:uid="{00000000-0005-0000-0000-0000FB070000}"/>
    <cellStyle name="Comma 2 2 2 2 14 2 2 2 5 2 2 2 3" xfId="6482" xr:uid="{00000000-0005-0000-0000-0000FC070000}"/>
    <cellStyle name="Comma 2 2 2 2 14 2 2 2 5 2 2 3" xfId="5760" xr:uid="{00000000-0005-0000-0000-0000FD070000}"/>
    <cellStyle name="Comma 2 2 2 2 14 2 2 2 5 2 2 4" xfId="6307" xr:uid="{00000000-0005-0000-0000-0000FE070000}"/>
    <cellStyle name="Comma 2 2 2 2 14 2 2 2 5 2 3" xfId="3615" xr:uid="{00000000-0005-0000-0000-0000FF070000}"/>
    <cellStyle name="Comma 2 2 2 2 14 2 2 2 5 2 3 2" xfId="5585" xr:uid="{00000000-0005-0000-0000-000000080000}"/>
    <cellStyle name="Comma 2 2 2 2 14 2 2 2 5 2 3 3" xfId="6719" xr:uid="{00000000-0005-0000-0000-000001080000}"/>
    <cellStyle name="Comma 2 2 2 2 14 2 2 2 5 2 4" xfId="4236" xr:uid="{00000000-0005-0000-0000-000002080000}"/>
    <cellStyle name="Comma 2 2 2 2 14 2 2 2 5 3" xfId="3279" xr:uid="{00000000-0005-0000-0000-000003080000}"/>
    <cellStyle name="Comma 2 2 2 2 14 2 2 2 5 4" xfId="3614" xr:uid="{00000000-0005-0000-0000-000004080000}"/>
    <cellStyle name="Comma 2 2 2 2 14 2 2 2 5 4 2" xfId="4827" xr:uid="{00000000-0005-0000-0000-000005080000}"/>
    <cellStyle name="Comma 2 2 2 2 14 2 2 2 5 4 3" xfId="6072" xr:uid="{00000000-0005-0000-0000-000006080000}"/>
    <cellStyle name="Comma 2 2 2 2 14 2 2 2 5 5" xfId="4598" xr:uid="{00000000-0005-0000-0000-000007080000}"/>
    <cellStyle name="Comma 2 2 2 2 14 2 2 2 5 6" xfId="4237" xr:uid="{00000000-0005-0000-0000-000008080000}"/>
    <cellStyle name="Comma 2 2 2 2 14 2 2 2 6" xfId="2483" xr:uid="{00000000-0005-0000-0000-000009080000}"/>
    <cellStyle name="Comma 2 2 2 2 14 2 2 2 7" xfId="2695" xr:uid="{00000000-0005-0000-0000-00000A080000}"/>
    <cellStyle name="Comma 2 2 2 2 14 2 2 2 7 2" xfId="2808" xr:uid="{00000000-0005-0000-0000-00000B080000}"/>
    <cellStyle name="Comma 2 2 2 2 14 2 2 2 7 2 2" xfId="4967" xr:uid="{00000000-0005-0000-0000-00000C080000}"/>
    <cellStyle name="Comma 2 2 2 2 14 2 2 2 7 2 2 2" xfId="4993" xr:uid="{00000000-0005-0000-0000-00000D080000}"/>
    <cellStyle name="Comma 2 2 2 2 14 2 2 2 7 2 2 3" xfId="6198" xr:uid="{00000000-0005-0000-0000-00000E080000}"/>
    <cellStyle name="Comma 2 2 2 2 14 2 2 2 7 2 3" xfId="5476" xr:uid="{00000000-0005-0000-0000-00000F080000}"/>
    <cellStyle name="Comma 2 2 2 2 14 2 2 2 7 2 4" xfId="6178" xr:uid="{00000000-0005-0000-0000-000010080000}"/>
    <cellStyle name="Comma 2 2 2 2 14 2 2 2 7 3" xfId="3616" xr:uid="{00000000-0005-0000-0000-000011080000}"/>
    <cellStyle name="Comma 2 2 2 2 14 2 2 2 7 3 2" xfId="5455" xr:uid="{00000000-0005-0000-0000-000012080000}"/>
    <cellStyle name="Comma 2 2 2 2 14 2 2 2 7 3 3" xfId="6649" xr:uid="{00000000-0005-0000-0000-000013080000}"/>
    <cellStyle name="Comma 2 2 2 2 14 2 2 2 7 4" xfId="4233" xr:uid="{00000000-0005-0000-0000-000014080000}"/>
    <cellStyle name="Comma 2 2 2 2 14 2 2 2 8" xfId="3605" xr:uid="{00000000-0005-0000-0000-000015080000}"/>
    <cellStyle name="Comma 2 2 2 2 14 2 2 2 8 2" xfId="4594" xr:uid="{00000000-0005-0000-0000-000016080000}"/>
    <cellStyle name="Comma 2 2 2 2 14 2 2 2 8 3" xfId="5898" xr:uid="{00000000-0005-0000-0000-000017080000}"/>
    <cellStyle name="Comma 2 2 2 2 14 2 2 2 9" xfId="4423" xr:uid="{00000000-0005-0000-0000-000018080000}"/>
    <cellStyle name="Comma 2 2 2 2 14 2 2 3" xfId="1960" xr:uid="{00000000-0005-0000-0000-000019080000}"/>
    <cellStyle name="Comma 2 2 2 2 14 2 2 3 2" xfId="2263" xr:uid="{00000000-0005-0000-0000-00001A080000}"/>
    <cellStyle name="Comma 2 2 2 2 14 2 2 3 2 2" xfId="2932" xr:uid="{00000000-0005-0000-0000-00001B080000}"/>
    <cellStyle name="Comma 2 2 2 2 14 2 2 3 2 2 2" xfId="3074" xr:uid="{00000000-0005-0000-0000-00001C080000}"/>
    <cellStyle name="Comma 2 2 2 2 14 2 2 3 2 2 2 2" xfId="5113" xr:uid="{00000000-0005-0000-0000-00001D080000}"/>
    <cellStyle name="Comma 2 2 2 2 14 2 2 3 2 2 2 2 2" xfId="5254" xr:uid="{00000000-0005-0000-0000-00001E080000}"/>
    <cellStyle name="Comma 2 2 2 2 14 2 2 3 2 2 2 2 3" xfId="6459" xr:uid="{00000000-0005-0000-0000-00001F080000}"/>
    <cellStyle name="Comma 2 2 2 2 14 2 2 3 2 2 2 3" xfId="5737" xr:uid="{00000000-0005-0000-0000-000020080000}"/>
    <cellStyle name="Comma 2 2 2 2 14 2 2 3 2 2 2 4" xfId="6318" xr:uid="{00000000-0005-0000-0000-000021080000}"/>
    <cellStyle name="Comma 2 2 2 2 14 2 2 3 2 2 3" xfId="3619" xr:uid="{00000000-0005-0000-0000-000022080000}"/>
    <cellStyle name="Comma 2 2 2 2 14 2 2 3 2 2 3 2" xfId="5596" xr:uid="{00000000-0005-0000-0000-000023080000}"/>
    <cellStyle name="Comma 2 2 2 2 14 2 2 3 2 2 3 3" xfId="6730" xr:uid="{00000000-0005-0000-0000-000024080000}"/>
    <cellStyle name="Comma 2 2 2 2 14 2 2 3 2 2 4" xfId="4228" xr:uid="{00000000-0005-0000-0000-000025080000}"/>
    <cellStyle name="Comma 2 2 2 2 14 2 2 3 2 3" xfId="3256" xr:uid="{00000000-0005-0000-0000-000026080000}"/>
    <cellStyle name="Comma 2 2 2 2 14 2 2 3 2 4" xfId="3618" xr:uid="{00000000-0005-0000-0000-000027080000}"/>
    <cellStyle name="Comma 2 2 2 2 14 2 2 3 2 4 2" xfId="4803" xr:uid="{00000000-0005-0000-0000-000028080000}"/>
    <cellStyle name="Comma 2 2 2 2 14 2 2 3 2 4 3" xfId="6048" xr:uid="{00000000-0005-0000-0000-000029080000}"/>
    <cellStyle name="Comma 2 2 2 2 14 2 2 3 2 5" xfId="4722" xr:uid="{00000000-0005-0000-0000-00002A080000}"/>
    <cellStyle name="Comma 2 2 2 2 14 2 2 3 2 6" xfId="4229" xr:uid="{00000000-0005-0000-0000-00002B080000}"/>
    <cellStyle name="Comma 2 2 2 2 14 2 2 3 3" xfId="2383" xr:uid="{00000000-0005-0000-0000-00002C080000}"/>
    <cellStyle name="Comma 2 2 2 2 14 2 2 3 4" xfId="2485" xr:uid="{00000000-0005-0000-0000-00002D080000}"/>
    <cellStyle name="Comma 2 2 2 2 14 2 2 3 5" xfId="2693" xr:uid="{00000000-0005-0000-0000-00002E080000}"/>
    <cellStyle name="Comma 2 2 2 2 14 2 2 3 5 2" xfId="3114" xr:uid="{00000000-0005-0000-0000-00002F080000}"/>
    <cellStyle name="Comma 2 2 2 2 14 2 2 3 5 2 2" xfId="4965" xr:uid="{00000000-0005-0000-0000-000030080000}"/>
    <cellStyle name="Comma 2 2 2 2 14 2 2 3 5 2 2 2" xfId="5294" xr:uid="{00000000-0005-0000-0000-000031080000}"/>
    <cellStyle name="Comma 2 2 2 2 14 2 2 3 5 2 2 3" xfId="6499" xr:uid="{00000000-0005-0000-0000-000032080000}"/>
    <cellStyle name="Comma 2 2 2 2 14 2 2 3 5 2 3" xfId="5777" xr:uid="{00000000-0005-0000-0000-000033080000}"/>
    <cellStyle name="Comma 2 2 2 2 14 2 2 3 5 2 4" xfId="6176" xr:uid="{00000000-0005-0000-0000-000034080000}"/>
    <cellStyle name="Comma 2 2 2 2 14 2 2 3 5 3" xfId="3623" xr:uid="{00000000-0005-0000-0000-000035080000}"/>
    <cellStyle name="Comma 2 2 2 2 14 2 2 3 5 3 2" xfId="5453" xr:uid="{00000000-0005-0000-0000-000036080000}"/>
    <cellStyle name="Comma 2 2 2 2 14 2 2 3 5 3 3" xfId="6647" xr:uid="{00000000-0005-0000-0000-000037080000}"/>
    <cellStyle name="Comma 2 2 2 2 14 2 2 3 5 4" xfId="4225" xr:uid="{00000000-0005-0000-0000-000038080000}"/>
    <cellStyle name="Comma 2 2 2 2 14 2 2 3 6" xfId="3617" xr:uid="{00000000-0005-0000-0000-000039080000}"/>
    <cellStyle name="Comma 2 2 2 2 14 2 2 3 6 2" xfId="4634" xr:uid="{00000000-0005-0000-0000-00003A080000}"/>
    <cellStyle name="Comma 2 2 2 2 14 2 2 3 6 3" xfId="5909" xr:uid="{00000000-0005-0000-0000-00003B080000}"/>
    <cellStyle name="Comma 2 2 2 2 14 2 2 3 7" xfId="4626" xr:uid="{00000000-0005-0000-0000-00003C080000}"/>
    <cellStyle name="Comma 2 2 2 2 14 2 2 3 8" xfId="4231" xr:uid="{00000000-0005-0000-0000-00003D080000}"/>
    <cellStyle name="Comma 2 2 2 2 14 2 2 4" xfId="2298" xr:uid="{00000000-0005-0000-0000-00003E080000}"/>
    <cellStyle name="Comma 2 2 2 2 14 2 2 5" xfId="2027" xr:uid="{00000000-0005-0000-0000-00003F080000}"/>
    <cellStyle name="Comma 2 2 2 2 14 2 2 5 2" xfId="2913" xr:uid="{00000000-0005-0000-0000-000040080000}"/>
    <cellStyle name="Comma 2 2 2 2 14 2 2 5 2 2" xfId="2989" xr:uid="{00000000-0005-0000-0000-000041080000}"/>
    <cellStyle name="Comma 2 2 2 2 14 2 2 5 2 2 2" xfId="5094" xr:uid="{00000000-0005-0000-0000-000042080000}"/>
    <cellStyle name="Comma 2 2 2 2 14 2 2 5 2 2 2 2" xfId="5170" xr:uid="{00000000-0005-0000-0000-000043080000}"/>
    <cellStyle name="Comma 2 2 2 2 14 2 2 5 2 2 2 3" xfId="6375" xr:uid="{00000000-0005-0000-0000-000044080000}"/>
    <cellStyle name="Comma 2 2 2 2 14 2 2 5 2 2 3" xfId="5653" xr:uid="{00000000-0005-0000-0000-000045080000}"/>
    <cellStyle name="Comma 2 2 2 2 14 2 2 5 2 2 4" xfId="6299" xr:uid="{00000000-0005-0000-0000-000046080000}"/>
    <cellStyle name="Comma 2 2 2 2 14 2 2 5 2 3" xfId="3626" xr:uid="{00000000-0005-0000-0000-000047080000}"/>
    <cellStyle name="Comma 2 2 2 2 14 2 2 5 2 3 2" xfId="5577" xr:uid="{00000000-0005-0000-0000-000048080000}"/>
    <cellStyle name="Comma 2 2 2 2 14 2 2 5 2 3 3" xfId="6711" xr:uid="{00000000-0005-0000-0000-000049080000}"/>
    <cellStyle name="Comma 2 2 2 2 14 2 2 5 2 4" xfId="4223" xr:uid="{00000000-0005-0000-0000-00004A080000}"/>
    <cellStyle name="Comma 2 2 2 2 14 2 2 5 3" xfId="3171" xr:uid="{00000000-0005-0000-0000-00004B080000}"/>
    <cellStyle name="Comma 2 2 2 2 14 2 2 5 4" xfId="3625" xr:uid="{00000000-0005-0000-0000-00004C080000}"/>
    <cellStyle name="Comma 2 2 2 2 14 2 2 5 4 2" xfId="4691" xr:uid="{00000000-0005-0000-0000-00004D080000}"/>
    <cellStyle name="Comma 2 2 2 2 14 2 2 5 4 3" xfId="5964" xr:uid="{00000000-0005-0000-0000-00004E080000}"/>
    <cellStyle name="Comma 2 2 2 2 14 2 2 5 5" xfId="4508" xr:uid="{00000000-0005-0000-0000-00004F080000}"/>
    <cellStyle name="Comma 2 2 2 2 14 2 2 5 6" xfId="4224" xr:uid="{00000000-0005-0000-0000-000050080000}"/>
    <cellStyle name="Comma 2 2 2 2 14 2 2 6" xfId="2482" xr:uid="{00000000-0005-0000-0000-000051080000}"/>
    <cellStyle name="Comma 2 2 2 2 14 2 2 7" xfId="2696" xr:uid="{00000000-0005-0000-0000-000052080000}"/>
    <cellStyle name="Comma 2 2 2 2 14 2 2 7 2" xfId="2816" xr:uid="{00000000-0005-0000-0000-000053080000}"/>
    <cellStyle name="Comma 2 2 2 2 14 2 2 7 2 2" xfId="4968" xr:uid="{00000000-0005-0000-0000-000054080000}"/>
    <cellStyle name="Comma 2 2 2 2 14 2 2 7 2 2 2" xfId="5001" xr:uid="{00000000-0005-0000-0000-000055080000}"/>
    <cellStyle name="Comma 2 2 2 2 14 2 2 7 2 2 3" xfId="6206" xr:uid="{00000000-0005-0000-0000-000056080000}"/>
    <cellStyle name="Comma 2 2 2 2 14 2 2 7 2 3" xfId="5484" xr:uid="{00000000-0005-0000-0000-000057080000}"/>
    <cellStyle name="Comma 2 2 2 2 14 2 2 7 2 4" xfId="6179" xr:uid="{00000000-0005-0000-0000-000058080000}"/>
    <cellStyle name="Comma 2 2 2 2 14 2 2 7 3" xfId="3627" xr:uid="{00000000-0005-0000-0000-000059080000}"/>
    <cellStyle name="Comma 2 2 2 2 14 2 2 7 3 2" xfId="5456" xr:uid="{00000000-0005-0000-0000-00005A080000}"/>
    <cellStyle name="Comma 2 2 2 2 14 2 2 7 3 3" xfId="6650" xr:uid="{00000000-0005-0000-0000-00005B080000}"/>
    <cellStyle name="Comma 2 2 2 2 14 2 2 7 4" xfId="4222" xr:uid="{00000000-0005-0000-0000-00005C080000}"/>
    <cellStyle name="Comma 2 2 2 2 14 2 2 8" xfId="3604" xr:uid="{00000000-0005-0000-0000-00005D080000}"/>
    <cellStyle name="Comma 2 2 2 2 14 2 2 8 2" xfId="4586" xr:uid="{00000000-0005-0000-0000-00005E080000}"/>
    <cellStyle name="Comma 2 2 2 2 14 2 2 8 3" xfId="5890" xr:uid="{00000000-0005-0000-0000-00005F080000}"/>
    <cellStyle name="Comma 2 2 2 2 14 2 2 9" xfId="4431" xr:uid="{00000000-0005-0000-0000-000060080000}"/>
    <cellStyle name="Comma 2 2 2 2 14 2 3" xfId="1959" xr:uid="{00000000-0005-0000-0000-000061080000}"/>
    <cellStyle name="Comma 2 2 2 2 14 2 3 2" xfId="2191" xr:uid="{00000000-0005-0000-0000-000062080000}"/>
    <cellStyle name="Comma 2 2 2 2 14 2 3 2 2" xfId="2931" xr:uid="{00000000-0005-0000-0000-000063080000}"/>
    <cellStyle name="Comma 2 2 2 2 14 2 3 2 2 2" xfId="3029" xr:uid="{00000000-0005-0000-0000-000064080000}"/>
    <cellStyle name="Comma 2 2 2 2 14 2 3 2 2 2 2" xfId="5112" xr:uid="{00000000-0005-0000-0000-000065080000}"/>
    <cellStyle name="Comma 2 2 2 2 14 2 3 2 2 2 2 2" xfId="5209" xr:uid="{00000000-0005-0000-0000-000066080000}"/>
    <cellStyle name="Comma 2 2 2 2 14 2 3 2 2 2 2 3" xfId="6414" xr:uid="{00000000-0005-0000-0000-000067080000}"/>
    <cellStyle name="Comma 2 2 2 2 14 2 3 2 2 2 3" xfId="5692" xr:uid="{00000000-0005-0000-0000-000068080000}"/>
    <cellStyle name="Comma 2 2 2 2 14 2 3 2 2 2 4" xfId="6317" xr:uid="{00000000-0005-0000-0000-000069080000}"/>
    <cellStyle name="Comma 2 2 2 2 14 2 3 2 2 3" xfId="3630" xr:uid="{00000000-0005-0000-0000-00006A080000}"/>
    <cellStyle name="Comma 2 2 2 2 14 2 3 2 2 3 2" xfId="5595" xr:uid="{00000000-0005-0000-0000-00006B080000}"/>
    <cellStyle name="Comma 2 2 2 2 14 2 3 2 2 3 3" xfId="6729" xr:uid="{00000000-0005-0000-0000-00006C080000}"/>
    <cellStyle name="Comma 2 2 2 2 14 2 3 2 2 4" xfId="4219" xr:uid="{00000000-0005-0000-0000-00006D080000}"/>
    <cellStyle name="Comma 2 2 2 2 14 2 3 2 3" xfId="3211" xr:uid="{00000000-0005-0000-0000-00006E080000}"/>
    <cellStyle name="Comma 2 2 2 2 14 2 3 2 4" xfId="3629" xr:uid="{00000000-0005-0000-0000-00006F080000}"/>
    <cellStyle name="Comma 2 2 2 2 14 2 3 2 4 2" xfId="4758" xr:uid="{00000000-0005-0000-0000-000070080000}"/>
    <cellStyle name="Comma 2 2 2 2 14 2 3 2 4 3" xfId="6003" xr:uid="{00000000-0005-0000-0000-000071080000}"/>
    <cellStyle name="Comma 2 2 2 2 14 2 3 2 5" xfId="4714" xr:uid="{00000000-0005-0000-0000-000072080000}"/>
    <cellStyle name="Comma 2 2 2 2 14 2 3 2 6" xfId="4220" xr:uid="{00000000-0005-0000-0000-000073080000}"/>
    <cellStyle name="Comma 2 2 2 2 14 2 3 3" xfId="2340" xr:uid="{00000000-0005-0000-0000-000074080000}"/>
    <cellStyle name="Comma 2 2 2 2 14 2 3 4" xfId="2486" xr:uid="{00000000-0005-0000-0000-000075080000}"/>
    <cellStyle name="Comma 2 2 2 2 14 2 3 5" xfId="2692" xr:uid="{00000000-0005-0000-0000-000076080000}"/>
    <cellStyle name="Comma 2 2 2 2 14 2 3 5 2" xfId="3113" xr:uid="{00000000-0005-0000-0000-000077080000}"/>
    <cellStyle name="Comma 2 2 2 2 14 2 3 5 2 2" xfId="4964" xr:uid="{00000000-0005-0000-0000-000078080000}"/>
    <cellStyle name="Comma 2 2 2 2 14 2 3 5 2 2 2" xfId="5293" xr:uid="{00000000-0005-0000-0000-000079080000}"/>
    <cellStyle name="Comma 2 2 2 2 14 2 3 5 2 2 3" xfId="6498" xr:uid="{00000000-0005-0000-0000-00007A080000}"/>
    <cellStyle name="Comma 2 2 2 2 14 2 3 5 2 3" xfId="5776" xr:uid="{00000000-0005-0000-0000-00007B080000}"/>
    <cellStyle name="Comma 2 2 2 2 14 2 3 5 2 4" xfId="6175" xr:uid="{00000000-0005-0000-0000-00007C080000}"/>
    <cellStyle name="Comma 2 2 2 2 14 2 3 5 3" xfId="3634" xr:uid="{00000000-0005-0000-0000-00007D080000}"/>
    <cellStyle name="Comma 2 2 2 2 14 2 3 5 3 2" xfId="5452" xr:uid="{00000000-0005-0000-0000-00007E080000}"/>
    <cellStyle name="Comma 2 2 2 2 14 2 3 5 3 3" xfId="6646" xr:uid="{00000000-0005-0000-0000-00007F080000}"/>
    <cellStyle name="Comma 2 2 2 2 14 2 3 5 4" xfId="4218" xr:uid="{00000000-0005-0000-0000-000080080000}"/>
    <cellStyle name="Comma 2 2 2 2 14 2 3 6" xfId="3628" xr:uid="{00000000-0005-0000-0000-000081080000}"/>
    <cellStyle name="Comma 2 2 2 2 14 2 3 6 2" xfId="4633" xr:uid="{00000000-0005-0000-0000-000082080000}"/>
    <cellStyle name="Comma 2 2 2 2 14 2 3 6 3" xfId="5908" xr:uid="{00000000-0005-0000-0000-000083080000}"/>
    <cellStyle name="Comma 2 2 2 2 14 2 3 7" xfId="4700" xr:uid="{00000000-0005-0000-0000-000084080000}"/>
    <cellStyle name="Comma 2 2 2 2 14 2 3 8" xfId="4221" xr:uid="{00000000-0005-0000-0000-000085080000}"/>
    <cellStyle name="Comma 2 2 2 2 14 2 4" xfId="2243" xr:uid="{00000000-0005-0000-0000-000086080000}"/>
    <cellStyle name="Comma 2 2 2 2 14 2 5" xfId="2278" xr:uid="{00000000-0005-0000-0000-000087080000}"/>
    <cellStyle name="Comma 2 2 2 2 14 2 6" xfId="2028" xr:uid="{00000000-0005-0000-0000-000088080000}"/>
    <cellStyle name="Comma 2 2 2 2 14 2 6 2" xfId="2893" xr:uid="{00000000-0005-0000-0000-000089080000}"/>
    <cellStyle name="Comma 2 2 2 2 14 2 6 2 2" xfId="2990" xr:uid="{00000000-0005-0000-0000-00008A080000}"/>
    <cellStyle name="Comma 2 2 2 2 14 2 6 2 2 2" xfId="5074" xr:uid="{00000000-0005-0000-0000-00008B080000}"/>
    <cellStyle name="Comma 2 2 2 2 14 2 6 2 2 2 2" xfId="5171" xr:uid="{00000000-0005-0000-0000-00008C080000}"/>
    <cellStyle name="Comma 2 2 2 2 14 2 6 2 2 2 3" xfId="6376" xr:uid="{00000000-0005-0000-0000-00008D080000}"/>
    <cellStyle name="Comma 2 2 2 2 14 2 6 2 2 3" xfId="5654" xr:uid="{00000000-0005-0000-0000-00008E080000}"/>
    <cellStyle name="Comma 2 2 2 2 14 2 6 2 2 4" xfId="6279" xr:uid="{00000000-0005-0000-0000-00008F080000}"/>
    <cellStyle name="Comma 2 2 2 2 14 2 6 2 3" xfId="3636" xr:uid="{00000000-0005-0000-0000-000090080000}"/>
    <cellStyle name="Comma 2 2 2 2 14 2 6 2 3 2" xfId="5557" xr:uid="{00000000-0005-0000-0000-000091080000}"/>
    <cellStyle name="Comma 2 2 2 2 14 2 6 2 3 3" xfId="6691" xr:uid="{00000000-0005-0000-0000-000092080000}"/>
    <cellStyle name="Comma 2 2 2 2 14 2 6 2 4" xfId="4216" xr:uid="{00000000-0005-0000-0000-000093080000}"/>
    <cellStyle name="Comma 2 2 2 2 14 2 6 3" xfId="3172" xr:uid="{00000000-0005-0000-0000-000094080000}"/>
    <cellStyle name="Comma 2 2 2 2 14 2 6 4" xfId="3635" xr:uid="{00000000-0005-0000-0000-000095080000}"/>
    <cellStyle name="Comma 2 2 2 2 14 2 6 4 2" xfId="4692" xr:uid="{00000000-0005-0000-0000-000096080000}"/>
    <cellStyle name="Comma 2 2 2 2 14 2 6 4 3" xfId="5965" xr:uid="{00000000-0005-0000-0000-000097080000}"/>
    <cellStyle name="Comma 2 2 2 2 14 2 6 5" xfId="4406" xr:uid="{00000000-0005-0000-0000-000098080000}"/>
    <cellStyle name="Comma 2 2 2 2 14 2 6 6" xfId="4217" xr:uid="{00000000-0005-0000-0000-000099080000}"/>
    <cellStyle name="Comma 2 2 2 2 14 2 7" xfId="2481" xr:uid="{00000000-0005-0000-0000-00009A080000}"/>
    <cellStyle name="Comma 2 2 2 2 14 2 8" xfId="2697" xr:uid="{00000000-0005-0000-0000-00009B080000}"/>
    <cellStyle name="Comma 2 2 2 2 14 2 8 2" xfId="2862" xr:uid="{00000000-0005-0000-0000-00009C080000}"/>
    <cellStyle name="Comma 2 2 2 2 14 2 8 2 2" xfId="4969" xr:uid="{00000000-0005-0000-0000-00009D080000}"/>
    <cellStyle name="Comma 2 2 2 2 14 2 8 2 2 2" xfId="5043" xr:uid="{00000000-0005-0000-0000-00009E080000}"/>
    <cellStyle name="Comma 2 2 2 2 14 2 8 2 2 3" xfId="6248" xr:uid="{00000000-0005-0000-0000-00009F080000}"/>
    <cellStyle name="Comma 2 2 2 2 14 2 8 2 3" xfId="5526" xr:uid="{00000000-0005-0000-0000-0000A0080000}"/>
    <cellStyle name="Comma 2 2 2 2 14 2 8 2 4" xfId="6180" xr:uid="{00000000-0005-0000-0000-0000A1080000}"/>
    <cellStyle name="Comma 2 2 2 2 14 2 8 3" xfId="3637" xr:uid="{00000000-0005-0000-0000-0000A2080000}"/>
    <cellStyle name="Comma 2 2 2 2 14 2 8 3 2" xfId="5457" xr:uid="{00000000-0005-0000-0000-0000A3080000}"/>
    <cellStyle name="Comma 2 2 2 2 14 2 8 3 3" xfId="6651" xr:uid="{00000000-0005-0000-0000-0000A4080000}"/>
    <cellStyle name="Comma 2 2 2 2 14 2 8 4" xfId="4215" xr:uid="{00000000-0005-0000-0000-0000A5080000}"/>
    <cellStyle name="Comma 2 2 2 2 14 2 9" xfId="3603" xr:uid="{00000000-0005-0000-0000-0000A6080000}"/>
    <cellStyle name="Comma 2 2 2 2 14 2 9 2" xfId="4566" xr:uid="{00000000-0005-0000-0000-0000A7080000}"/>
    <cellStyle name="Comma 2 2 2 2 14 2 9 3" xfId="5870" xr:uid="{00000000-0005-0000-0000-0000A8080000}"/>
    <cellStyle name="Comma 2 2 2 2 14 3" xfId="1847" xr:uid="{00000000-0005-0000-0000-0000A9080000}"/>
    <cellStyle name="Comma 2 2 2 2 14 3 10" xfId="4214" xr:uid="{00000000-0005-0000-0000-0000AA080000}"/>
    <cellStyle name="Comma 2 2 2 2 14 3 2" xfId="2168" xr:uid="{00000000-0005-0000-0000-0000AB080000}"/>
    <cellStyle name="Comma 2 2 2 2 14 3 2 2" xfId="2197" xr:uid="{00000000-0005-0000-0000-0000AC080000}"/>
    <cellStyle name="Comma 2 2 2 2 14 3 2 2 2" xfId="3012" xr:uid="{00000000-0005-0000-0000-0000AD080000}"/>
    <cellStyle name="Comma 2 2 2 2 14 3 2 2 2 2" xfId="3035" xr:uid="{00000000-0005-0000-0000-0000AE080000}"/>
    <cellStyle name="Comma 2 2 2 2 14 3 2 2 2 2 2" xfId="5192" xr:uid="{00000000-0005-0000-0000-0000AF080000}"/>
    <cellStyle name="Comma 2 2 2 2 14 3 2 2 2 2 2 2" xfId="5215" xr:uid="{00000000-0005-0000-0000-0000B0080000}"/>
    <cellStyle name="Comma 2 2 2 2 14 3 2 2 2 2 2 3" xfId="6420" xr:uid="{00000000-0005-0000-0000-0000B1080000}"/>
    <cellStyle name="Comma 2 2 2 2 14 3 2 2 2 2 3" xfId="5698" xr:uid="{00000000-0005-0000-0000-0000B2080000}"/>
    <cellStyle name="Comma 2 2 2 2 14 3 2 2 2 2 4" xfId="6397" xr:uid="{00000000-0005-0000-0000-0000B3080000}"/>
    <cellStyle name="Comma 2 2 2 2 14 3 2 2 2 3" xfId="3641" xr:uid="{00000000-0005-0000-0000-0000B4080000}"/>
    <cellStyle name="Comma 2 2 2 2 14 3 2 2 2 3 2" xfId="5675" xr:uid="{00000000-0005-0000-0000-0000B5080000}"/>
    <cellStyle name="Comma 2 2 2 2 14 3 2 2 2 3 3" xfId="6760" xr:uid="{00000000-0005-0000-0000-0000B6080000}"/>
    <cellStyle name="Comma 2 2 2 2 14 3 2 2 2 4" xfId="4211" xr:uid="{00000000-0005-0000-0000-0000B7080000}"/>
    <cellStyle name="Comma 2 2 2 2 14 3 2 2 3" xfId="3217" xr:uid="{00000000-0005-0000-0000-0000B8080000}"/>
    <cellStyle name="Comma 2 2 2 2 14 3 2 2 4" xfId="3640" xr:uid="{00000000-0005-0000-0000-0000B9080000}"/>
    <cellStyle name="Comma 2 2 2 2 14 3 2 2 4 2" xfId="4764" xr:uid="{00000000-0005-0000-0000-0000BA080000}"/>
    <cellStyle name="Comma 2 2 2 2 14 3 2 2 4 3" xfId="6009" xr:uid="{00000000-0005-0000-0000-0000BB080000}"/>
    <cellStyle name="Comma 2 2 2 2 14 3 2 2 5" xfId="4717" xr:uid="{00000000-0005-0000-0000-0000BC080000}"/>
    <cellStyle name="Comma 2 2 2 2 14 3 2 2 6" xfId="4212" xr:uid="{00000000-0005-0000-0000-0000BD080000}"/>
    <cellStyle name="Comma 2 2 2 2 14 3 2 3" xfId="2346" xr:uid="{00000000-0005-0000-0000-0000BE080000}"/>
    <cellStyle name="Comma 2 2 2 2 14 3 2 4" xfId="2488" xr:uid="{00000000-0005-0000-0000-0000BF080000}"/>
    <cellStyle name="Comma 2 2 2 2 14 3 2 5" xfId="2690" xr:uid="{00000000-0005-0000-0000-0000C0080000}"/>
    <cellStyle name="Comma 2 2 2 2 14 3 2 5 2" xfId="3194" xr:uid="{00000000-0005-0000-0000-0000C1080000}"/>
    <cellStyle name="Comma 2 2 2 2 14 3 2 5 2 2" xfId="4962" xr:uid="{00000000-0005-0000-0000-0000C2080000}"/>
    <cellStyle name="Comma 2 2 2 2 14 3 2 5 2 2 2" xfId="5324" xr:uid="{00000000-0005-0000-0000-0000C3080000}"/>
    <cellStyle name="Comma 2 2 2 2 14 3 2 5 2 2 3" xfId="6529" xr:uid="{00000000-0005-0000-0000-0000C4080000}"/>
    <cellStyle name="Comma 2 2 2 2 14 3 2 5 2 3" xfId="5807" xr:uid="{00000000-0005-0000-0000-0000C5080000}"/>
    <cellStyle name="Comma 2 2 2 2 14 3 2 5 2 4" xfId="6173" xr:uid="{00000000-0005-0000-0000-0000C6080000}"/>
    <cellStyle name="Comma 2 2 2 2 14 3 2 5 3" xfId="3642" xr:uid="{00000000-0005-0000-0000-0000C7080000}"/>
    <cellStyle name="Comma 2 2 2 2 14 3 2 5 3 2" xfId="5450" xr:uid="{00000000-0005-0000-0000-0000C8080000}"/>
    <cellStyle name="Comma 2 2 2 2 14 3 2 5 3 3" xfId="6644" xr:uid="{00000000-0005-0000-0000-0000C9080000}"/>
    <cellStyle name="Comma 2 2 2 2 14 3 2 5 4" xfId="4210" xr:uid="{00000000-0005-0000-0000-0000CA080000}"/>
    <cellStyle name="Comma 2 2 2 2 14 3 2 6" xfId="3639" xr:uid="{00000000-0005-0000-0000-0000CB080000}"/>
    <cellStyle name="Comma 2 2 2 2 14 3 2 6 2" xfId="4741" xr:uid="{00000000-0005-0000-0000-0000CC080000}"/>
    <cellStyle name="Comma 2 2 2 2 14 3 2 6 3" xfId="5986" xr:uid="{00000000-0005-0000-0000-0000CD080000}"/>
    <cellStyle name="Comma 2 2 2 2 14 3 2 7" xfId="4738" xr:uid="{00000000-0005-0000-0000-0000CE080000}"/>
    <cellStyle name="Comma 2 2 2 2 14 3 2 8" xfId="4213" xr:uid="{00000000-0005-0000-0000-0000CF080000}"/>
    <cellStyle name="Comma 2 2 2 2 14 3 3" xfId="2249" xr:uid="{00000000-0005-0000-0000-0000D0080000}"/>
    <cellStyle name="Comma 2 2 2 2 14 3 4" xfId="2284" xr:uid="{00000000-0005-0000-0000-0000D1080000}"/>
    <cellStyle name="Comma 2 2 2 2 14 3 5" xfId="2324" xr:uid="{00000000-0005-0000-0000-0000D2080000}"/>
    <cellStyle name="Comma 2 2 2 2 14 3 5 2" xfId="2899" xr:uid="{00000000-0005-0000-0000-0000D3080000}"/>
    <cellStyle name="Comma 2 2 2 2 14 3 5 2 2" xfId="3083" xr:uid="{00000000-0005-0000-0000-0000D4080000}"/>
    <cellStyle name="Comma 2 2 2 2 14 3 5 2 2 2" xfId="5080" xr:uid="{00000000-0005-0000-0000-0000D5080000}"/>
    <cellStyle name="Comma 2 2 2 2 14 3 5 2 2 2 2" xfId="5263" xr:uid="{00000000-0005-0000-0000-0000D6080000}"/>
    <cellStyle name="Comma 2 2 2 2 14 3 5 2 2 2 3" xfId="6468" xr:uid="{00000000-0005-0000-0000-0000D7080000}"/>
    <cellStyle name="Comma 2 2 2 2 14 3 5 2 2 3" xfId="5746" xr:uid="{00000000-0005-0000-0000-0000D8080000}"/>
    <cellStyle name="Comma 2 2 2 2 14 3 5 2 2 4" xfId="6285" xr:uid="{00000000-0005-0000-0000-0000D9080000}"/>
    <cellStyle name="Comma 2 2 2 2 14 3 5 2 3" xfId="3644" xr:uid="{00000000-0005-0000-0000-0000DA080000}"/>
    <cellStyle name="Comma 2 2 2 2 14 3 5 2 3 2" xfId="5563" xr:uid="{00000000-0005-0000-0000-0000DB080000}"/>
    <cellStyle name="Comma 2 2 2 2 14 3 5 2 3 3" xfId="6697" xr:uid="{00000000-0005-0000-0000-0000DC080000}"/>
    <cellStyle name="Comma 2 2 2 2 14 3 5 2 4" xfId="4208" xr:uid="{00000000-0005-0000-0000-0000DD080000}"/>
    <cellStyle name="Comma 2 2 2 2 14 3 5 3" xfId="3265" xr:uid="{00000000-0005-0000-0000-0000DE080000}"/>
    <cellStyle name="Comma 2 2 2 2 14 3 5 4" xfId="3643" xr:uid="{00000000-0005-0000-0000-0000DF080000}"/>
    <cellStyle name="Comma 2 2 2 2 14 3 5 4 2" xfId="4812" xr:uid="{00000000-0005-0000-0000-0000E0080000}"/>
    <cellStyle name="Comma 2 2 2 2 14 3 5 4 3" xfId="6057" xr:uid="{00000000-0005-0000-0000-0000E1080000}"/>
    <cellStyle name="Comma 2 2 2 2 14 3 5 5" xfId="4600" xr:uid="{00000000-0005-0000-0000-0000E2080000}"/>
    <cellStyle name="Comma 2 2 2 2 14 3 5 6" xfId="4209" xr:uid="{00000000-0005-0000-0000-0000E3080000}"/>
    <cellStyle name="Comma 2 2 2 2 14 3 6" xfId="2487" xr:uid="{00000000-0005-0000-0000-0000E4080000}"/>
    <cellStyle name="Comma 2 2 2 2 14 3 7" xfId="2691" xr:uid="{00000000-0005-0000-0000-0000E5080000}"/>
    <cellStyle name="Comma 2 2 2 2 14 3 7 2" xfId="2830" xr:uid="{00000000-0005-0000-0000-0000E6080000}"/>
    <cellStyle name="Comma 2 2 2 2 14 3 7 2 2" xfId="4963" xr:uid="{00000000-0005-0000-0000-0000E7080000}"/>
    <cellStyle name="Comma 2 2 2 2 14 3 7 2 2 2" xfId="5015" xr:uid="{00000000-0005-0000-0000-0000E8080000}"/>
    <cellStyle name="Comma 2 2 2 2 14 3 7 2 2 3" xfId="6220" xr:uid="{00000000-0005-0000-0000-0000E9080000}"/>
    <cellStyle name="Comma 2 2 2 2 14 3 7 2 3" xfId="5498" xr:uid="{00000000-0005-0000-0000-0000EA080000}"/>
    <cellStyle name="Comma 2 2 2 2 14 3 7 2 4" xfId="6174" xr:uid="{00000000-0005-0000-0000-0000EB080000}"/>
    <cellStyle name="Comma 2 2 2 2 14 3 7 3" xfId="3646" xr:uid="{00000000-0005-0000-0000-0000EC080000}"/>
    <cellStyle name="Comma 2 2 2 2 14 3 7 3 2" xfId="5451" xr:uid="{00000000-0005-0000-0000-0000ED080000}"/>
    <cellStyle name="Comma 2 2 2 2 14 3 7 3 3" xfId="6645" xr:uid="{00000000-0005-0000-0000-0000EE080000}"/>
    <cellStyle name="Comma 2 2 2 2 14 3 7 4" xfId="4207" xr:uid="{00000000-0005-0000-0000-0000EF080000}"/>
    <cellStyle name="Comma 2 2 2 2 14 3 8" xfId="3638" xr:uid="{00000000-0005-0000-0000-0000F0080000}"/>
    <cellStyle name="Comma 2 2 2 2 14 3 8 2" xfId="4572" xr:uid="{00000000-0005-0000-0000-0000F1080000}"/>
    <cellStyle name="Comma 2 2 2 2 14 3 8 3" xfId="5876" xr:uid="{00000000-0005-0000-0000-0000F2080000}"/>
    <cellStyle name="Comma 2 2 2 2 14 3 9" xfId="4445" xr:uid="{00000000-0005-0000-0000-0000F3080000}"/>
    <cellStyle name="Comma 2 2 2 2 14 4" xfId="1958" xr:uid="{00000000-0005-0000-0000-0000F4080000}"/>
    <cellStyle name="Comma 2 2 2 2 14 4 2" xfId="2121" xr:uid="{00000000-0005-0000-0000-0000F5080000}"/>
    <cellStyle name="Comma 2 2 2 2 14 4 2 2" xfId="2930" xr:uid="{00000000-0005-0000-0000-0000F6080000}"/>
    <cellStyle name="Comma 2 2 2 2 14 4 2 2 2" xfId="3000" xr:uid="{00000000-0005-0000-0000-0000F7080000}"/>
    <cellStyle name="Comma 2 2 2 2 14 4 2 2 2 2" xfId="5111" xr:uid="{00000000-0005-0000-0000-0000F8080000}"/>
    <cellStyle name="Comma 2 2 2 2 14 4 2 2 2 2 2" xfId="5180" xr:uid="{00000000-0005-0000-0000-0000F9080000}"/>
    <cellStyle name="Comma 2 2 2 2 14 4 2 2 2 2 3" xfId="6385" xr:uid="{00000000-0005-0000-0000-0000FA080000}"/>
    <cellStyle name="Comma 2 2 2 2 14 4 2 2 2 3" xfId="5663" xr:uid="{00000000-0005-0000-0000-0000FB080000}"/>
    <cellStyle name="Comma 2 2 2 2 14 4 2 2 2 4" xfId="6316" xr:uid="{00000000-0005-0000-0000-0000FC080000}"/>
    <cellStyle name="Comma 2 2 2 2 14 4 2 2 3" xfId="3649" xr:uid="{00000000-0005-0000-0000-0000FD080000}"/>
    <cellStyle name="Comma 2 2 2 2 14 4 2 2 3 2" xfId="5594" xr:uid="{00000000-0005-0000-0000-0000FE080000}"/>
    <cellStyle name="Comma 2 2 2 2 14 4 2 2 3 3" xfId="6728" xr:uid="{00000000-0005-0000-0000-0000FF080000}"/>
    <cellStyle name="Comma 2 2 2 2 14 4 2 2 4" xfId="4204" xr:uid="{00000000-0005-0000-0000-000000090000}"/>
    <cellStyle name="Comma 2 2 2 2 14 4 2 3" xfId="3182" xr:uid="{00000000-0005-0000-0000-000001090000}"/>
    <cellStyle name="Comma 2 2 2 2 14 4 2 4" xfId="3648" xr:uid="{00000000-0005-0000-0000-000002090000}"/>
    <cellStyle name="Comma 2 2 2 2 14 4 2 4 2" xfId="4728" xr:uid="{00000000-0005-0000-0000-000003090000}"/>
    <cellStyle name="Comma 2 2 2 2 14 4 2 4 3" xfId="5974" xr:uid="{00000000-0005-0000-0000-000004090000}"/>
    <cellStyle name="Comma 2 2 2 2 14 4 2 5" xfId="4712" xr:uid="{00000000-0005-0000-0000-000005090000}"/>
    <cellStyle name="Comma 2 2 2 2 14 4 2 6" xfId="4205" xr:uid="{00000000-0005-0000-0000-000006090000}"/>
    <cellStyle name="Comma 2 2 2 2 14 4 3" xfId="2312" xr:uid="{00000000-0005-0000-0000-000007090000}"/>
    <cellStyle name="Comma 2 2 2 2 14 4 4" xfId="2489" xr:uid="{00000000-0005-0000-0000-000008090000}"/>
    <cellStyle name="Comma 2 2 2 2 14 4 5" xfId="2689" xr:uid="{00000000-0005-0000-0000-000009090000}"/>
    <cellStyle name="Comma 2 2 2 2 14 4 5 2" xfId="3112" xr:uid="{00000000-0005-0000-0000-00000A090000}"/>
    <cellStyle name="Comma 2 2 2 2 14 4 5 2 2" xfId="4961" xr:uid="{00000000-0005-0000-0000-00000B090000}"/>
    <cellStyle name="Comma 2 2 2 2 14 4 5 2 2 2" xfId="5292" xr:uid="{00000000-0005-0000-0000-00000C090000}"/>
    <cellStyle name="Comma 2 2 2 2 14 4 5 2 2 3" xfId="6497" xr:uid="{00000000-0005-0000-0000-00000D090000}"/>
    <cellStyle name="Comma 2 2 2 2 14 4 5 2 3" xfId="5775" xr:uid="{00000000-0005-0000-0000-00000E090000}"/>
    <cellStyle name="Comma 2 2 2 2 14 4 5 2 4" xfId="6172" xr:uid="{00000000-0005-0000-0000-00000F090000}"/>
    <cellStyle name="Comma 2 2 2 2 14 4 5 3" xfId="3650" xr:uid="{00000000-0005-0000-0000-000010090000}"/>
    <cellStyle name="Comma 2 2 2 2 14 4 5 3 2" xfId="5449" xr:uid="{00000000-0005-0000-0000-000011090000}"/>
    <cellStyle name="Comma 2 2 2 2 14 4 5 3 3" xfId="6643" xr:uid="{00000000-0005-0000-0000-000012090000}"/>
    <cellStyle name="Comma 2 2 2 2 14 4 5 4" xfId="4203" xr:uid="{00000000-0005-0000-0000-000013090000}"/>
    <cellStyle name="Comma 2 2 2 2 14 4 6" xfId="3647" xr:uid="{00000000-0005-0000-0000-000014090000}"/>
    <cellStyle name="Comma 2 2 2 2 14 4 6 2" xfId="4632" xr:uid="{00000000-0005-0000-0000-000015090000}"/>
    <cellStyle name="Comma 2 2 2 2 14 4 6 3" xfId="5907" xr:uid="{00000000-0005-0000-0000-000016090000}"/>
    <cellStyle name="Comma 2 2 2 2 14 4 7" xfId="4858" xr:uid="{00000000-0005-0000-0000-000017090000}"/>
    <cellStyle name="Comma 2 2 2 2 14 4 8" xfId="4206" xr:uid="{00000000-0005-0000-0000-000018090000}"/>
    <cellStyle name="Comma 2 2 2 2 14 5" xfId="2234" xr:uid="{00000000-0005-0000-0000-000019090000}"/>
    <cellStyle name="Comma 2 2 2 2 14 6" xfId="2029" xr:uid="{00000000-0005-0000-0000-00001A090000}"/>
    <cellStyle name="Comma 2 2 2 2 14 6 2" xfId="2870" xr:uid="{00000000-0005-0000-0000-00001B090000}"/>
    <cellStyle name="Comma 2 2 2 2 14 6 2 2" xfId="2991" xr:uid="{00000000-0005-0000-0000-00001C090000}"/>
    <cellStyle name="Comma 2 2 2 2 14 6 2 2 2" xfId="5051" xr:uid="{00000000-0005-0000-0000-00001D090000}"/>
    <cellStyle name="Comma 2 2 2 2 14 6 2 2 2 2" xfId="5172" xr:uid="{00000000-0005-0000-0000-00001E090000}"/>
    <cellStyle name="Comma 2 2 2 2 14 6 2 2 2 3" xfId="6377" xr:uid="{00000000-0005-0000-0000-00001F090000}"/>
    <cellStyle name="Comma 2 2 2 2 14 6 2 2 3" xfId="5655" xr:uid="{00000000-0005-0000-0000-000020090000}"/>
    <cellStyle name="Comma 2 2 2 2 14 6 2 2 4" xfId="6256" xr:uid="{00000000-0005-0000-0000-000021090000}"/>
    <cellStyle name="Comma 2 2 2 2 14 6 2 3" xfId="3652" xr:uid="{00000000-0005-0000-0000-000022090000}"/>
    <cellStyle name="Comma 2 2 2 2 14 6 2 3 2" xfId="5534" xr:uid="{00000000-0005-0000-0000-000023090000}"/>
    <cellStyle name="Comma 2 2 2 2 14 6 2 3 3" xfId="6675" xr:uid="{00000000-0005-0000-0000-000024090000}"/>
    <cellStyle name="Comma 2 2 2 2 14 6 2 4" xfId="4200" xr:uid="{00000000-0005-0000-0000-000025090000}"/>
    <cellStyle name="Comma 2 2 2 2 14 6 3" xfId="3173" xr:uid="{00000000-0005-0000-0000-000026090000}"/>
    <cellStyle name="Comma 2 2 2 2 14 6 4" xfId="3651" xr:uid="{00000000-0005-0000-0000-000027090000}"/>
    <cellStyle name="Comma 2 2 2 2 14 6 4 2" xfId="4693" xr:uid="{00000000-0005-0000-0000-000028090000}"/>
    <cellStyle name="Comma 2 2 2 2 14 6 4 3" xfId="5966" xr:uid="{00000000-0005-0000-0000-000029090000}"/>
    <cellStyle name="Comma 2 2 2 2 14 6 5" xfId="4405" xr:uid="{00000000-0005-0000-0000-00002A090000}"/>
    <cellStyle name="Comma 2 2 2 2 14 6 6" xfId="4202" xr:uid="{00000000-0005-0000-0000-00002B090000}"/>
    <cellStyle name="Comma 2 2 2 2 14 7" xfId="2480" xr:uid="{00000000-0005-0000-0000-00002C090000}"/>
    <cellStyle name="Comma 2 2 2 2 14 8" xfId="2698" xr:uid="{00000000-0005-0000-0000-00002D090000}"/>
    <cellStyle name="Comma 2 2 2 2 14 8 2" xfId="2867" xr:uid="{00000000-0005-0000-0000-00002E090000}"/>
    <cellStyle name="Comma 2 2 2 2 14 8 2 2" xfId="4970" xr:uid="{00000000-0005-0000-0000-00002F090000}"/>
    <cellStyle name="Comma 2 2 2 2 14 8 2 2 2" xfId="5048" xr:uid="{00000000-0005-0000-0000-000030090000}"/>
    <cellStyle name="Comma 2 2 2 2 14 8 2 2 3" xfId="6253" xr:uid="{00000000-0005-0000-0000-000031090000}"/>
    <cellStyle name="Comma 2 2 2 2 14 8 2 3" xfId="5531" xr:uid="{00000000-0005-0000-0000-000032090000}"/>
    <cellStyle name="Comma 2 2 2 2 14 8 2 4" xfId="6181" xr:uid="{00000000-0005-0000-0000-000033090000}"/>
    <cellStyle name="Comma 2 2 2 2 14 8 3" xfId="3653" xr:uid="{00000000-0005-0000-0000-000034090000}"/>
    <cellStyle name="Comma 2 2 2 2 14 8 3 2" xfId="5458" xr:uid="{00000000-0005-0000-0000-000035090000}"/>
    <cellStyle name="Comma 2 2 2 2 14 8 3 3" xfId="6652" xr:uid="{00000000-0005-0000-0000-000036090000}"/>
    <cellStyle name="Comma 2 2 2 2 14 8 4" xfId="4195" xr:uid="{00000000-0005-0000-0000-000037090000}"/>
    <cellStyle name="Comma 2 2 2 2 14 9" xfId="3602" xr:uid="{00000000-0005-0000-0000-000038090000}"/>
    <cellStyle name="Comma 2 2 2 2 14 9 2" xfId="4521" xr:uid="{00000000-0005-0000-0000-000039090000}"/>
    <cellStyle name="Comma 2 2 2 2 14 9 3" xfId="5854" xr:uid="{00000000-0005-0000-0000-00003A090000}"/>
    <cellStyle name="Comma 2 2 2 2 15" xfId="1840" xr:uid="{00000000-0005-0000-0000-00003B090000}"/>
    <cellStyle name="Comma 2 2 2 2 16" xfId="1824" xr:uid="{00000000-0005-0000-0000-00003C090000}"/>
    <cellStyle name="Comma 2 2 2 2 17" xfId="1727" xr:uid="{00000000-0005-0000-0000-00003D090000}"/>
    <cellStyle name="Comma 2 2 2 2 17 10" xfId="4191" xr:uid="{00000000-0005-0000-0000-00003E090000}"/>
    <cellStyle name="Comma 2 2 2 2 17 11" xfId="9033" xr:uid="{00000000-0005-0000-0000-00003F090000}"/>
    <cellStyle name="Comma 2 2 2 2 17 2" xfId="1855" xr:uid="{00000000-0005-0000-0000-000040090000}"/>
    <cellStyle name="Comma 2 2 2 2 17 2 10" xfId="4190" xr:uid="{00000000-0005-0000-0000-000041090000}"/>
    <cellStyle name="Comma 2 2 2 2 17 2 2" xfId="2179" xr:uid="{00000000-0005-0000-0000-000042090000}"/>
    <cellStyle name="Comma 2 2 2 2 17 2 2 2" xfId="2205" xr:uid="{00000000-0005-0000-0000-000043090000}"/>
    <cellStyle name="Comma 2 2 2 2 17 2 2 2 2" xfId="3023" xr:uid="{00000000-0005-0000-0000-000044090000}"/>
    <cellStyle name="Comma 2 2 2 2 17 2 2 2 2 2" xfId="3043" xr:uid="{00000000-0005-0000-0000-000045090000}"/>
    <cellStyle name="Comma 2 2 2 2 17 2 2 2 2 2 2" xfId="5203" xr:uid="{00000000-0005-0000-0000-000046090000}"/>
    <cellStyle name="Comma 2 2 2 2 17 2 2 2 2 2 2 2" xfId="5223" xr:uid="{00000000-0005-0000-0000-000047090000}"/>
    <cellStyle name="Comma 2 2 2 2 17 2 2 2 2 2 2 3" xfId="6428" xr:uid="{00000000-0005-0000-0000-000048090000}"/>
    <cellStyle name="Comma 2 2 2 2 17 2 2 2 2 2 3" xfId="5706" xr:uid="{00000000-0005-0000-0000-000049090000}"/>
    <cellStyle name="Comma 2 2 2 2 17 2 2 2 2 2 4" xfId="6408" xr:uid="{00000000-0005-0000-0000-00004A090000}"/>
    <cellStyle name="Comma 2 2 2 2 17 2 2 2 2 3" xfId="3658" xr:uid="{00000000-0005-0000-0000-00004B090000}"/>
    <cellStyle name="Comma 2 2 2 2 17 2 2 2 2 3 2" xfId="5686" xr:uid="{00000000-0005-0000-0000-00004C090000}"/>
    <cellStyle name="Comma 2 2 2 2 17 2 2 2 2 3 3" xfId="6769" xr:uid="{00000000-0005-0000-0000-00004D090000}"/>
    <cellStyle name="Comma 2 2 2 2 17 2 2 2 2 4" xfId="4183" xr:uid="{00000000-0005-0000-0000-00004E090000}"/>
    <cellStyle name="Comma 2 2 2 2 17 2 2 2 3" xfId="3225" xr:uid="{00000000-0005-0000-0000-00004F090000}"/>
    <cellStyle name="Comma 2 2 2 2 17 2 2 2 4" xfId="3657" xr:uid="{00000000-0005-0000-0000-000050090000}"/>
    <cellStyle name="Comma 2 2 2 2 17 2 2 2 4 2" xfId="4772" xr:uid="{00000000-0005-0000-0000-000051090000}"/>
    <cellStyle name="Comma 2 2 2 2 17 2 2 2 4 3" xfId="6017" xr:uid="{00000000-0005-0000-0000-000052090000}"/>
    <cellStyle name="Comma 2 2 2 2 17 2 2 2 5" xfId="4501" xr:uid="{00000000-0005-0000-0000-000053090000}"/>
    <cellStyle name="Comma 2 2 2 2 17 2 2 2 6" xfId="4184" xr:uid="{00000000-0005-0000-0000-000054090000}"/>
    <cellStyle name="Comma 2 2 2 2 17 2 2 3" xfId="2354" xr:uid="{00000000-0005-0000-0000-000055090000}"/>
    <cellStyle name="Comma 2 2 2 2 17 2 2 4" xfId="2492" xr:uid="{00000000-0005-0000-0000-000056090000}"/>
    <cellStyle name="Comma 2 2 2 2 17 2 2 5" xfId="2686" xr:uid="{00000000-0005-0000-0000-000057090000}"/>
    <cellStyle name="Comma 2 2 2 2 17 2 2 5 2" xfId="3205" xr:uid="{00000000-0005-0000-0000-000058090000}"/>
    <cellStyle name="Comma 2 2 2 2 17 2 2 5 2 2" xfId="4958" xr:uid="{00000000-0005-0000-0000-000059090000}"/>
    <cellStyle name="Comma 2 2 2 2 17 2 2 5 2 2 2" xfId="5333" xr:uid="{00000000-0005-0000-0000-00005A090000}"/>
    <cellStyle name="Comma 2 2 2 2 17 2 2 5 2 2 3" xfId="6538" xr:uid="{00000000-0005-0000-0000-00005B090000}"/>
    <cellStyle name="Comma 2 2 2 2 17 2 2 5 2 3" xfId="5816" xr:uid="{00000000-0005-0000-0000-00005C090000}"/>
    <cellStyle name="Comma 2 2 2 2 17 2 2 5 2 4" xfId="6169" xr:uid="{00000000-0005-0000-0000-00005D090000}"/>
    <cellStyle name="Comma 2 2 2 2 17 2 2 5 3" xfId="3659" xr:uid="{00000000-0005-0000-0000-00005E090000}"/>
    <cellStyle name="Comma 2 2 2 2 17 2 2 5 3 2" xfId="5446" xr:uid="{00000000-0005-0000-0000-00005F090000}"/>
    <cellStyle name="Comma 2 2 2 2 17 2 2 5 3 3" xfId="6640" xr:uid="{00000000-0005-0000-0000-000060090000}"/>
    <cellStyle name="Comma 2 2 2 2 17 2 2 5 4" xfId="4179" xr:uid="{00000000-0005-0000-0000-000061090000}"/>
    <cellStyle name="Comma 2 2 2 2 17 2 2 6" xfId="3656" xr:uid="{00000000-0005-0000-0000-000062090000}"/>
    <cellStyle name="Comma 2 2 2 2 17 2 2 6 2" xfId="4752" xr:uid="{00000000-0005-0000-0000-000063090000}"/>
    <cellStyle name="Comma 2 2 2 2 17 2 2 6 3" xfId="5997" xr:uid="{00000000-0005-0000-0000-000064090000}"/>
    <cellStyle name="Comma 2 2 2 2 17 2 2 7" xfId="4713" xr:uid="{00000000-0005-0000-0000-000065090000}"/>
    <cellStyle name="Comma 2 2 2 2 17 2 2 8" xfId="4189" xr:uid="{00000000-0005-0000-0000-000066090000}"/>
    <cellStyle name="Comma 2 2 2 2 17 2 3" xfId="2257" xr:uid="{00000000-0005-0000-0000-000067090000}"/>
    <cellStyle name="Comma 2 2 2 2 17 2 4" xfId="2292" xr:uid="{00000000-0005-0000-0000-000068090000}"/>
    <cellStyle name="Comma 2 2 2 2 17 2 5" xfId="2335" xr:uid="{00000000-0005-0000-0000-000069090000}"/>
    <cellStyle name="Comma 2 2 2 2 17 2 5 2" xfId="2907" xr:uid="{00000000-0005-0000-0000-00006A090000}"/>
    <cellStyle name="Comma 2 2 2 2 17 2 5 2 2" xfId="3092" xr:uid="{00000000-0005-0000-0000-00006B090000}"/>
    <cellStyle name="Comma 2 2 2 2 17 2 5 2 2 2" xfId="5088" xr:uid="{00000000-0005-0000-0000-00006C090000}"/>
    <cellStyle name="Comma 2 2 2 2 17 2 5 2 2 2 2" xfId="5272" xr:uid="{00000000-0005-0000-0000-00006D090000}"/>
    <cellStyle name="Comma 2 2 2 2 17 2 5 2 2 2 3" xfId="6477" xr:uid="{00000000-0005-0000-0000-00006E090000}"/>
    <cellStyle name="Comma 2 2 2 2 17 2 5 2 2 3" xfId="5755" xr:uid="{00000000-0005-0000-0000-00006F090000}"/>
    <cellStyle name="Comma 2 2 2 2 17 2 5 2 2 4" xfId="6293" xr:uid="{00000000-0005-0000-0000-000070090000}"/>
    <cellStyle name="Comma 2 2 2 2 17 2 5 2 3" xfId="3662" xr:uid="{00000000-0005-0000-0000-000071090000}"/>
    <cellStyle name="Comma 2 2 2 2 17 2 5 2 3 2" xfId="5571" xr:uid="{00000000-0005-0000-0000-000072090000}"/>
    <cellStyle name="Comma 2 2 2 2 17 2 5 2 3 3" xfId="6705" xr:uid="{00000000-0005-0000-0000-000073090000}"/>
    <cellStyle name="Comma 2 2 2 2 17 2 5 2 4" xfId="4171" xr:uid="{00000000-0005-0000-0000-000074090000}"/>
    <cellStyle name="Comma 2 2 2 2 17 2 5 3" xfId="3274" xr:uid="{00000000-0005-0000-0000-000075090000}"/>
    <cellStyle name="Comma 2 2 2 2 17 2 5 4" xfId="3661" xr:uid="{00000000-0005-0000-0000-000076090000}"/>
    <cellStyle name="Comma 2 2 2 2 17 2 5 4 2" xfId="4821" xr:uid="{00000000-0005-0000-0000-000077090000}"/>
    <cellStyle name="Comma 2 2 2 2 17 2 5 4 3" xfId="6066" xr:uid="{00000000-0005-0000-0000-000078090000}"/>
    <cellStyle name="Comma 2 2 2 2 17 2 5 5" xfId="4724" xr:uid="{00000000-0005-0000-0000-000079090000}"/>
    <cellStyle name="Comma 2 2 2 2 17 2 5 6" xfId="4173" xr:uid="{00000000-0005-0000-0000-00007A090000}"/>
    <cellStyle name="Comma 2 2 2 2 17 2 6" xfId="2491" xr:uid="{00000000-0005-0000-0000-00007B090000}"/>
    <cellStyle name="Comma 2 2 2 2 17 2 7" xfId="2687" xr:uid="{00000000-0005-0000-0000-00007C090000}"/>
    <cellStyle name="Comma 2 2 2 2 17 2 7 2" xfId="2822" xr:uid="{00000000-0005-0000-0000-00007D090000}"/>
    <cellStyle name="Comma 2 2 2 2 17 2 7 2 2" xfId="4959" xr:uid="{00000000-0005-0000-0000-00007E090000}"/>
    <cellStyle name="Comma 2 2 2 2 17 2 7 2 2 2" xfId="5007" xr:uid="{00000000-0005-0000-0000-00007F090000}"/>
    <cellStyle name="Comma 2 2 2 2 17 2 7 2 2 3" xfId="6212" xr:uid="{00000000-0005-0000-0000-000080090000}"/>
    <cellStyle name="Comma 2 2 2 2 17 2 7 2 3" xfId="5490" xr:uid="{00000000-0005-0000-0000-000081090000}"/>
    <cellStyle name="Comma 2 2 2 2 17 2 7 2 4" xfId="6170" xr:uid="{00000000-0005-0000-0000-000082090000}"/>
    <cellStyle name="Comma 2 2 2 2 17 2 7 3" xfId="3663" xr:uid="{00000000-0005-0000-0000-000083090000}"/>
    <cellStyle name="Comma 2 2 2 2 17 2 7 3 2" xfId="5447" xr:uid="{00000000-0005-0000-0000-000084090000}"/>
    <cellStyle name="Comma 2 2 2 2 17 2 7 3 3" xfId="6641" xr:uid="{00000000-0005-0000-0000-000085090000}"/>
    <cellStyle name="Comma 2 2 2 2 17 2 7 4" xfId="4167" xr:uid="{00000000-0005-0000-0000-000086090000}"/>
    <cellStyle name="Comma 2 2 2 2 17 2 8" xfId="3655" xr:uid="{00000000-0005-0000-0000-000087090000}"/>
    <cellStyle name="Comma 2 2 2 2 17 2 8 2" xfId="4580" xr:uid="{00000000-0005-0000-0000-000088090000}"/>
    <cellStyle name="Comma 2 2 2 2 17 2 8 3" xfId="5884" xr:uid="{00000000-0005-0000-0000-000089090000}"/>
    <cellStyle name="Comma 2 2 2 2 17 2 9" xfId="4437" xr:uid="{00000000-0005-0000-0000-00008A090000}"/>
    <cellStyle name="Comma 2 2 2 2 17 3" xfId="1961" xr:uid="{00000000-0005-0000-0000-00008B090000}"/>
    <cellStyle name="Comma 2 2 2 2 17 3 2" xfId="2231" xr:uid="{00000000-0005-0000-0000-00008C090000}"/>
    <cellStyle name="Comma 2 2 2 2 17 3 2 2" xfId="2933" xr:uid="{00000000-0005-0000-0000-00008D090000}"/>
    <cellStyle name="Comma 2 2 2 2 17 3 2 2 2" xfId="3067" xr:uid="{00000000-0005-0000-0000-00008E090000}"/>
    <cellStyle name="Comma 2 2 2 2 17 3 2 2 2 2" xfId="5114" xr:uid="{00000000-0005-0000-0000-00008F090000}"/>
    <cellStyle name="Comma 2 2 2 2 17 3 2 2 2 2 2" xfId="5247" xr:uid="{00000000-0005-0000-0000-000090090000}"/>
    <cellStyle name="Comma 2 2 2 2 17 3 2 2 2 2 3" xfId="6452" xr:uid="{00000000-0005-0000-0000-000091090000}"/>
    <cellStyle name="Comma 2 2 2 2 17 3 2 2 2 3" xfId="5730" xr:uid="{00000000-0005-0000-0000-000092090000}"/>
    <cellStyle name="Comma 2 2 2 2 17 3 2 2 2 4" xfId="6319" xr:uid="{00000000-0005-0000-0000-000093090000}"/>
    <cellStyle name="Comma 2 2 2 2 17 3 2 2 3" xfId="3666" xr:uid="{00000000-0005-0000-0000-000094090000}"/>
    <cellStyle name="Comma 2 2 2 2 17 3 2 2 3 2" xfId="5597" xr:uid="{00000000-0005-0000-0000-000095090000}"/>
    <cellStyle name="Comma 2 2 2 2 17 3 2 2 3 3" xfId="6731" xr:uid="{00000000-0005-0000-0000-000096090000}"/>
    <cellStyle name="Comma 2 2 2 2 17 3 2 2 4" xfId="4160" xr:uid="{00000000-0005-0000-0000-000097090000}"/>
    <cellStyle name="Comma 2 2 2 2 17 3 2 3" xfId="3249" xr:uid="{00000000-0005-0000-0000-000098090000}"/>
    <cellStyle name="Comma 2 2 2 2 17 3 2 4" xfId="3665" xr:uid="{00000000-0005-0000-0000-000099090000}"/>
    <cellStyle name="Comma 2 2 2 2 17 3 2 4 2" xfId="4796" xr:uid="{00000000-0005-0000-0000-00009A090000}"/>
    <cellStyle name="Comma 2 2 2 2 17 3 2 4 3" xfId="6041" xr:uid="{00000000-0005-0000-0000-00009B090000}"/>
    <cellStyle name="Comma 2 2 2 2 17 3 2 5" xfId="4386" xr:uid="{00000000-0005-0000-0000-00009C090000}"/>
    <cellStyle name="Comma 2 2 2 2 17 3 2 6" xfId="4165" xr:uid="{00000000-0005-0000-0000-00009D090000}"/>
    <cellStyle name="Comma 2 2 2 2 17 3 3" xfId="2378" xr:uid="{00000000-0005-0000-0000-00009E090000}"/>
    <cellStyle name="Comma 2 2 2 2 17 3 4" xfId="2493" xr:uid="{00000000-0005-0000-0000-00009F090000}"/>
    <cellStyle name="Comma 2 2 2 2 17 3 5" xfId="2685" xr:uid="{00000000-0005-0000-0000-0000A0090000}"/>
    <cellStyle name="Comma 2 2 2 2 17 3 5 2" xfId="3115" xr:uid="{00000000-0005-0000-0000-0000A1090000}"/>
    <cellStyle name="Comma 2 2 2 2 17 3 5 2 2" xfId="4957" xr:uid="{00000000-0005-0000-0000-0000A2090000}"/>
    <cellStyle name="Comma 2 2 2 2 17 3 5 2 2 2" xfId="5295" xr:uid="{00000000-0005-0000-0000-0000A3090000}"/>
    <cellStyle name="Comma 2 2 2 2 17 3 5 2 2 3" xfId="6500" xr:uid="{00000000-0005-0000-0000-0000A4090000}"/>
    <cellStyle name="Comma 2 2 2 2 17 3 5 2 3" xfId="5778" xr:uid="{00000000-0005-0000-0000-0000A5090000}"/>
    <cellStyle name="Comma 2 2 2 2 17 3 5 2 4" xfId="6168" xr:uid="{00000000-0005-0000-0000-0000A6090000}"/>
    <cellStyle name="Comma 2 2 2 2 17 3 5 3" xfId="3667" xr:uid="{00000000-0005-0000-0000-0000A7090000}"/>
    <cellStyle name="Comma 2 2 2 2 17 3 5 3 2" xfId="5445" xr:uid="{00000000-0005-0000-0000-0000A8090000}"/>
    <cellStyle name="Comma 2 2 2 2 17 3 5 3 3" xfId="6639" xr:uid="{00000000-0005-0000-0000-0000A9090000}"/>
    <cellStyle name="Comma 2 2 2 2 17 3 5 4" xfId="4156" xr:uid="{00000000-0005-0000-0000-0000AA090000}"/>
    <cellStyle name="Comma 2 2 2 2 17 3 6" xfId="3664" xr:uid="{00000000-0005-0000-0000-0000AB090000}"/>
    <cellStyle name="Comma 2 2 2 2 17 3 6 2" xfId="4635" xr:uid="{00000000-0005-0000-0000-0000AC090000}"/>
    <cellStyle name="Comma 2 2 2 2 17 3 6 3" xfId="5910" xr:uid="{00000000-0005-0000-0000-0000AD090000}"/>
    <cellStyle name="Comma 2 2 2 2 17 3 7" xfId="4535" xr:uid="{00000000-0005-0000-0000-0000AE090000}"/>
    <cellStyle name="Comma 2 2 2 2 17 3 8" xfId="4166" xr:uid="{00000000-0005-0000-0000-0000AF090000}"/>
    <cellStyle name="Comma 2 2 2 2 17 4" xfId="2165" xr:uid="{00000000-0005-0000-0000-0000B0090000}"/>
    <cellStyle name="Comma 2 2 2 2 17 5" xfId="2026" xr:uid="{00000000-0005-0000-0000-0000B1090000}"/>
    <cellStyle name="Comma 2 2 2 2 17 5 2" xfId="2881" xr:uid="{00000000-0005-0000-0000-0000B2090000}"/>
    <cellStyle name="Comma 2 2 2 2 17 5 2 2" xfId="2988" xr:uid="{00000000-0005-0000-0000-0000B3090000}"/>
    <cellStyle name="Comma 2 2 2 2 17 5 2 2 2" xfId="5062" xr:uid="{00000000-0005-0000-0000-0000B4090000}"/>
    <cellStyle name="Comma 2 2 2 2 17 5 2 2 2 2" xfId="5169" xr:uid="{00000000-0005-0000-0000-0000B5090000}"/>
    <cellStyle name="Comma 2 2 2 2 17 5 2 2 2 3" xfId="6374" xr:uid="{00000000-0005-0000-0000-0000B6090000}"/>
    <cellStyle name="Comma 2 2 2 2 17 5 2 2 3" xfId="5652" xr:uid="{00000000-0005-0000-0000-0000B7090000}"/>
    <cellStyle name="Comma 2 2 2 2 17 5 2 2 4" xfId="6267" xr:uid="{00000000-0005-0000-0000-0000B8090000}"/>
    <cellStyle name="Comma 2 2 2 2 17 5 2 3" xfId="3669" xr:uid="{00000000-0005-0000-0000-0000B9090000}"/>
    <cellStyle name="Comma 2 2 2 2 17 5 2 3 2" xfId="5545" xr:uid="{00000000-0005-0000-0000-0000BA090000}"/>
    <cellStyle name="Comma 2 2 2 2 17 5 2 3 3" xfId="6686" xr:uid="{00000000-0005-0000-0000-0000BB090000}"/>
    <cellStyle name="Comma 2 2 2 2 17 5 2 4" xfId="4149" xr:uid="{00000000-0005-0000-0000-0000BC090000}"/>
    <cellStyle name="Comma 2 2 2 2 17 5 3" xfId="3170" xr:uid="{00000000-0005-0000-0000-0000BD090000}"/>
    <cellStyle name="Comma 2 2 2 2 17 5 4" xfId="3668" xr:uid="{00000000-0005-0000-0000-0000BE090000}"/>
    <cellStyle name="Comma 2 2 2 2 17 5 4 2" xfId="4690" xr:uid="{00000000-0005-0000-0000-0000BF090000}"/>
    <cellStyle name="Comma 2 2 2 2 17 5 4 3" xfId="5963" xr:uid="{00000000-0005-0000-0000-0000C0090000}"/>
    <cellStyle name="Comma 2 2 2 2 17 5 5" xfId="4543" xr:uid="{00000000-0005-0000-0000-0000C1090000}"/>
    <cellStyle name="Comma 2 2 2 2 17 5 6" xfId="4155" xr:uid="{00000000-0005-0000-0000-0000C2090000}"/>
    <cellStyle name="Comma 2 2 2 2 17 6" xfId="2490" xr:uid="{00000000-0005-0000-0000-0000C3090000}"/>
    <cellStyle name="Comma 2 2 2 2 17 7" xfId="2688" xr:uid="{00000000-0005-0000-0000-0000C4090000}"/>
    <cellStyle name="Comma 2 2 2 2 17 7 2" xfId="2863" xr:uid="{00000000-0005-0000-0000-0000C5090000}"/>
    <cellStyle name="Comma 2 2 2 2 17 7 2 2" xfId="4960" xr:uid="{00000000-0005-0000-0000-0000C6090000}"/>
    <cellStyle name="Comma 2 2 2 2 17 7 2 2 2" xfId="5044" xr:uid="{00000000-0005-0000-0000-0000C7090000}"/>
    <cellStyle name="Comma 2 2 2 2 17 7 2 2 3" xfId="6249" xr:uid="{00000000-0005-0000-0000-0000C8090000}"/>
    <cellStyle name="Comma 2 2 2 2 17 7 2 3" xfId="5527" xr:uid="{00000000-0005-0000-0000-0000C9090000}"/>
    <cellStyle name="Comma 2 2 2 2 17 7 2 4" xfId="6171" xr:uid="{00000000-0005-0000-0000-0000CA090000}"/>
    <cellStyle name="Comma 2 2 2 2 17 7 3" xfId="3670" xr:uid="{00000000-0005-0000-0000-0000CB090000}"/>
    <cellStyle name="Comma 2 2 2 2 17 7 3 2" xfId="5448" xr:uid="{00000000-0005-0000-0000-0000CC090000}"/>
    <cellStyle name="Comma 2 2 2 2 17 7 3 3" xfId="6642" xr:uid="{00000000-0005-0000-0000-0000CD090000}"/>
    <cellStyle name="Comma 2 2 2 2 17 7 4" xfId="4146" xr:uid="{00000000-0005-0000-0000-0000CE090000}"/>
    <cellStyle name="Comma 2 2 2 2 17 8" xfId="3654" xr:uid="{00000000-0005-0000-0000-0000CF090000}"/>
    <cellStyle name="Comma 2 2 2 2 17 8 2" xfId="4532" xr:uid="{00000000-0005-0000-0000-0000D0090000}"/>
    <cellStyle name="Comma 2 2 2 2 17 8 3" xfId="5865" xr:uid="{00000000-0005-0000-0000-0000D1090000}"/>
    <cellStyle name="Comma 2 2 2 2 17 9" xfId="4457" xr:uid="{00000000-0005-0000-0000-0000D2090000}"/>
    <cellStyle name="Comma 2 2 2 2 18" xfId="1957" xr:uid="{00000000-0005-0000-0000-0000D3090000}"/>
    <cellStyle name="Comma 2 2 2 2 18 2" xfId="2136" xr:uid="{00000000-0005-0000-0000-0000D4090000}"/>
    <cellStyle name="Comma 2 2 2 2 18 2 2" xfId="2929" xr:uid="{00000000-0005-0000-0000-0000D5090000}"/>
    <cellStyle name="Comma 2 2 2 2 18 2 2 2" xfId="3005" xr:uid="{00000000-0005-0000-0000-0000D6090000}"/>
    <cellStyle name="Comma 2 2 2 2 18 2 2 2 2" xfId="5110" xr:uid="{00000000-0005-0000-0000-0000D7090000}"/>
    <cellStyle name="Comma 2 2 2 2 18 2 2 2 2 2" xfId="5185" xr:uid="{00000000-0005-0000-0000-0000D8090000}"/>
    <cellStyle name="Comma 2 2 2 2 18 2 2 2 2 3" xfId="6390" xr:uid="{00000000-0005-0000-0000-0000D9090000}"/>
    <cellStyle name="Comma 2 2 2 2 18 2 2 2 3" xfId="5668" xr:uid="{00000000-0005-0000-0000-0000DA090000}"/>
    <cellStyle name="Comma 2 2 2 2 18 2 2 2 4" xfId="6315" xr:uid="{00000000-0005-0000-0000-0000DB090000}"/>
    <cellStyle name="Comma 2 2 2 2 18 2 2 3" xfId="3673" xr:uid="{00000000-0005-0000-0000-0000DC090000}"/>
    <cellStyle name="Comma 2 2 2 2 18 2 2 3 2" xfId="5593" xr:uid="{00000000-0005-0000-0000-0000DD090000}"/>
    <cellStyle name="Comma 2 2 2 2 18 2 2 3 3" xfId="6727" xr:uid="{00000000-0005-0000-0000-0000DE090000}"/>
    <cellStyle name="Comma 2 2 2 2 18 2 2 4" xfId="4142" xr:uid="{00000000-0005-0000-0000-0000DF090000}"/>
    <cellStyle name="Comma 2 2 2 2 18 2 3" xfId="3187" xr:uid="{00000000-0005-0000-0000-0000E0090000}"/>
    <cellStyle name="Comma 2 2 2 2 18 2 4" xfId="3672" xr:uid="{00000000-0005-0000-0000-0000E1090000}"/>
    <cellStyle name="Comma 2 2 2 2 18 2 4 2" xfId="4733" xr:uid="{00000000-0005-0000-0000-0000E2090000}"/>
    <cellStyle name="Comma 2 2 2 2 18 2 4 3" xfId="5979" xr:uid="{00000000-0005-0000-0000-0000E3090000}"/>
    <cellStyle name="Comma 2 2 2 2 18 2 5" xfId="4402" xr:uid="{00000000-0005-0000-0000-0000E4090000}"/>
    <cellStyle name="Comma 2 2 2 2 18 2 6" xfId="4143" xr:uid="{00000000-0005-0000-0000-0000E5090000}"/>
    <cellStyle name="Comma 2 2 2 2 18 3" xfId="2317" xr:uid="{00000000-0005-0000-0000-0000E6090000}"/>
    <cellStyle name="Comma 2 2 2 2 18 4" xfId="2494" xr:uid="{00000000-0005-0000-0000-0000E7090000}"/>
    <cellStyle name="Comma 2 2 2 2 18 5" xfId="2684" xr:uid="{00000000-0005-0000-0000-0000E8090000}"/>
    <cellStyle name="Comma 2 2 2 2 18 5 2" xfId="3111" xr:uid="{00000000-0005-0000-0000-0000E9090000}"/>
    <cellStyle name="Comma 2 2 2 2 18 5 2 2" xfId="4956" xr:uid="{00000000-0005-0000-0000-0000EA090000}"/>
    <cellStyle name="Comma 2 2 2 2 18 5 2 2 2" xfId="5291" xr:uid="{00000000-0005-0000-0000-0000EB090000}"/>
    <cellStyle name="Comma 2 2 2 2 18 5 2 2 3" xfId="6496" xr:uid="{00000000-0005-0000-0000-0000EC090000}"/>
    <cellStyle name="Comma 2 2 2 2 18 5 2 3" xfId="5774" xr:uid="{00000000-0005-0000-0000-0000ED090000}"/>
    <cellStyle name="Comma 2 2 2 2 18 5 2 4" xfId="6167" xr:uid="{00000000-0005-0000-0000-0000EE090000}"/>
    <cellStyle name="Comma 2 2 2 2 18 5 3" xfId="3674" xr:uid="{00000000-0005-0000-0000-0000EF090000}"/>
    <cellStyle name="Comma 2 2 2 2 18 5 3 2" xfId="5444" xr:uid="{00000000-0005-0000-0000-0000F0090000}"/>
    <cellStyle name="Comma 2 2 2 2 18 5 3 3" xfId="6638" xr:uid="{00000000-0005-0000-0000-0000F1090000}"/>
    <cellStyle name="Comma 2 2 2 2 18 5 4" xfId="4134" xr:uid="{00000000-0005-0000-0000-0000F2090000}"/>
    <cellStyle name="Comma 2 2 2 2 18 6" xfId="3671" xr:uid="{00000000-0005-0000-0000-0000F3090000}"/>
    <cellStyle name="Comma 2 2 2 2 18 6 2" xfId="4631" xr:uid="{00000000-0005-0000-0000-0000F4090000}"/>
    <cellStyle name="Comma 2 2 2 2 18 6 3" xfId="5906" xr:uid="{00000000-0005-0000-0000-0000F5090000}"/>
    <cellStyle name="Comma 2 2 2 2 18 7" xfId="4413" xr:uid="{00000000-0005-0000-0000-0000F6090000}"/>
    <cellStyle name="Comma 2 2 2 2 18 8" xfId="4144" xr:uid="{00000000-0005-0000-0000-0000F7090000}"/>
    <cellStyle name="Comma 2 2 2 2 19" xfId="2150" xr:uid="{00000000-0005-0000-0000-0000F8090000}"/>
    <cellStyle name="Comma 2 2 2 2 2" xfId="512" xr:uid="{00000000-0005-0000-0000-0000F9090000}"/>
    <cellStyle name="Comma 2 2 2 2 2 10" xfId="1839" xr:uid="{00000000-0005-0000-0000-0000FA090000}"/>
    <cellStyle name="Comma 2 2 2 2 2 11" xfId="1827" xr:uid="{00000000-0005-0000-0000-0000FB090000}"/>
    <cellStyle name="Comma 2 2 2 2 2 12" xfId="1726" xr:uid="{00000000-0005-0000-0000-0000FC090000}"/>
    <cellStyle name="Comma 2 2 2 2 2 12 10" xfId="4126" xr:uid="{00000000-0005-0000-0000-0000FD090000}"/>
    <cellStyle name="Comma 2 2 2 2 2 12 11" xfId="9035" xr:uid="{00000000-0005-0000-0000-0000FE090000}"/>
    <cellStyle name="Comma 2 2 2 2 2 12 2" xfId="1854" xr:uid="{00000000-0005-0000-0000-0000FF090000}"/>
    <cellStyle name="Comma 2 2 2 2 2 12 2 10" xfId="4125" xr:uid="{00000000-0005-0000-0000-0000000A0000}"/>
    <cellStyle name="Comma 2 2 2 2 2 12 2 2" xfId="2178" xr:uid="{00000000-0005-0000-0000-0000010A0000}"/>
    <cellStyle name="Comma 2 2 2 2 2 12 2 2 2" xfId="2204" xr:uid="{00000000-0005-0000-0000-0000020A0000}"/>
    <cellStyle name="Comma 2 2 2 2 2 12 2 2 2 2" xfId="3022" xr:uid="{00000000-0005-0000-0000-0000030A0000}"/>
    <cellStyle name="Comma 2 2 2 2 2 12 2 2 2 2 2" xfId="3042" xr:uid="{00000000-0005-0000-0000-0000040A0000}"/>
    <cellStyle name="Comma 2 2 2 2 2 12 2 2 2 2 2 2" xfId="5202" xr:uid="{00000000-0005-0000-0000-0000050A0000}"/>
    <cellStyle name="Comma 2 2 2 2 2 12 2 2 2 2 2 2 2" xfId="5222" xr:uid="{00000000-0005-0000-0000-0000060A0000}"/>
    <cellStyle name="Comma 2 2 2 2 2 12 2 2 2 2 2 2 3" xfId="6427" xr:uid="{00000000-0005-0000-0000-0000070A0000}"/>
    <cellStyle name="Comma 2 2 2 2 2 12 2 2 2 2 2 3" xfId="5705" xr:uid="{00000000-0005-0000-0000-0000080A0000}"/>
    <cellStyle name="Comma 2 2 2 2 2 12 2 2 2 2 2 4" xfId="6407" xr:uid="{00000000-0005-0000-0000-0000090A0000}"/>
    <cellStyle name="Comma 2 2 2 2 2 12 2 2 2 2 3" xfId="3680" xr:uid="{00000000-0005-0000-0000-00000A0A0000}"/>
    <cellStyle name="Comma 2 2 2 2 2 12 2 2 2 2 3 2" xfId="5685" xr:uid="{00000000-0005-0000-0000-00000B0A0000}"/>
    <cellStyle name="Comma 2 2 2 2 2 12 2 2 2 2 3 3" xfId="6768" xr:uid="{00000000-0005-0000-0000-00000C0A0000}"/>
    <cellStyle name="Comma 2 2 2 2 2 12 2 2 2 2 4" xfId="4121" xr:uid="{00000000-0005-0000-0000-00000D0A0000}"/>
    <cellStyle name="Comma 2 2 2 2 2 12 2 2 2 3" xfId="3224" xr:uid="{00000000-0005-0000-0000-00000E0A0000}"/>
    <cellStyle name="Comma 2 2 2 2 2 12 2 2 2 4" xfId="3679" xr:uid="{00000000-0005-0000-0000-00000F0A0000}"/>
    <cellStyle name="Comma 2 2 2 2 2 12 2 2 2 4 2" xfId="4771" xr:uid="{00000000-0005-0000-0000-0000100A0000}"/>
    <cellStyle name="Comma 2 2 2 2 2 12 2 2 2 4 3" xfId="6016" xr:uid="{00000000-0005-0000-0000-0000110A0000}"/>
    <cellStyle name="Comma 2 2 2 2 2 12 2 2 2 5" xfId="4550" xr:uid="{00000000-0005-0000-0000-0000120A0000}"/>
    <cellStyle name="Comma 2 2 2 2 2 12 2 2 2 6" xfId="4122" xr:uid="{00000000-0005-0000-0000-0000130A0000}"/>
    <cellStyle name="Comma 2 2 2 2 2 12 2 2 3" xfId="2353" xr:uid="{00000000-0005-0000-0000-0000140A0000}"/>
    <cellStyle name="Comma 2 2 2 2 2 12 2 2 4" xfId="2498" xr:uid="{00000000-0005-0000-0000-0000150A0000}"/>
    <cellStyle name="Comma 2 2 2 2 2 12 2 2 5" xfId="2680" xr:uid="{00000000-0005-0000-0000-0000160A0000}"/>
    <cellStyle name="Comma 2 2 2 2 2 12 2 2 5 2" xfId="3204" xr:uid="{00000000-0005-0000-0000-0000170A0000}"/>
    <cellStyle name="Comma 2 2 2 2 2 12 2 2 5 2 2" xfId="4952" xr:uid="{00000000-0005-0000-0000-0000180A0000}"/>
    <cellStyle name="Comma 2 2 2 2 2 12 2 2 5 2 2 2" xfId="5332" xr:uid="{00000000-0005-0000-0000-0000190A0000}"/>
    <cellStyle name="Comma 2 2 2 2 2 12 2 2 5 2 2 3" xfId="6537" xr:uid="{00000000-0005-0000-0000-00001A0A0000}"/>
    <cellStyle name="Comma 2 2 2 2 2 12 2 2 5 2 3" xfId="5815" xr:uid="{00000000-0005-0000-0000-00001B0A0000}"/>
    <cellStyle name="Comma 2 2 2 2 2 12 2 2 5 2 4" xfId="6163" xr:uid="{00000000-0005-0000-0000-00001C0A0000}"/>
    <cellStyle name="Comma 2 2 2 2 2 12 2 2 5 3" xfId="3681" xr:uid="{00000000-0005-0000-0000-00001D0A0000}"/>
    <cellStyle name="Comma 2 2 2 2 2 12 2 2 5 3 2" xfId="5440" xr:uid="{00000000-0005-0000-0000-00001E0A0000}"/>
    <cellStyle name="Comma 2 2 2 2 2 12 2 2 5 3 3" xfId="6634" xr:uid="{00000000-0005-0000-0000-00001F0A0000}"/>
    <cellStyle name="Comma 2 2 2 2 2 12 2 2 5 4" xfId="4112" xr:uid="{00000000-0005-0000-0000-0000200A0000}"/>
    <cellStyle name="Comma 2 2 2 2 2 12 2 2 6" xfId="3678" xr:uid="{00000000-0005-0000-0000-0000210A0000}"/>
    <cellStyle name="Comma 2 2 2 2 2 12 2 2 6 2" xfId="4751" xr:uid="{00000000-0005-0000-0000-0000220A0000}"/>
    <cellStyle name="Comma 2 2 2 2 2 12 2 2 6 3" xfId="5996" xr:uid="{00000000-0005-0000-0000-0000230A0000}"/>
    <cellStyle name="Comma 2 2 2 2 2 12 2 2 7" xfId="4845" xr:uid="{00000000-0005-0000-0000-0000240A0000}"/>
    <cellStyle name="Comma 2 2 2 2 2 12 2 2 8" xfId="4123" xr:uid="{00000000-0005-0000-0000-0000250A0000}"/>
    <cellStyle name="Comma 2 2 2 2 2 12 2 3" xfId="2256" xr:uid="{00000000-0005-0000-0000-0000260A0000}"/>
    <cellStyle name="Comma 2 2 2 2 2 12 2 4" xfId="2291" xr:uid="{00000000-0005-0000-0000-0000270A0000}"/>
    <cellStyle name="Comma 2 2 2 2 2 12 2 5" xfId="2334" xr:uid="{00000000-0005-0000-0000-0000280A0000}"/>
    <cellStyle name="Comma 2 2 2 2 2 12 2 5 2" xfId="2906" xr:uid="{00000000-0005-0000-0000-0000290A0000}"/>
    <cellStyle name="Comma 2 2 2 2 2 12 2 5 2 2" xfId="3091" xr:uid="{00000000-0005-0000-0000-00002A0A0000}"/>
    <cellStyle name="Comma 2 2 2 2 2 12 2 5 2 2 2" xfId="5087" xr:uid="{00000000-0005-0000-0000-00002B0A0000}"/>
    <cellStyle name="Comma 2 2 2 2 2 12 2 5 2 2 2 2" xfId="5271" xr:uid="{00000000-0005-0000-0000-00002C0A0000}"/>
    <cellStyle name="Comma 2 2 2 2 2 12 2 5 2 2 2 3" xfId="6476" xr:uid="{00000000-0005-0000-0000-00002D0A0000}"/>
    <cellStyle name="Comma 2 2 2 2 2 12 2 5 2 2 3" xfId="5754" xr:uid="{00000000-0005-0000-0000-00002E0A0000}"/>
    <cellStyle name="Comma 2 2 2 2 2 12 2 5 2 2 4" xfId="6292" xr:uid="{00000000-0005-0000-0000-00002F0A0000}"/>
    <cellStyle name="Comma 2 2 2 2 2 12 2 5 2 3" xfId="3683" xr:uid="{00000000-0005-0000-0000-0000300A0000}"/>
    <cellStyle name="Comma 2 2 2 2 2 12 2 5 2 3 2" xfId="5570" xr:uid="{00000000-0005-0000-0000-0000310A0000}"/>
    <cellStyle name="Comma 2 2 2 2 2 12 2 5 2 3 3" xfId="6704" xr:uid="{00000000-0005-0000-0000-0000320A0000}"/>
    <cellStyle name="Comma 2 2 2 2 2 12 2 5 2 4" xfId="4104" xr:uid="{00000000-0005-0000-0000-0000330A0000}"/>
    <cellStyle name="Comma 2 2 2 2 2 12 2 5 3" xfId="3273" xr:uid="{00000000-0005-0000-0000-0000340A0000}"/>
    <cellStyle name="Comma 2 2 2 2 2 12 2 5 4" xfId="3682" xr:uid="{00000000-0005-0000-0000-0000350A0000}"/>
    <cellStyle name="Comma 2 2 2 2 2 12 2 5 4 2" xfId="4820" xr:uid="{00000000-0005-0000-0000-0000360A0000}"/>
    <cellStyle name="Comma 2 2 2 2 2 12 2 5 4 3" xfId="6065" xr:uid="{00000000-0005-0000-0000-0000370A0000}"/>
    <cellStyle name="Comma 2 2 2 2 2 12 2 5 5" xfId="4834" xr:uid="{00000000-0005-0000-0000-0000380A0000}"/>
    <cellStyle name="Comma 2 2 2 2 2 12 2 5 6" xfId="4107" xr:uid="{00000000-0005-0000-0000-0000390A0000}"/>
    <cellStyle name="Comma 2 2 2 2 2 12 2 6" xfId="2497" xr:uid="{00000000-0005-0000-0000-00003A0A0000}"/>
    <cellStyle name="Comma 2 2 2 2 2 12 2 7" xfId="2681" xr:uid="{00000000-0005-0000-0000-00003B0A0000}"/>
    <cellStyle name="Comma 2 2 2 2 2 12 2 7 2" xfId="2823" xr:uid="{00000000-0005-0000-0000-00003C0A0000}"/>
    <cellStyle name="Comma 2 2 2 2 2 12 2 7 2 2" xfId="4953" xr:uid="{00000000-0005-0000-0000-00003D0A0000}"/>
    <cellStyle name="Comma 2 2 2 2 2 12 2 7 2 2 2" xfId="5008" xr:uid="{00000000-0005-0000-0000-00003E0A0000}"/>
    <cellStyle name="Comma 2 2 2 2 2 12 2 7 2 2 3" xfId="6213" xr:uid="{00000000-0005-0000-0000-00003F0A0000}"/>
    <cellStyle name="Comma 2 2 2 2 2 12 2 7 2 3" xfId="5491" xr:uid="{00000000-0005-0000-0000-0000400A0000}"/>
    <cellStyle name="Comma 2 2 2 2 2 12 2 7 2 4" xfId="6164" xr:uid="{00000000-0005-0000-0000-0000410A0000}"/>
    <cellStyle name="Comma 2 2 2 2 2 12 2 7 3" xfId="3684" xr:uid="{00000000-0005-0000-0000-0000420A0000}"/>
    <cellStyle name="Comma 2 2 2 2 2 12 2 7 3 2" xfId="5441" xr:uid="{00000000-0005-0000-0000-0000430A0000}"/>
    <cellStyle name="Comma 2 2 2 2 2 12 2 7 3 3" xfId="6635" xr:uid="{00000000-0005-0000-0000-0000440A0000}"/>
    <cellStyle name="Comma 2 2 2 2 2 12 2 7 4" xfId="4102" xr:uid="{00000000-0005-0000-0000-0000450A0000}"/>
    <cellStyle name="Comma 2 2 2 2 2 12 2 8" xfId="3677" xr:uid="{00000000-0005-0000-0000-0000460A0000}"/>
    <cellStyle name="Comma 2 2 2 2 2 12 2 8 2" xfId="4579" xr:uid="{00000000-0005-0000-0000-0000470A0000}"/>
    <cellStyle name="Comma 2 2 2 2 2 12 2 8 3" xfId="5883" xr:uid="{00000000-0005-0000-0000-0000480A0000}"/>
    <cellStyle name="Comma 2 2 2 2 2 12 2 9" xfId="4438" xr:uid="{00000000-0005-0000-0000-0000490A0000}"/>
    <cellStyle name="Comma 2 2 2 2 2 12 3" xfId="1963" xr:uid="{00000000-0005-0000-0000-00004A0A0000}"/>
    <cellStyle name="Comma 2 2 2 2 2 12 3 2" xfId="2230" xr:uid="{00000000-0005-0000-0000-00004B0A0000}"/>
    <cellStyle name="Comma 2 2 2 2 2 12 3 2 2" xfId="2935" xr:uid="{00000000-0005-0000-0000-00004C0A0000}"/>
    <cellStyle name="Comma 2 2 2 2 2 12 3 2 2 2" xfId="3066" xr:uid="{00000000-0005-0000-0000-00004D0A0000}"/>
    <cellStyle name="Comma 2 2 2 2 2 12 3 2 2 2 2" xfId="5116" xr:uid="{00000000-0005-0000-0000-00004E0A0000}"/>
    <cellStyle name="Comma 2 2 2 2 2 12 3 2 2 2 2 2" xfId="5246" xr:uid="{00000000-0005-0000-0000-00004F0A0000}"/>
    <cellStyle name="Comma 2 2 2 2 2 12 3 2 2 2 2 3" xfId="6451" xr:uid="{00000000-0005-0000-0000-0000500A0000}"/>
    <cellStyle name="Comma 2 2 2 2 2 12 3 2 2 2 3" xfId="5729" xr:uid="{00000000-0005-0000-0000-0000510A0000}"/>
    <cellStyle name="Comma 2 2 2 2 2 12 3 2 2 2 4" xfId="6321" xr:uid="{00000000-0005-0000-0000-0000520A0000}"/>
    <cellStyle name="Comma 2 2 2 2 2 12 3 2 2 3" xfId="3687" xr:uid="{00000000-0005-0000-0000-0000530A0000}"/>
    <cellStyle name="Comma 2 2 2 2 2 12 3 2 2 3 2" xfId="5599" xr:uid="{00000000-0005-0000-0000-0000540A0000}"/>
    <cellStyle name="Comma 2 2 2 2 2 12 3 2 2 3 3" xfId="6733" xr:uid="{00000000-0005-0000-0000-0000550A0000}"/>
    <cellStyle name="Comma 2 2 2 2 2 12 3 2 2 4" xfId="4093" xr:uid="{00000000-0005-0000-0000-0000560A0000}"/>
    <cellStyle name="Comma 2 2 2 2 2 12 3 2 3" xfId="3248" xr:uid="{00000000-0005-0000-0000-0000570A0000}"/>
    <cellStyle name="Comma 2 2 2 2 2 12 3 2 4" xfId="3686" xr:uid="{00000000-0005-0000-0000-0000580A0000}"/>
    <cellStyle name="Comma 2 2 2 2 2 12 3 2 4 2" xfId="4795" xr:uid="{00000000-0005-0000-0000-0000590A0000}"/>
    <cellStyle name="Comma 2 2 2 2 2 12 3 2 4 3" xfId="6040" xr:uid="{00000000-0005-0000-0000-00005A0A0000}"/>
    <cellStyle name="Comma 2 2 2 2 2 12 3 2 5" xfId="4496" xr:uid="{00000000-0005-0000-0000-00005B0A0000}"/>
    <cellStyle name="Comma 2 2 2 2 2 12 3 2 6" xfId="4096" xr:uid="{00000000-0005-0000-0000-00005C0A0000}"/>
    <cellStyle name="Comma 2 2 2 2 2 12 3 3" xfId="2377" xr:uid="{00000000-0005-0000-0000-00005D0A0000}"/>
    <cellStyle name="Comma 2 2 2 2 2 12 3 4" xfId="2499" xr:uid="{00000000-0005-0000-0000-00005E0A0000}"/>
    <cellStyle name="Comma 2 2 2 2 2 12 3 5" xfId="2679" xr:uid="{00000000-0005-0000-0000-00005F0A0000}"/>
    <cellStyle name="Comma 2 2 2 2 2 12 3 5 2" xfId="3117" xr:uid="{00000000-0005-0000-0000-0000600A0000}"/>
    <cellStyle name="Comma 2 2 2 2 2 12 3 5 2 2" xfId="4951" xr:uid="{00000000-0005-0000-0000-0000610A0000}"/>
    <cellStyle name="Comma 2 2 2 2 2 12 3 5 2 2 2" xfId="5297" xr:uid="{00000000-0005-0000-0000-0000620A0000}"/>
    <cellStyle name="Comma 2 2 2 2 2 12 3 5 2 2 3" xfId="6502" xr:uid="{00000000-0005-0000-0000-0000630A0000}"/>
    <cellStyle name="Comma 2 2 2 2 2 12 3 5 2 3" xfId="5780" xr:uid="{00000000-0005-0000-0000-0000640A0000}"/>
    <cellStyle name="Comma 2 2 2 2 2 12 3 5 2 4" xfId="6162" xr:uid="{00000000-0005-0000-0000-0000650A0000}"/>
    <cellStyle name="Comma 2 2 2 2 2 12 3 5 3" xfId="3689" xr:uid="{00000000-0005-0000-0000-0000660A0000}"/>
    <cellStyle name="Comma 2 2 2 2 2 12 3 5 3 2" xfId="5439" xr:uid="{00000000-0005-0000-0000-0000670A0000}"/>
    <cellStyle name="Comma 2 2 2 2 2 12 3 5 3 3" xfId="6633" xr:uid="{00000000-0005-0000-0000-0000680A0000}"/>
    <cellStyle name="Comma 2 2 2 2 2 12 3 5 4" xfId="4091" xr:uid="{00000000-0005-0000-0000-0000690A0000}"/>
    <cellStyle name="Comma 2 2 2 2 2 12 3 6" xfId="3685" xr:uid="{00000000-0005-0000-0000-00006A0A0000}"/>
    <cellStyle name="Comma 2 2 2 2 2 12 3 6 2" xfId="4637" xr:uid="{00000000-0005-0000-0000-00006B0A0000}"/>
    <cellStyle name="Comma 2 2 2 2 2 12 3 6 3" xfId="5912" xr:uid="{00000000-0005-0000-0000-00006C0A0000}"/>
    <cellStyle name="Comma 2 2 2 2 2 12 3 7" xfId="4412" xr:uid="{00000000-0005-0000-0000-00006D0A0000}"/>
    <cellStyle name="Comma 2 2 2 2 2 12 3 8" xfId="4097" xr:uid="{00000000-0005-0000-0000-00006E0A0000}"/>
    <cellStyle name="Comma 2 2 2 2 2 12 4" xfId="2238" xr:uid="{00000000-0005-0000-0000-00006F0A0000}"/>
    <cellStyle name="Comma 2 2 2 2 2 12 5" xfId="2024" xr:uid="{00000000-0005-0000-0000-0000700A0000}"/>
    <cellStyle name="Comma 2 2 2 2 2 12 5 2" xfId="2880" xr:uid="{00000000-0005-0000-0000-0000710A0000}"/>
    <cellStyle name="Comma 2 2 2 2 2 12 5 2 2" xfId="2986" xr:uid="{00000000-0005-0000-0000-0000720A0000}"/>
    <cellStyle name="Comma 2 2 2 2 2 12 5 2 2 2" xfId="5061" xr:uid="{00000000-0005-0000-0000-0000730A0000}"/>
    <cellStyle name="Comma 2 2 2 2 2 12 5 2 2 2 2" xfId="5167" xr:uid="{00000000-0005-0000-0000-0000740A0000}"/>
    <cellStyle name="Comma 2 2 2 2 2 12 5 2 2 2 3" xfId="6372" xr:uid="{00000000-0005-0000-0000-0000750A0000}"/>
    <cellStyle name="Comma 2 2 2 2 2 12 5 2 2 3" xfId="5650" xr:uid="{00000000-0005-0000-0000-0000760A0000}"/>
    <cellStyle name="Comma 2 2 2 2 2 12 5 2 2 4" xfId="6266" xr:uid="{00000000-0005-0000-0000-0000770A0000}"/>
    <cellStyle name="Comma 2 2 2 2 2 12 5 2 3" xfId="3691" xr:uid="{00000000-0005-0000-0000-0000780A0000}"/>
    <cellStyle name="Comma 2 2 2 2 2 12 5 2 3 2" xfId="5544" xr:uid="{00000000-0005-0000-0000-0000790A0000}"/>
    <cellStyle name="Comma 2 2 2 2 2 12 5 2 3 3" xfId="6685" xr:uid="{00000000-0005-0000-0000-00007A0A0000}"/>
    <cellStyle name="Comma 2 2 2 2 2 12 5 2 4" xfId="4083" xr:uid="{00000000-0005-0000-0000-00007B0A0000}"/>
    <cellStyle name="Comma 2 2 2 2 2 12 5 3" xfId="3168" xr:uid="{00000000-0005-0000-0000-00007C0A0000}"/>
    <cellStyle name="Comma 2 2 2 2 2 12 5 4" xfId="3690" xr:uid="{00000000-0005-0000-0000-00007D0A0000}"/>
    <cellStyle name="Comma 2 2 2 2 2 12 5 4 2" xfId="4688" xr:uid="{00000000-0005-0000-0000-00007E0A0000}"/>
    <cellStyle name="Comma 2 2 2 2 2 12 5 4 3" xfId="5961" xr:uid="{00000000-0005-0000-0000-00007F0A0000}"/>
    <cellStyle name="Comma 2 2 2 2 2 12 5 5" xfId="4709" xr:uid="{00000000-0005-0000-0000-0000800A0000}"/>
    <cellStyle name="Comma 2 2 2 2 2 12 5 6" xfId="4085" xr:uid="{00000000-0005-0000-0000-0000810A0000}"/>
    <cellStyle name="Comma 2 2 2 2 2 12 6" xfId="2496" xr:uid="{00000000-0005-0000-0000-0000820A0000}"/>
    <cellStyle name="Comma 2 2 2 2 2 12 7" xfId="2682" xr:uid="{00000000-0005-0000-0000-0000830A0000}"/>
    <cellStyle name="Comma 2 2 2 2 2 12 7 2" xfId="2887" xr:uid="{00000000-0005-0000-0000-0000840A0000}"/>
    <cellStyle name="Comma 2 2 2 2 2 12 7 2 2" xfId="4954" xr:uid="{00000000-0005-0000-0000-0000850A0000}"/>
    <cellStyle name="Comma 2 2 2 2 2 12 7 2 2 2" xfId="5068" xr:uid="{00000000-0005-0000-0000-0000860A0000}"/>
    <cellStyle name="Comma 2 2 2 2 2 12 7 2 2 3" xfId="6273" xr:uid="{00000000-0005-0000-0000-0000870A0000}"/>
    <cellStyle name="Comma 2 2 2 2 2 12 7 2 3" xfId="5551" xr:uid="{00000000-0005-0000-0000-0000880A0000}"/>
    <cellStyle name="Comma 2 2 2 2 2 12 7 2 4" xfId="6165" xr:uid="{00000000-0005-0000-0000-0000890A0000}"/>
    <cellStyle name="Comma 2 2 2 2 2 12 7 3" xfId="3693" xr:uid="{00000000-0005-0000-0000-00008A0A0000}"/>
    <cellStyle name="Comma 2 2 2 2 2 12 7 3 2" xfId="5442" xr:uid="{00000000-0005-0000-0000-00008B0A0000}"/>
    <cellStyle name="Comma 2 2 2 2 2 12 7 3 3" xfId="6636" xr:uid="{00000000-0005-0000-0000-00008C0A0000}"/>
    <cellStyle name="Comma 2 2 2 2 2 12 7 4" xfId="4079" xr:uid="{00000000-0005-0000-0000-00008D0A0000}"/>
    <cellStyle name="Comma 2 2 2 2 2 12 8" xfId="3676" xr:uid="{00000000-0005-0000-0000-00008E0A0000}"/>
    <cellStyle name="Comma 2 2 2 2 2 12 8 2" xfId="4531" xr:uid="{00000000-0005-0000-0000-00008F0A0000}"/>
    <cellStyle name="Comma 2 2 2 2 2 12 8 3" xfId="5864" xr:uid="{00000000-0005-0000-0000-0000900A0000}"/>
    <cellStyle name="Comma 2 2 2 2 2 12 9" xfId="4458" xr:uid="{00000000-0005-0000-0000-0000910A0000}"/>
    <cellStyle name="Comma 2 2 2 2 2 13" xfId="1962" xr:uid="{00000000-0005-0000-0000-0000920A0000}"/>
    <cellStyle name="Comma 2 2 2 2 2 13 2" xfId="2137" xr:uid="{00000000-0005-0000-0000-0000930A0000}"/>
    <cellStyle name="Comma 2 2 2 2 2 13 2 2" xfId="2934" xr:uid="{00000000-0005-0000-0000-0000940A0000}"/>
    <cellStyle name="Comma 2 2 2 2 2 13 2 2 2" xfId="3006" xr:uid="{00000000-0005-0000-0000-0000950A0000}"/>
    <cellStyle name="Comma 2 2 2 2 2 13 2 2 2 2" xfId="5115" xr:uid="{00000000-0005-0000-0000-0000960A0000}"/>
    <cellStyle name="Comma 2 2 2 2 2 13 2 2 2 2 2" xfId="5186" xr:uid="{00000000-0005-0000-0000-0000970A0000}"/>
    <cellStyle name="Comma 2 2 2 2 2 13 2 2 2 2 3" xfId="6391" xr:uid="{00000000-0005-0000-0000-0000980A0000}"/>
    <cellStyle name="Comma 2 2 2 2 2 13 2 2 2 3" xfId="5669" xr:uid="{00000000-0005-0000-0000-0000990A0000}"/>
    <cellStyle name="Comma 2 2 2 2 2 13 2 2 2 4" xfId="6320" xr:uid="{00000000-0005-0000-0000-00009A0A0000}"/>
    <cellStyle name="Comma 2 2 2 2 2 13 2 2 3" xfId="3696" xr:uid="{00000000-0005-0000-0000-00009B0A0000}"/>
    <cellStyle name="Comma 2 2 2 2 2 13 2 2 3 2" xfId="5598" xr:uid="{00000000-0005-0000-0000-00009C0A0000}"/>
    <cellStyle name="Comma 2 2 2 2 2 13 2 2 3 3" xfId="6732" xr:uid="{00000000-0005-0000-0000-00009D0A0000}"/>
    <cellStyle name="Comma 2 2 2 2 2 13 2 2 4" xfId="4072" xr:uid="{00000000-0005-0000-0000-00009E0A0000}"/>
    <cellStyle name="Comma 2 2 2 2 2 13 2 3" xfId="3188" xr:uid="{00000000-0005-0000-0000-00009F0A0000}"/>
    <cellStyle name="Comma 2 2 2 2 2 13 2 4" xfId="3695" xr:uid="{00000000-0005-0000-0000-0000A00A0000}"/>
    <cellStyle name="Comma 2 2 2 2 2 13 2 4 2" xfId="4734" xr:uid="{00000000-0005-0000-0000-0000A10A0000}"/>
    <cellStyle name="Comma 2 2 2 2 2 13 2 4 3" xfId="5980" xr:uid="{00000000-0005-0000-0000-0000A20A0000}"/>
    <cellStyle name="Comma 2 2 2 2 2 13 2 5" xfId="4401" xr:uid="{00000000-0005-0000-0000-0000A30A0000}"/>
    <cellStyle name="Comma 2 2 2 2 2 13 2 6" xfId="4077" xr:uid="{00000000-0005-0000-0000-0000A40A0000}"/>
    <cellStyle name="Comma 2 2 2 2 2 13 3" xfId="2318" xr:uid="{00000000-0005-0000-0000-0000A50A0000}"/>
    <cellStyle name="Comma 2 2 2 2 2 13 4" xfId="2500" xr:uid="{00000000-0005-0000-0000-0000A60A0000}"/>
    <cellStyle name="Comma 2 2 2 2 2 13 5" xfId="2678" xr:uid="{00000000-0005-0000-0000-0000A70A0000}"/>
    <cellStyle name="Comma 2 2 2 2 2 13 5 2" xfId="3116" xr:uid="{00000000-0005-0000-0000-0000A80A0000}"/>
    <cellStyle name="Comma 2 2 2 2 2 13 5 2 2" xfId="4950" xr:uid="{00000000-0005-0000-0000-0000A90A0000}"/>
    <cellStyle name="Comma 2 2 2 2 2 13 5 2 2 2" xfId="5296" xr:uid="{00000000-0005-0000-0000-0000AA0A0000}"/>
    <cellStyle name="Comma 2 2 2 2 2 13 5 2 2 3" xfId="6501" xr:uid="{00000000-0005-0000-0000-0000AB0A0000}"/>
    <cellStyle name="Comma 2 2 2 2 2 13 5 2 3" xfId="5779" xr:uid="{00000000-0005-0000-0000-0000AC0A0000}"/>
    <cellStyle name="Comma 2 2 2 2 2 13 5 2 4" xfId="6161" xr:uid="{00000000-0005-0000-0000-0000AD0A0000}"/>
    <cellStyle name="Comma 2 2 2 2 2 13 5 3" xfId="3698" xr:uid="{00000000-0005-0000-0000-0000AE0A0000}"/>
    <cellStyle name="Comma 2 2 2 2 2 13 5 3 2" xfId="5438" xr:uid="{00000000-0005-0000-0000-0000AF0A0000}"/>
    <cellStyle name="Comma 2 2 2 2 2 13 5 3 3" xfId="6632" xr:uid="{00000000-0005-0000-0000-0000B00A0000}"/>
    <cellStyle name="Comma 2 2 2 2 2 13 5 4" xfId="4068" xr:uid="{00000000-0005-0000-0000-0000B10A0000}"/>
    <cellStyle name="Comma 2 2 2 2 2 13 6" xfId="3694" xr:uid="{00000000-0005-0000-0000-0000B20A0000}"/>
    <cellStyle name="Comma 2 2 2 2 2 13 6 2" xfId="4636" xr:uid="{00000000-0005-0000-0000-0000B30A0000}"/>
    <cellStyle name="Comma 2 2 2 2 2 13 6 3" xfId="5911" xr:uid="{00000000-0005-0000-0000-0000B40A0000}"/>
    <cellStyle name="Comma 2 2 2 2 2 13 7" xfId="4518" xr:uid="{00000000-0005-0000-0000-0000B50A0000}"/>
    <cellStyle name="Comma 2 2 2 2 2 13 8" xfId="4078" xr:uid="{00000000-0005-0000-0000-0000B60A0000}"/>
    <cellStyle name="Comma 2 2 2 2 2 14" xfId="2149" xr:uid="{00000000-0005-0000-0000-0000B70A0000}"/>
    <cellStyle name="Comma 2 2 2 2 2 15" xfId="2135" xr:uid="{00000000-0005-0000-0000-0000B80A0000}"/>
    <cellStyle name="Comma 2 2 2 2 2 16" xfId="2025" xr:uid="{00000000-0005-0000-0000-0000B90A0000}"/>
    <cellStyle name="Comma 2 2 2 2 2 16 2" xfId="2848" xr:uid="{00000000-0005-0000-0000-0000BA0A0000}"/>
    <cellStyle name="Comma 2 2 2 2 2 16 2 2" xfId="2987" xr:uid="{00000000-0005-0000-0000-0000BB0A0000}"/>
    <cellStyle name="Comma 2 2 2 2 2 16 2 2 2" xfId="5031" xr:uid="{00000000-0005-0000-0000-0000BC0A0000}"/>
    <cellStyle name="Comma 2 2 2 2 2 16 2 2 2 2" xfId="5168" xr:uid="{00000000-0005-0000-0000-0000BD0A0000}"/>
    <cellStyle name="Comma 2 2 2 2 2 16 2 2 2 3" xfId="6373" xr:uid="{00000000-0005-0000-0000-0000BE0A0000}"/>
    <cellStyle name="Comma 2 2 2 2 2 16 2 2 3" xfId="5651" xr:uid="{00000000-0005-0000-0000-0000BF0A0000}"/>
    <cellStyle name="Comma 2 2 2 2 2 16 2 2 4" xfId="6236" xr:uid="{00000000-0005-0000-0000-0000C00A0000}"/>
    <cellStyle name="Comma 2 2 2 2 2 16 2 3" xfId="3701" xr:uid="{00000000-0005-0000-0000-0000C10A0000}"/>
    <cellStyle name="Comma 2 2 2 2 2 16 2 3 2" xfId="5514" xr:uid="{00000000-0005-0000-0000-0000C20A0000}"/>
    <cellStyle name="Comma 2 2 2 2 2 16 2 3 3" xfId="6669" xr:uid="{00000000-0005-0000-0000-0000C30A0000}"/>
    <cellStyle name="Comma 2 2 2 2 2 16 2 4" xfId="4061" xr:uid="{00000000-0005-0000-0000-0000C40A0000}"/>
    <cellStyle name="Comma 2 2 2 2 2 16 3" xfId="3169" xr:uid="{00000000-0005-0000-0000-0000C50A0000}"/>
    <cellStyle name="Comma 2 2 2 2 2 16 4" xfId="3700" xr:uid="{00000000-0005-0000-0000-0000C60A0000}"/>
    <cellStyle name="Comma 2 2 2 2 2 16 4 2" xfId="4689" xr:uid="{00000000-0005-0000-0000-0000C70A0000}"/>
    <cellStyle name="Comma 2 2 2 2 2 16 4 3" xfId="5962" xr:uid="{00000000-0005-0000-0000-0000C80A0000}"/>
    <cellStyle name="Comma 2 2 2 2 2 16 5" xfId="4616" xr:uid="{00000000-0005-0000-0000-0000C90A0000}"/>
    <cellStyle name="Comma 2 2 2 2 2 16 6" xfId="4062" xr:uid="{00000000-0005-0000-0000-0000CA0A0000}"/>
    <cellStyle name="Comma 2 2 2 2 2 17" xfId="2495" xr:uid="{00000000-0005-0000-0000-0000CB0A0000}"/>
    <cellStyle name="Comma 2 2 2 2 2 18" xfId="2683" xr:uid="{00000000-0005-0000-0000-0000CC0A0000}"/>
    <cellStyle name="Comma 2 2 2 2 2 18 2" xfId="2855" xr:uid="{00000000-0005-0000-0000-0000CD0A0000}"/>
    <cellStyle name="Comma 2 2 2 2 2 18 2 2" xfId="4955" xr:uid="{00000000-0005-0000-0000-0000CE0A0000}"/>
    <cellStyle name="Comma 2 2 2 2 2 18 2 2 2" xfId="5038" xr:uid="{00000000-0005-0000-0000-0000CF0A0000}"/>
    <cellStyle name="Comma 2 2 2 2 2 18 2 2 3" xfId="6243" xr:uid="{00000000-0005-0000-0000-0000D00A0000}"/>
    <cellStyle name="Comma 2 2 2 2 2 18 2 3" xfId="5521" xr:uid="{00000000-0005-0000-0000-0000D10A0000}"/>
    <cellStyle name="Comma 2 2 2 2 2 18 2 4" xfId="6166" xr:uid="{00000000-0005-0000-0000-0000D20A0000}"/>
    <cellStyle name="Comma 2 2 2 2 2 18 3" xfId="3703" xr:uid="{00000000-0005-0000-0000-0000D30A0000}"/>
    <cellStyle name="Comma 2 2 2 2 2 18 3 2" xfId="5443" xr:uid="{00000000-0005-0000-0000-0000D40A0000}"/>
    <cellStyle name="Comma 2 2 2 2 2 18 3 3" xfId="6637" xr:uid="{00000000-0005-0000-0000-0000D50A0000}"/>
    <cellStyle name="Comma 2 2 2 2 2 18 4" xfId="4057" xr:uid="{00000000-0005-0000-0000-0000D60A0000}"/>
    <cellStyle name="Comma 2 2 2 2 2 19" xfId="3675" xr:uid="{00000000-0005-0000-0000-0000D70A0000}"/>
    <cellStyle name="Comma 2 2 2 2 2 19 2" xfId="4475" xr:uid="{00000000-0005-0000-0000-0000D80A0000}"/>
    <cellStyle name="Comma 2 2 2 2 2 19 3" xfId="5848" xr:uid="{00000000-0005-0000-0000-0000D90A0000}"/>
    <cellStyle name="Comma 2 2 2 2 2 2" xfId="513" xr:uid="{00000000-0005-0000-0000-0000DA0A0000}"/>
    <cellStyle name="Comma 2 2 2 2 2 2 10" xfId="514" xr:uid="{00000000-0005-0000-0000-0000DB0A0000}"/>
    <cellStyle name="Comma 2 2 2 2 2 2 2" xfId="515" xr:uid="{00000000-0005-0000-0000-0000DC0A0000}"/>
    <cellStyle name="Comma 2 2 2 2 2 2 2 2" xfId="516" xr:uid="{00000000-0005-0000-0000-0000DD0A0000}"/>
    <cellStyle name="Comma 2 2 2 2 2 2 2 2 2" xfId="517" xr:uid="{00000000-0005-0000-0000-0000DE0A0000}"/>
    <cellStyle name="Comma 2 2 2 2 2 2 2 2 3" xfId="518" xr:uid="{00000000-0005-0000-0000-0000DF0A0000}"/>
    <cellStyle name="Comma 2 2 2 2 2 2 2 2 4" xfId="519" xr:uid="{00000000-0005-0000-0000-0000E00A0000}"/>
    <cellStyle name="Comma 2 2 2 2 2 2 2 2 5" xfId="520" xr:uid="{00000000-0005-0000-0000-0000E10A0000}"/>
    <cellStyle name="Comma 2 2 2 2 2 2 2 2 6" xfId="521" xr:uid="{00000000-0005-0000-0000-0000E20A0000}"/>
    <cellStyle name="Comma 2 2 2 2 2 2 2 2 7" xfId="522" xr:uid="{00000000-0005-0000-0000-0000E30A0000}"/>
    <cellStyle name="Comma 2 2 2 2 2 2 2 3" xfId="523" xr:uid="{00000000-0005-0000-0000-0000E40A0000}"/>
    <cellStyle name="Comma 2 2 2 2 2 2 2 4" xfId="524" xr:uid="{00000000-0005-0000-0000-0000E50A0000}"/>
    <cellStyle name="Comma 2 2 2 2 2 2 2 5" xfId="525" xr:uid="{00000000-0005-0000-0000-0000E60A0000}"/>
    <cellStyle name="Comma 2 2 2 2 2 2 2 6" xfId="526" xr:uid="{00000000-0005-0000-0000-0000E70A0000}"/>
    <cellStyle name="Comma 2 2 2 2 2 2 2 7" xfId="527" xr:uid="{00000000-0005-0000-0000-0000E80A0000}"/>
    <cellStyle name="Comma 2 2 2 2 2 2 2 8" xfId="528" xr:uid="{00000000-0005-0000-0000-0000E90A0000}"/>
    <cellStyle name="Comma 2 2 2 2 2 2 2 9" xfId="529" xr:uid="{00000000-0005-0000-0000-0000EA0A0000}"/>
    <cellStyle name="Comma 2 2 2 2 2 2 3" xfId="530" xr:uid="{00000000-0005-0000-0000-0000EB0A0000}"/>
    <cellStyle name="Comma 2 2 2 2 2 2 3 2" xfId="531" xr:uid="{00000000-0005-0000-0000-0000EC0A0000}"/>
    <cellStyle name="Comma 2 2 2 2 2 2 3 3" xfId="532" xr:uid="{00000000-0005-0000-0000-0000ED0A0000}"/>
    <cellStyle name="Comma 2 2 2 2 2 2 3 4" xfId="533" xr:uid="{00000000-0005-0000-0000-0000EE0A0000}"/>
    <cellStyle name="Comma 2 2 2 2 2 2 3 5" xfId="534" xr:uid="{00000000-0005-0000-0000-0000EF0A0000}"/>
    <cellStyle name="Comma 2 2 2 2 2 2 3 6" xfId="535" xr:uid="{00000000-0005-0000-0000-0000F00A0000}"/>
    <cellStyle name="Comma 2 2 2 2 2 2 3 7" xfId="536" xr:uid="{00000000-0005-0000-0000-0000F10A0000}"/>
    <cellStyle name="Comma 2 2 2 2 2 2 4" xfId="537" xr:uid="{00000000-0005-0000-0000-0000F20A0000}"/>
    <cellStyle name="Comma 2 2 2 2 2 2 5" xfId="538" xr:uid="{00000000-0005-0000-0000-0000F30A0000}"/>
    <cellStyle name="Comma 2 2 2 2 2 2 6" xfId="539" xr:uid="{00000000-0005-0000-0000-0000F40A0000}"/>
    <cellStyle name="Comma 2 2 2 2 2 2 7" xfId="540" xr:uid="{00000000-0005-0000-0000-0000F50A0000}"/>
    <cellStyle name="Comma 2 2 2 2 2 2 8" xfId="541" xr:uid="{00000000-0005-0000-0000-0000F60A0000}"/>
    <cellStyle name="Comma 2 2 2 2 2 2 9" xfId="542" xr:uid="{00000000-0005-0000-0000-0000F70A0000}"/>
    <cellStyle name="Comma 2 2 2 2 2 20" xfId="4483" xr:uid="{00000000-0005-0000-0000-0000F80A0000}"/>
    <cellStyle name="Comma 2 2 2 2 2 21" xfId="4133" xr:uid="{00000000-0005-0000-0000-0000F90A0000}"/>
    <cellStyle name="Comma 2 2 2 2 2 22" xfId="9034" xr:uid="{00000000-0005-0000-0000-0000FA0A0000}"/>
    <cellStyle name="Comma 2 2 2 2 2 3" xfId="543" xr:uid="{00000000-0005-0000-0000-0000FB0A0000}"/>
    <cellStyle name="Comma 2 2 2 2 2 4" xfId="544" xr:uid="{00000000-0005-0000-0000-0000FC0A0000}"/>
    <cellStyle name="Comma 2 2 2 2 2 5" xfId="545" xr:uid="{00000000-0005-0000-0000-0000FD0A0000}"/>
    <cellStyle name="Comma 2 2 2 2 2 6" xfId="546" xr:uid="{00000000-0005-0000-0000-0000FE0A0000}"/>
    <cellStyle name="Comma 2 2 2 2 2 7" xfId="547" xr:uid="{00000000-0005-0000-0000-0000FF0A0000}"/>
    <cellStyle name="Comma 2 2 2 2 2 8" xfId="548" xr:uid="{00000000-0005-0000-0000-0000000B0000}"/>
    <cellStyle name="Comma 2 2 2 2 2 9" xfId="1709" xr:uid="{00000000-0005-0000-0000-0000010B0000}"/>
    <cellStyle name="Comma 2 2 2 2 2 9 10" xfId="4467" xr:uid="{00000000-0005-0000-0000-0000020B0000}"/>
    <cellStyle name="Comma 2 2 2 2 2 9 11" xfId="4014" xr:uid="{00000000-0005-0000-0000-0000030B0000}"/>
    <cellStyle name="Comma 2 2 2 2 2 9 12" xfId="9037" xr:uid="{00000000-0005-0000-0000-0000040B0000}"/>
    <cellStyle name="Comma 2 2 2 2 2 9 2" xfId="1826" xr:uid="{00000000-0005-0000-0000-0000050B0000}"/>
    <cellStyle name="Comma 2 2 2 2 2 9 2 10" xfId="4450" xr:uid="{00000000-0005-0000-0000-0000060B0000}"/>
    <cellStyle name="Comma 2 2 2 2 2 9 2 11" xfId="4013" xr:uid="{00000000-0005-0000-0000-0000070B0000}"/>
    <cellStyle name="Comma 2 2 2 2 2 9 2 12" xfId="9038" xr:uid="{00000000-0005-0000-0000-0000080B0000}"/>
    <cellStyle name="Comma 2 2 2 2 2 9 2 2" xfId="1864" xr:uid="{00000000-0005-0000-0000-0000090B0000}"/>
    <cellStyle name="Comma 2 2 2 2 2 9 2 2 10" xfId="4010" xr:uid="{00000000-0005-0000-0000-00000A0B0000}"/>
    <cellStyle name="Comma 2 2 2 2 2 9 2 2 11" xfId="9039" xr:uid="{00000000-0005-0000-0000-00000B0B0000}"/>
    <cellStyle name="Comma 2 2 2 2 2 9 2 2 2" xfId="1872" xr:uid="{00000000-0005-0000-0000-00000C0B0000}"/>
    <cellStyle name="Comma 2 2 2 2 2 9 2 2 2 10" xfId="4008" xr:uid="{00000000-0005-0000-0000-00000D0B0000}"/>
    <cellStyle name="Comma 2 2 2 2 2 9 2 2 2 2" xfId="2212" xr:uid="{00000000-0005-0000-0000-00000E0B0000}"/>
    <cellStyle name="Comma 2 2 2 2 2 9 2 2 2 2 2" xfId="2220" xr:uid="{00000000-0005-0000-0000-00000F0B0000}"/>
    <cellStyle name="Comma 2 2 2 2 2 9 2 2 2 2 2 2" xfId="3050" xr:uid="{00000000-0005-0000-0000-0000100B0000}"/>
    <cellStyle name="Comma 2 2 2 2 2 9 2 2 2 2 2 2 2" xfId="3058" xr:uid="{00000000-0005-0000-0000-0000110B0000}"/>
    <cellStyle name="Comma 2 2 2 2 2 9 2 2 2 2 2 2 2 2" xfId="5230" xr:uid="{00000000-0005-0000-0000-0000120B0000}"/>
    <cellStyle name="Comma 2 2 2 2 2 9 2 2 2 2 2 2 2 2 2" xfId="5238" xr:uid="{00000000-0005-0000-0000-0000130B0000}"/>
    <cellStyle name="Comma 2 2 2 2 2 9 2 2 2 2 2 2 2 2 3" xfId="6443" xr:uid="{00000000-0005-0000-0000-0000140B0000}"/>
    <cellStyle name="Comma 2 2 2 2 2 9 2 2 2 2 2 2 2 3" xfId="5721" xr:uid="{00000000-0005-0000-0000-0000150B0000}"/>
    <cellStyle name="Comma 2 2 2 2 2 9 2 2 2 2 2 2 2 4" xfId="6435" xr:uid="{00000000-0005-0000-0000-0000160B0000}"/>
    <cellStyle name="Comma 2 2 2 2 2 9 2 2 2 2 2 2 3" xfId="3714" xr:uid="{00000000-0005-0000-0000-0000170B0000}"/>
    <cellStyle name="Comma 2 2 2 2 2 9 2 2 2 2 2 2 3 2" xfId="5713" xr:uid="{00000000-0005-0000-0000-0000180B0000}"/>
    <cellStyle name="Comma 2 2 2 2 2 9 2 2 2 2 2 2 3 3" xfId="6776" xr:uid="{00000000-0005-0000-0000-0000190B0000}"/>
    <cellStyle name="Comma 2 2 2 2 2 9 2 2 2 2 2 2 4" xfId="4001" xr:uid="{00000000-0005-0000-0000-00001A0B0000}"/>
    <cellStyle name="Comma 2 2 2 2 2 9 2 2 2 2 2 3" xfId="3240" xr:uid="{00000000-0005-0000-0000-00001B0B0000}"/>
    <cellStyle name="Comma 2 2 2 2 2 9 2 2 2 2 2 4" xfId="3713" xr:uid="{00000000-0005-0000-0000-00001C0B0000}"/>
    <cellStyle name="Comma 2 2 2 2 2 9 2 2 2 2 2 4 2" xfId="4787" xr:uid="{00000000-0005-0000-0000-00001D0B0000}"/>
    <cellStyle name="Comma 2 2 2 2 2 9 2 2 2 2 2 4 3" xfId="6032" xr:uid="{00000000-0005-0000-0000-00001E0B0000}"/>
    <cellStyle name="Comma 2 2 2 2 2 9 2 2 2 2 2 5" xfId="4839" xr:uid="{00000000-0005-0000-0000-00001F0B0000}"/>
    <cellStyle name="Comma 2 2 2 2 2 9 2 2 2 2 2 6" xfId="4006" xr:uid="{00000000-0005-0000-0000-0000200B0000}"/>
    <cellStyle name="Comma 2 2 2 2 2 9 2 2 2 2 3" xfId="2369" xr:uid="{00000000-0005-0000-0000-0000210B0000}"/>
    <cellStyle name="Comma 2 2 2 2 2 9 2 2 2 2 4" xfId="2505" xr:uid="{00000000-0005-0000-0000-0000220B0000}"/>
    <cellStyle name="Comma 2 2 2 2 2 9 2 2 2 2 5" xfId="2672" xr:uid="{00000000-0005-0000-0000-0000230B0000}"/>
    <cellStyle name="Comma 2 2 2 2 2 9 2 2 2 2 5 2" xfId="3232" xr:uid="{00000000-0005-0000-0000-0000240B0000}"/>
    <cellStyle name="Comma 2 2 2 2 2 9 2 2 2 2 5 2 2" xfId="4945" xr:uid="{00000000-0005-0000-0000-0000250B0000}"/>
    <cellStyle name="Comma 2 2 2 2 2 9 2 2 2 2 5 2 2 2" xfId="5341" xr:uid="{00000000-0005-0000-0000-0000260B0000}"/>
    <cellStyle name="Comma 2 2 2 2 2 9 2 2 2 2 5 2 2 3" xfId="6546" xr:uid="{00000000-0005-0000-0000-0000270B0000}"/>
    <cellStyle name="Comma 2 2 2 2 2 9 2 2 2 2 5 2 3" xfId="5824" xr:uid="{00000000-0005-0000-0000-0000280B0000}"/>
    <cellStyle name="Comma 2 2 2 2 2 9 2 2 2 2 5 2 4" xfId="6156" xr:uid="{00000000-0005-0000-0000-0000290B0000}"/>
    <cellStyle name="Comma 2 2 2 2 2 9 2 2 2 2 5 3" xfId="3715" xr:uid="{00000000-0005-0000-0000-00002A0B0000}"/>
    <cellStyle name="Comma 2 2 2 2 2 9 2 2 2 2 5 3 2" xfId="5433" xr:uid="{00000000-0005-0000-0000-00002B0B0000}"/>
    <cellStyle name="Comma 2 2 2 2 2 9 2 2 2 2 5 3 3" xfId="6627" xr:uid="{00000000-0005-0000-0000-00002C0B0000}"/>
    <cellStyle name="Comma 2 2 2 2 2 9 2 2 2 2 5 4" xfId="3997" xr:uid="{00000000-0005-0000-0000-00002D0B0000}"/>
    <cellStyle name="Comma 2 2 2 2 2 9 2 2 2 2 6" xfId="3712" xr:uid="{00000000-0005-0000-0000-00002E0B0000}"/>
    <cellStyle name="Comma 2 2 2 2 2 9 2 2 2 2 6 2" xfId="4779" xr:uid="{00000000-0005-0000-0000-00002F0B0000}"/>
    <cellStyle name="Comma 2 2 2 2 2 9 2 2 2 2 6 3" xfId="6024" xr:uid="{00000000-0005-0000-0000-0000300B0000}"/>
    <cellStyle name="Comma 2 2 2 2 2 9 2 2 2 2 7" xfId="4389" xr:uid="{00000000-0005-0000-0000-0000310B0000}"/>
    <cellStyle name="Comma 2 2 2 2 2 9 2 2 2 2 8" xfId="4007" xr:uid="{00000000-0005-0000-0000-0000320B0000}"/>
    <cellStyle name="Comma 2 2 2 2 2 9 2 2 2 3" xfId="2272" xr:uid="{00000000-0005-0000-0000-0000330B0000}"/>
    <cellStyle name="Comma 2 2 2 2 2 9 2 2 2 4" xfId="2307" xr:uid="{00000000-0005-0000-0000-0000340B0000}"/>
    <cellStyle name="Comma 2 2 2 2 2 9 2 2 2 5" xfId="2361" xr:uid="{00000000-0005-0000-0000-0000350B0000}"/>
    <cellStyle name="Comma 2 2 2 2 2 9 2 2 2 5 2" xfId="2922" xr:uid="{00000000-0005-0000-0000-0000360B0000}"/>
    <cellStyle name="Comma 2 2 2 2 2 9 2 2 2 5 2 2" xfId="3098" xr:uid="{00000000-0005-0000-0000-0000370B0000}"/>
    <cellStyle name="Comma 2 2 2 2 2 9 2 2 2 5 2 2 2" xfId="5103" xr:uid="{00000000-0005-0000-0000-0000380B0000}"/>
    <cellStyle name="Comma 2 2 2 2 2 9 2 2 2 5 2 2 2 2" xfId="5278" xr:uid="{00000000-0005-0000-0000-0000390B0000}"/>
    <cellStyle name="Comma 2 2 2 2 2 9 2 2 2 5 2 2 2 3" xfId="6483" xr:uid="{00000000-0005-0000-0000-00003A0B0000}"/>
    <cellStyle name="Comma 2 2 2 2 2 9 2 2 2 5 2 2 3" xfId="5761" xr:uid="{00000000-0005-0000-0000-00003B0B0000}"/>
    <cellStyle name="Comma 2 2 2 2 2 9 2 2 2 5 2 2 4" xfId="6308" xr:uid="{00000000-0005-0000-0000-00003C0B0000}"/>
    <cellStyle name="Comma 2 2 2 2 2 9 2 2 2 5 2 3" xfId="3717" xr:uid="{00000000-0005-0000-0000-00003D0B0000}"/>
    <cellStyle name="Comma 2 2 2 2 2 9 2 2 2 5 2 3 2" xfId="5586" xr:uid="{00000000-0005-0000-0000-00003E0B0000}"/>
    <cellStyle name="Comma 2 2 2 2 2 9 2 2 2 5 2 3 3" xfId="6720" xr:uid="{00000000-0005-0000-0000-00003F0B0000}"/>
    <cellStyle name="Comma 2 2 2 2 2 9 2 2 2 5 2 4" xfId="3990" xr:uid="{00000000-0005-0000-0000-0000400B0000}"/>
    <cellStyle name="Comma 2 2 2 2 2 9 2 2 2 5 3" xfId="3280" xr:uid="{00000000-0005-0000-0000-0000410B0000}"/>
    <cellStyle name="Comma 2 2 2 2 2 9 2 2 2 5 4" xfId="3716" xr:uid="{00000000-0005-0000-0000-0000420B0000}"/>
    <cellStyle name="Comma 2 2 2 2 2 9 2 2 2 5 4 2" xfId="4828" xr:uid="{00000000-0005-0000-0000-0000430B0000}"/>
    <cellStyle name="Comma 2 2 2 2 2 9 2 2 2 5 4 3" xfId="6073" xr:uid="{00000000-0005-0000-0000-0000440B0000}"/>
    <cellStyle name="Comma 2 2 2 2 2 9 2 2 2 5 5" xfId="4562" xr:uid="{00000000-0005-0000-0000-0000450B0000}"/>
    <cellStyle name="Comma 2 2 2 2 2 9 2 2 2 5 6" xfId="3991" xr:uid="{00000000-0005-0000-0000-0000460B0000}"/>
    <cellStyle name="Comma 2 2 2 2 2 9 2 2 2 6" xfId="2504" xr:uid="{00000000-0005-0000-0000-0000470B0000}"/>
    <cellStyle name="Comma 2 2 2 2 2 9 2 2 2 7" xfId="2673" xr:uid="{00000000-0005-0000-0000-0000480B0000}"/>
    <cellStyle name="Comma 2 2 2 2 2 9 2 2 2 7 2" xfId="2807" xr:uid="{00000000-0005-0000-0000-0000490B0000}"/>
    <cellStyle name="Comma 2 2 2 2 2 9 2 2 2 7 2 2" xfId="4946" xr:uid="{00000000-0005-0000-0000-00004A0B0000}"/>
    <cellStyle name="Comma 2 2 2 2 2 9 2 2 2 7 2 2 2" xfId="4992" xr:uid="{00000000-0005-0000-0000-00004B0B0000}"/>
    <cellStyle name="Comma 2 2 2 2 2 9 2 2 2 7 2 2 3" xfId="6197" xr:uid="{00000000-0005-0000-0000-00004C0B0000}"/>
    <cellStyle name="Comma 2 2 2 2 2 9 2 2 2 7 2 3" xfId="5475" xr:uid="{00000000-0005-0000-0000-00004D0B0000}"/>
    <cellStyle name="Comma 2 2 2 2 2 9 2 2 2 7 2 4" xfId="6157" xr:uid="{00000000-0005-0000-0000-00004E0B0000}"/>
    <cellStyle name="Comma 2 2 2 2 2 9 2 2 2 7 3" xfId="3718" xr:uid="{00000000-0005-0000-0000-00004F0B0000}"/>
    <cellStyle name="Comma 2 2 2 2 2 9 2 2 2 7 3 2" xfId="5434" xr:uid="{00000000-0005-0000-0000-0000500B0000}"/>
    <cellStyle name="Comma 2 2 2 2 2 9 2 2 2 7 3 3" xfId="6628" xr:uid="{00000000-0005-0000-0000-0000510B0000}"/>
    <cellStyle name="Comma 2 2 2 2 2 9 2 2 2 7 4" xfId="3986" xr:uid="{00000000-0005-0000-0000-0000520B0000}"/>
    <cellStyle name="Comma 2 2 2 2 2 9 2 2 2 8" xfId="3711" xr:uid="{00000000-0005-0000-0000-0000530B0000}"/>
    <cellStyle name="Comma 2 2 2 2 2 9 2 2 2 8 2" xfId="4595" xr:uid="{00000000-0005-0000-0000-0000540B0000}"/>
    <cellStyle name="Comma 2 2 2 2 2 9 2 2 2 8 3" xfId="5899" xr:uid="{00000000-0005-0000-0000-0000550B0000}"/>
    <cellStyle name="Comma 2 2 2 2 2 9 2 2 2 9" xfId="4422" xr:uid="{00000000-0005-0000-0000-0000560B0000}"/>
    <cellStyle name="Comma 2 2 2 2 2 9 2 2 3" xfId="1966" xr:uid="{00000000-0005-0000-0000-0000570B0000}"/>
    <cellStyle name="Comma 2 2 2 2 2 9 2 2 3 2" xfId="2264" xr:uid="{00000000-0005-0000-0000-0000580B0000}"/>
    <cellStyle name="Comma 2 2 2 2 2 9 2 2 3 2 2" xfId="2938" xr:uid="{00000000-0005-0000-0000-0000590B0000}"/>
    <cellStyle name="Comma 2 2 2 2 2 9 2 2 3 2 2 2" xfId="3075" xr:uid="{00000000-0005-0000-0000-00005A0B0000}"/>
    <cellStyle name="Comma 2 2 2 2 2 9 2 2 3 2 2 2 2" xfId="5119" xr:uid="{00000000-0005-0000-0000-00005B0B0000}"/>
    <cellStyle name="Comma 2 2 2 2 2 9 2 2 3 2 2 2 2 2" xfId="5255" xr:uid="{00000000-0005-0000-0000-00005C0B0000}"/>
    <cellStyle name="Comma 2 2 2 2 2 9 2 2 3 2 2 2 2 3" xfId="6460" xr:uid="{00000000-0005-0000-0000-00005D0B0000}"/>
    <cellStyle name="Comma 2 2 2 2 2 9 2 2 3 2 2 2 3" xfId="5738" xr:uid="{00000000-0005-0000-0000-00005E0B0000}"/>
    <cellStyle name="Comma 2 2 2 2 2 9 2 2 3 2 2 2 4" xfId="6324" xr:uid="{00000000-0005-0000-0000-00005F0B0000}"/>
    <cellStyle name="Comma 2 2 2 2 2 9 2 2 3 2 2 3" xfId="3721" xr:uid="{00000000-0005-0000-0000-0000600B0000}"/>
    <cellStyle name="Comma 2 2 2 2 2 9 2 2 3 2 2 3 2" xfId="5602" xr:uid="{00000000-0005-0000-0000-0000610B0000}"/>
    <cellStyle name="Comma 2 2 2 2 2 9 2 2 3 2 2 3 3" xfId="6736" xr:uid="{00000000-0005-0000-0000-0000620B0000}"/>
    <cellStyle name="Comma 2 2 2 2 2 9 2 2 3 2 2 4" xfId="3979" xr:uid="{00000000-0005-0000-0000-0000630B0000}"/>
    <cellStyle name="Comma 2 2 2 2 2 9 2 2 3 2 3" xfId="3257" xr:uid="{00000000-0005-0000-0000-0000640B0000}"/>
    <cellStyle name="Comma 2 2 2 2 2 9 2 2 3 2 4" xfId="3720" xr:uid="{00000000-0005-0000-0000-0000650B0000}"/>
    <cellStyle name="Comma 2 2 2 2 2 9 2 2 3 2 4 2" xfId="4804" xr:uid="{00000000-0005-0000-0000-0000660B0000}"/>
    <cellStyle name="Comma 2 2 2 2 2 9 2 2 3 2 4 3" xfId="6049" xr:uid="{00000000-0005-0000-0000-0000670B0000}"/>
    <cellStyle name="Comma 2 2 2 2 2 9 2 2 3 2 5" xfId="4602" xr:uid="{00000000-0005-0000-0000-0000680B0000}"/>
    <cellStyle name="Comma 2 2 2 2 2 9 2 2 3 2 6" xfId="3984" xr:uid="{00000000-0005-0000-0000-0000690B0000}"/>
    <cellStyle name="Comma 2 2 2 2 2 9 2 2 3 3" xfId="2384" xr:uid="{00000000-0005-0000-0000-00006A0B0000}"/>
    <cellStyle name="Comma 2 2 2 2 2 9 2 2 3 4" xfId="2506" xr:uid="{00000000-0005-0000-0000-00006B0B0000}"/>
    <cellStyle name="Comma 2 2 2 2 2 9 2 2 3 5" xfId="2671" xr:uid="{00000000-0005-0000-0000-00006C0B0000}"/>
    <cellStyle name="Comma 2 2 2 2 2 9 2 2 3 5 2" xfId="3120" xr:uid="{00000000-0005-0000-0000-00006D0B0000}"/>
    <cellStyle name="Comma 2 2 2 2 2 9 2 2 3 5 2 2" xfId="4944" xr:uid="{00000000-0005-0000-0000-00006E0B0000}"/>
    <cellStyle name="Comma 2 2 2 2 2 9 2 2 3 5 2 2 2" xfId="5300" xr:uid="{00000000-0005-0000-0000-00006F0B0000}"/>
    <cellStyle name="Comma 2 2 2 2 2 9 2 2 3 5 2 2 3" xfId="6505" xr:uid="{00000000-0005-0000-0000-0000700B0000}"/>
    <cellStyle name="Comma 2 2 2 2 2 9 2 2 3 5 2 3" xfId="5783" xr:uid="{00000000-0005-0000-0000-0000710B0000}"/>
    <cellStyle name="Comma 2 2 2 2 2 9 2 2 3 5 2 4" xfId="6155" xr:uid="{00000000-0005-0000-0000-0000720B0000}"/>
    <cellStyle name="Comma 2 2 2 2 2 9 2 2 3 5 3" xfId="3722" xr:uid="{00000000-0005-0000-0000-0000730B0000}"/>
    <cellStyle name="Comma 2 2 2 2 2 9 2 2 3 5 3 2" xfId="5432" xr:uid="{00000000-0005-0000-0000-0000740B0000}"/>
    <cellStyle name="Comma 2 2 2 2 2 9 2 2 3 5 3 3" xfId="6626" xr:uid="{00000000-0005-0000-0000-0000750B0000}"/>
    <cellStyle name="Comma 2 2 2 2 2 9 2 2 3 5 4" xfId="3975" xr:uid="{00000000-0005-0000-0000-0000760B0000}"/>
    <cellStyle name="Comma 2 2 2 2 2 9 2 2 3 6" xfId="3719" xr:uid="{00000000-0005-0000-0000-0000770B0000}"/>
    <cellStyle name="Comma 2 2 2 2 2 9 2 2 3 6 2" xfId="4640" xr:uid="{00000000-0005-0000-0000-0000780B0000}"/>
    <cellStyle name="Comma 2 2 2 2 2 9 2 2 3 6 3" xfId="5915" xr:uid="{00000000-0005-0000-0000-0000790B0000}"/>
    <cellStyle name="Comma 2 2 2 2 2 9 2 2 3 7" xfId="4625" xr:uid="{00000000-0005-0000-0000-00007A0B0000}"/>
    <cellStyle name="Comma 2 2 2 2 2 9 2 2 3 8" xfId="3985" xr:uid="{00000000-0005-0000-0000-00007B0B0000}"/>
    <cellStyle name="Comma 2 2 2 2 2 9 2 2 4" xfId="2299" xr:uid="{00000000-0005-0000-0000-00007C0B0000}"/>
    <cellStyle name="Comma 2 2 2 2 2 9 2 2 5" xfId="2021" xr:uid="{00000000-0005-0000-0000-00007D0B0000}"/>
    <cellStyle name="Comma 2 2 2 2 2 9 2 2 5 2" xfId="2914" xr:uid="{00000000-0005-0000-0000-00007E0B0000}"/>
    <cellStyle name="Comma 2 2 2 2 2 9 2 2 5 2 2" xfId="2983" xr:uid="{00000000-0005-0000-0000-00007F0B0000}"/>
    <cellStyle name="Comma 2 2 2 2 2 9 2 2 5 2 2 2" xfId="5095" xr:uid="{00000000-0005-0000-0000-0000800B0000}"/>
    <cellStyle name="Comma 2 2 2 2 2 9 2 2 5 2 2 2 2" xfId="5164" xr:uid="{00000000-0005-0000-0000-0000810B0000}"/>
    <cellStyle name="Comma 2 2 2 2 2 9 2 2 5 2 2 2 3" xfId="6369" xr:uid="{00000000-0005-0000-0000-0000820B0000}"/>
    <cellStyle name="Comma 2 2 2 2 2 9 2 2 5 2 2 3" xfId="5647" xr:uid="{00000000-0005-0000-0000-0000830B0000}"/>
    <cellStyle name="Comma 2 2 2 2 2 9 2 2 5 2 2 4" xfId="6300" xr:uid="{00000000-0005-0000-0000-0000840B0000}"/>
    <cellStyle name="Comma 2 2 2 2 2 9 2 2 5 2 3" xfId="3724" xr:uid="{00000000-0005-0000-0000-0000850B0000}"/>
    <cellStyle name="Comma 2 2 2 2 2 9 2 2 5 2 3 2" xfId="5578" xr:uid="{00000000-0005-0000-0000-0000860B0000}"/>
    <cellStyle name="Comma 2 2 2 2 2 9 2 2 5 2 3 3" xfId="6712" xr:uid="{00000000-0005-0000-0000-0000870B0000}"/>
    <cellStyle name="Comma 2 2 2 2 2 9 2 2 5 2 4" xfId="3969" xr:uid="{00000000-0005-0000-0000-0000880B0000}"/>
    <cellStyle name="Comma 2 2 2 2 2 9 2 2 5 3" xfId="3165" xr:uid="{00000000-0005-0000-0000-0000890B0000}"/>
    <cellStyle name="Comma 2 2 2 2 2 9 2 2 5 4" xfId="3723" xr:uid="{00000000-0005-0000-0000-00008A0B0000}"/>
    <cellStyle name="Comma 2 2 2 2 2 9 2 2 5 4 2" xfId="4685" xr:uid="{00000000-0005-0000-0000-00008B0B0000}"/>
    <cellStyle name="Comma 2 2 2 2 2 9 2 2 5 4 3" xfId="5958" xr:uid="{00000000-0005-0000-0000-00008C0B0000}"/>
    <cellStyle name="Comma 2 2 2 2 2 9 2 2 5 5" xfId="4509" xr:uid="{00000000-0005-0000-0000-00008D0B0000}"/>
    <cellStyle name="Comma 2 2 2 2 2 9 2 2 5 6" xfId="3970" xr:uid="{00000000-0005-0000-0000-00008E0B0000}"/>
    <cellStyle name="Comma 2 2 2 2 2 9 2 2 6" xfId="2503" xr:uid="{00000000-0005-0000-0000-00008F0B0000}"/>
    <cellStyle name="Comma 2 2 2 2 2 9 2 2 7" xfId="2674" xr:uid="{00000000-0005-0000-0000-0000900B0000}"/>
    <cellStyle name="Comma 2 2 2 2 2 9 2 2 7 2" xfId="2815" xr:uid="{00000000-0005-0000-0000-0000910B0000}"/>
    <cellStyle name="Comma 2 2 2 2 2 9 2 2 7 2 2" xfId="4947" xr:uid="{00000000-0005-0000-0000-0000920B0000}"/>
    <cellStyle name="Comma 2 2 2 2 2 9 2 2 7 2 2 2" xfId="5000" xr:uid="{00000000-0005-0000-0000-0000930B0000}"/>
    <cellStyle name="Comma 2 2 2 2 2 9 2 2 7 2 2 3" xfId="6205" xr:uid="{00000000-0005-0000-0000-0000940B0000}"/>
    <cellStyle name="Comma 2 2 2 2 2 9 2 2 7 2 3" xfId="5483" xr:uid="{00000000-0005-0000-0000-0000950B0000}"/>
    <cellStyle name="Comma 2 2 2 2 2 9 2 2 7 2 4" xfId="6158" xr:uid="{00000000-0005-0000-0000-0000960B0000}"/>
    <cellStyle name="Comma 2 2 2 2 2 9 2 2 7 3" xfId="3725" xr:uid="{00000000-0005-0000-0000-0000970B0000}"/>
    <cellStyle name="Comma 2 2 2 2 2 9 2 2 7 3 2" xfId="5435" xr:uid="{00000000-0005-0000-0000-0000980B0000}"/>
    <cellStyle name="Comma 2 2 2 2 2 9 2 2 7 3 3" xfId="6629" xr:uid="{00000000-0005-0000-0000-0000990B0000}"/>
    <cellStyle name="Comma 2 2 2 2 2 9 2 2 7 4" xfId="3965" xr:uid="{00000000-0005-0000-0000-00009A0B0000}"/>
    <cellStyle name="Comma 2 2 2 2 2 9 2 2 8" xfId="3710" xr:uid="{00000000-0005-0000-0000-00009B0B0000}"/>
    <cellStyle name="Comma 2 2 2 2 2 9 2 2 8 2" xfId="4587" xr:uid="{00000000-0005-0000-0000-00009C0B0000}"/>
    <cellStyle name="Comma 2 2 2 2 2 9 2 2 8 3" xfId="5891" xr:uid="{00000000-0005-0000-0000-00009D0B0000}"/>
    <cellStyle name="Comma 2 2 2 2 2 9 2 2 9" xfId="4430" xr:uid="{00000000-0005-0000-0000-00009E0B0000}"/>
    <cellStyle name="Comma 2 2 2 2 2 9 2 3" xfId="1965" xr:uid="{00000000-0005-0000-0000-00009F0B0000}"/>
    <cellStyle name="Comma 2 2 2 2 2 9 2 3 2" xfId="2192" xr:uid="{00000000-0005-0000-0000-0000A00B0000}"/>
    <cellStyle name="Comma 2 2 2 2 2 9 2 3 2 2" xfId="2937" xr:uid="{00000000-0005-0000-0000-0000A10B0000}"/>
    <cellStyle name="Comma 2 2 2 2 2 9 2 3 2 2 2" xfId="3030" xr:uid="{00000000-0005-0000-0000-0000A20B0000}"/>
    <cellStyle name="Comma 2 2 2 2 2 9 2 3 2 2 2 2" xfId="5118" xr:uid="{00000000-0005-0000-0000-0000A30B0000}"/>
    <cellStyle name="Comma 2 2 2 2 2 9 2 3 2 2 2 2 2" xfId="5210" xr:uid="{00000000-0005-0000-0000-0000A40B0000}"/>
    <cellStyle name="Comma 2 2 2 2 2 9 2 3 2 2 2 2 3" xfId="6415" xr:uid="{00000000-0005-0000-0000-0000A50B0000}"/>
    <cellStyle name="Comma 2 2 2 2 2 9 2 3 2 2 2 3" xfId="5693" xr:uid="{00000000-0005-0000-0000-0000A60B0000}"/>
    <cellStyle name="Comma 2 2 2 2 2 9 2 3 2 2 2 4" xfId="6323" xr:uid="{00000000-0005-0000-0000-0000A70B0000}"/>
    <cellStyle name="Comma 2 2 2 2 2 9 2 3 2 2 3" xfId="3728" xr:uid="{00000000-0005-0000-0000-0000A80B0000}"/>
    <cellStyle name="Comma 2 2 2 2 2 9 2 3 2 2 3 2" xfId="5601" xr:uid="{00000000-0005-0000-0000-0000A90B0000}"/>
    <cellStyle name="Comma 2 2 2 2 2 9 2 3 2 2 3 3" xfId="6735" xr:uid="{00000000-0005-0000-0000-0000AA0B0000}"/>
    <cellStyle name="Comma 2 2 2 2 2 9 2 3 2 2 4" xfId="3954" xr:uid="{00000000-0005-0000-0000-0000AB0B0000}"/>
    <cellStyle name="Comma 2 2 2 2 2 9 2 3 2 3" xfId="3212" xr:uid="{00000000-0005-0000-0000-0000AC0B0000}"/>
    <cellStyle name="Comma 2 2 2 2 2 9 2 3 2 4" xfId="3727" xr:uid="{00000000-0005-0000-0000-0000AD0B0000}"/>
    <cellStyle name="Comma 2 2 2 2 2 9 2 3 2 4 2" xfId="4759" xr:uid="{00000000-0005-0000-0000-0000AE0B0000}"/>
    <cellStyle name="Comma 2 2 2 2 2 9 2 3 2 4 3" xfId="6004" xr:uid="{00000000-0005-0000-0000-0000AF0B0000}"/>
    <cellStyle name="Comma 2 2 2 2 2 9 2 3 2 5" xfId="4609" xr:uid="{00000000-0005-0000-0000-0000B00B0000}"/>
    <cellStyle name="Comma 2 2 2 2 2 9 2 3 2 6" xfId="3963" xr:uid="{00000000-0005-0000-0000-0000B10B0000}"/>
    <cellStyle name="Comma 2 2 2 2 2 9 2 3 3" xfId="2341" xr:uid="{00000000-0005-0000-0000-0000B20B0000}"/>
    <cellStyle name="Comma 2 2 2 2 2 9 2 3 4" xfId="2507" xr:uid="{00000000-0005-0000-0000-0000B30B0000}"/>
    <cellStyle name="Comma 2 2 2 2 2 9 2 3 5" xfId="2670" xr:uid="{00000000-0005-0000-0000-0000B40B0000}"/>
    <cellStyle name="Comma 2 2 2 2 2 9 2 3 5 2" xfId="3119" xr:uid="{00000000-0005-0000-0000-0000B50B0000}"/>
    <cellStyle name="Comma 2 2 2 2 2 9 2 3 5 2 2" xfId="4943" xr:uid="{00000000-0005-0000-0000-0000B60B0000}"/>
    <cellStyle name="Comma 2 2 2 2 2 9 2 3 5 2 2 2" xfId="5299" xr:uid="{00000000-0005-0000-0000-0000B70B0000}"/>
    <cellStyle name="Comma 2 2 2 2 2 9 2 3 5 2 2 3" xfId="6504" xr:uid="{00000000-0005-0000-0000-0000B80B0000}"/>
    <cellStyle name="Comma 2 2 2 2 2 9 2 3 5 2 3" xfId="5782" xr:uid="{00000000-0005-0000-0000-0000B90B0000}"/>
    <cellStyle name="Comma 2 2 2 2 2 9 2 3 5 2 4" xfId="6154" xr:uid="{00000000-0005-0000-0000-0000BA0B0000}"/>
    <cellStyle name="Comma 2 2 2 2 2 9 2 3 5 3" xfId="3729" xr:uid="{00000000-0005-0000-0000-0000BB0B0000}"/>
    <cellStyle name="Comma 2 2 2 2 2 9 2 3 5 3 2" xfId="5431" xr:uid="{00000000-0005-0000-0000-0000BC0B0000}"/>
    <cellStyle name="Comma 2 2 2 2 2 9 2 3 5 3 3" xfId="6625" xr:uid="{00000000-0005-0000-0000-0000BD0B0000}"/>
    <cellStyle name="Comma 2 2 2 2 2 9 2 3 5 4" xfId="3945" xr:uid="{00000000-0005-0000-0000-0000BE0B0000}"/>
    <cellStyle name="Comma 2 2 2 2 2 9 2 3 6" xfId="3726" xr:uid="{00000000-0005-0000-0000-0000BF0B0000}"/>
    <cellStyle name="Comma 2 2 2 2 2 9 2 3 6 2" xfId="4639" xr:uid="{00000000-0005-0000-0000-0000C00B0000}"/>
    <cellStyle name="Comma 2 2 2 2 2 9 2 3 6 3" xfId="5914" xr:uid="{00000000-0005-0000-0000-0000C10B0000}"/>
    <cellStyle name="Comma 2 2 2 2 2 9 2 3 7" xfId="4701" xr:uid="{00000000-0005-0000-0000-0000C20B0000}"/>
    <cellStyle name="Comma 2 2 2 2 2 9 2 3 8" xfId="3964" xr:uid="{00000000-0005-0000-0000-0000C30B0000}"/>
    <cellStyle name="Comma 2 2 2 2 2 9 2 4" xfId="2244" xr:uid="{00000000-0005-0000-0000-0000C40B0000}"/>
    <cellStyle name="Comma 2 2 2 2 2 9 2 5" xfId="2279" xr:uid="{00000000-0005-0000-0000-0000C50B0000}"/>
    <cellStyle name="Comma 2 2 2 2 2 9 2 6" xfId="2022" xr:uid="{00000000-0005-0000-0000-0000C60B0000}"/>
    <cellStyle name="Comma 2 2 2 2 2 9 2 6 2" xfId="2894" xr:uid="{00000000-0005-0000-0000-0000C70B0000}"/>
    <cellStyle name="Comma 2 2 2 2 2 9 2 6 2 2" xfId="2984" xr:uid="{00000000-0005-0000-0000-0000C80B0000}"/>
    <cellStyle name="Comma 2 2 2 2 2 9 2 6 2 2 2" xfId="5075" xr:uid="{00000000-0005-0000-0000-0000C90B0000}"/>
    <cellStyle name="Comma 2 2 2 2 2 9 2 6 2 2 2 2" xfId="5165" xr:uid="{00000000-0005-0000-0000-0000CA0B0000}"/>
    <cellStyle name="Comma 2 2 2 2 2 9 2 6 2 2 2 3" xfId="6370" xr:uid="{00000000-0005-0000-0000-0000CB0B0000}"/>
    <cellStyle name="Comma 2 2 2 2 2 9 2 6 2 2 3" xfId="5648" xr:uid="{00000000-0005-0000-0000-0000CC0B0000}"/>
    <cellStyle name="Comma 2 2 2 2 2 9 2 6 2 2 4" xfId="6280" xr:uid="{00000000-0005-0000-0000-0000CD0B0000}"/>
    <cellStyle name="Comma 2 2 2 2 2 9 2 6 2 3" xfId="3731" xr:uid="{00000000-0005-0000-0000-0000CE0B0000}"/>
    <cellStyle name="Comma 2 2 2 2 2 9 2 6 2 3 2" xfId="5558" xr:uid="{00000000-0005-0000-0000-0000CF0B0000}"/>
    <cellStyle name="Comma 2 2 2 2 2 9 2 6 2 3 3" xfId="6692" xr:uid="{00000000-0005-0000-0000-0000D00B0000}"/>
    <cellStyle name="Comma 2 2 2 2 2 9 2 6 2 4" xfId="3940" xr:uid="{00000000-0005-0000-0000-0000D10B0000}"/>
    <cellStyle name="Comma 2 2 2 2 2 9 2 6 3" xfId="3166" xr:uid="{00000000-0005-0000-0000-0000D20B0000}"/>
    <cellStyle name="Comma 2 2 2 2 2 9 2 6 4" xfId="3730" xr:uid="{00000000-0005-0000-0000-0000D30B0000}"/>
    <cellStyle name="Comma 2 2 2 2 2 9 2 6 4 2" xfId="4686" xr:uid="{00000000-0005-0000-0000-0000D40B0000}"/>
    <cellStyle name="Comma 2 2 2 2 2 9 2 6 4 3" xfId="5959" xr:uid="{00000000-0005-0000-0000-0000D50B0000}"/>
    <cellStyle name="Comma 2 2 2 2 2 9 2 6 5" xfId="4407" xr:uid="{00000000-0005-0000-0000-0000D60B0000}"/>
    <cellStyle name="Comma 2 2 2 2 2 9 2 6 6" xfId="3941" xr:uid="{00000000-0005-0000-0000-0000D70B0000}"/>
    <cellStyle name="Comma 2 2 2 2 2 9 2 7" xfId="2502" xr:uid="{00000000-0005-0000-0000-0000D80B0000}"/>
    <cellStyle name="Comma 2 2 2 2 2 9 2 8" xfId="2675" xr:uid="{00000000-0005-0000-0000-0000D90B0000}"/>
    <cellStyle name="Comma 2 2 2 2 2 9 2 8 2" xfId="2835" xr:uid="{00000000-0005-0000-0000-0000DA0B0000}"/>
    <cellStyle name="Comma 2 2 2 2 2 9 2 8 2 2" xfId="4948" xr:uid="{00000000-0005-0000-0000-0000DB0B0000}"/>
    <cellStyle name="Comma 2 2 2 2 2 9 2 8 2 2 2" xfId="5020" xr:uid="{00000000-0005-0000-0000-0000DC0B0000}"/>
    <cellStyle name="Comma 2 2 2 2 2 9 2 8 2 2 3" xfId="6225" xr:uid="{00000000-0005-0000-0000-0000DD0B0000}"/>
    <cellStyle name="Comma 2 2 2 2 2 9 2 8 2 3" xfId="5503" xr:uid="{00000000-0005-0000-0000-0000DE0B0000}"/>
    <cellStyle name="Comma 2 2 2 2 2 9 2 8 2 4" xfId="6159" xr:uid="{00000000-0005-0000-0000-0000DF0B0000}"/>
    <cellStyle name="Comma 2 2 2 2 2 9 2 8 3" xfId="3732" xr:uid="{00000000-0005-0000-0000-0000E00B0000}"/>
    <cellStyle name="Comma 2 2 2 2 2 9 2 8 3 2" xfId="5436" xr:uid="{00000000-0005-0000-0000-0000E10B0000}"/>
    <cellStyle name="Comma 2 2 2 2 2 9 2 8 3 3" xfId="6630" xr:uid="{00000000-0005-0000-0000-0000E20B0000}"/>
    <cellStyle name="Comma 2 2 2 2 2 9 2 8 4" xfId="3939" xr:uid="{00000000-0005-0000-0000-0000E30B0000}"/>
    <cellStyle name="Comma 2 2 2 2 2 9 2 9" xfId="3709" xr:uid="{00000000-0005-0000-0000-0000E40B0000}"/>
    <cellStyle name="Comma 2 2 2 2 2 9 2 9 2" xfId="4567" xr:uid="{00000000-0005-0000-0000-0000E50B0000}"/>
    <cellStyle name="Comma 2 2 2 2 2 9 2 9 3" xfId="5871" xr:uid="{00000000-0005-0000-0000-0000E60B0000}"/>
    <cellStyle name="Comma 2 2 2 2 2 9 3" xfId="1848" xr:uid="{00000000-0005-0000-0000-0000E70B0000}"/>
    <cellStyle name="Comma 2 2 2 2 2 9 3 10" xfId="3938" xr:uid="{00000000-0005-0000-0000-0000E80B0000}"/>
    <cellStyle name="Comma 2 2 2 2 2 9 3 2" xfId="2169" xr:uid="{00000000-0005-0000-0000-0000E90B0000}"/>
    <cellStyle name="Comma 2 2 2 2 2 9 3 2 2" xfId="2198" xr:uid="{00000000-0005-0000-0000-0000EA0B0000}"/>
    <cellStyle name="Comma 2 2 2 2 2 9 3 2 2 2" xfId="3013" xr:uid="{00000000-0005-0000-0000-0000EB0B0000}"/>
    <cellStyle name="Comma 2 2 2 2 2 9 3 2 2 2 2" xfId="3036" xr:uid="{00000000-0005-0000-0000-0000EC0B0000}"/>
    <cellStyle name="Comma 2 2 2 2 2 9 3 2 2 2 2 2" xfId="5193" xr:uid="{00000000-0005-0000-0000-0000ED0B0000}"/>
    <cellStyle name="Comma 2 2 2 2 2 9 3 2 2 2 2 2 2" xfId="5216" xr:uid="{00000000-0005-0000-0000-0000EE0B0000}"/>
    <cellStyle name="Comma 2 2 2 2 2 9 3 2 2 2 2 2 3" xfId="6421" xr:uid="{00000000-0005-0000-0000-0000EF0B0000}"/>
    <cellStyle name="Comma 2 2 2 2 2 9 3 2 2 2 2 3" xfId="5699" xr:uid="{00000000-0005-0000-0000-0000F00B0000}"/>
    <cellStyle name="Comma 2 2 2 2 2 9 3 2 2 2 2 4" xfId="6398" xr:uid="{00000000-0005-0000-0000-0000F10B0000}"/>
    <cellStyle name="Comma 2 2 2 2 2 9 3 2 2 2 3" xfId="3736" xr:uid="{00000000-0005-0000-0000-0000F20B0000}"/>
    <cellStyle name="Comma 2 2 2 2 2 9 3 2 2 2 3 2" xfId="5676" xr:uid="{00000000-0005-0000-0000-0000F30B0000}"/>
    <cellStyle name="Comma 2 2 2 2 2 9 3 2 2 2 3 3" xfId="6761" xr:uid="{00000000-0005-0000-0000-0000F40B0000}"/>
    <cellStyle name="Comma 2 2 2 2 2 9 3 2 2 2 4" xfId="3935" xr:uid="{00000000-0005-0000-0000-0000F50B0000}"/>
    <cellStyle name="Comma 2 2 2 2 2 9 3 2 2 3" xfId="3218" xr:uid="{00000000-0005-0000-0000-0000F60B0000}"/>
    <cellStyle name="Comma 2 2 2 2 2 9 3 2 2 4" xfId="3735" xr:uid="{00000000-0005-0000-0000-0000F70B0000}"/>
    <cellStyle name="Comma 2 2 2 2 2 9 3 2 2 4 2" xfId="4765" xr:uid="{00000000-0005-0000-0000-0000F80B0000}"/>
    <cellStyle name="Comma 2 2 2 2 2 9 3 2 2 4 3" xfId="6010" xr:uid="{00000000-0005-0000-0000-0000F90B0000}"/>
    <cellStyle name="Comma 2 2 2 2 2 9 3 2 2 5" xfId="4606" xr:uid="{00000000-0005-0000-0000-0000FA0B0000}"/>
    <cellStyle name="Comma 2 2 2 2 2 9 3 2 2 6" xfId="3936" xr:uid="{00000000-0005-0000-0000-0000FB0B0000}"/>
    <cellStyle name="Comma 2 2 2 2 2 9 3 2 3" xfId="2347" xr:uid="{00000000-0005-0000-0000-0000FC0B0000}"/>
    <cellStyle name="Comma 2 2 2 2 2 9 3 2 4" xfId="2509" xr:uid="{00000000-0005-0000-0000-0000FD0B0000}"/>
    <cellStyle name="Comma 2 2 2 2 2 9 3 2 5" xfId="2668" xr:uid="{00000000-0005-0000-0000-0000FE0B0000}"/>
    <cellStyle name="Comma 2 2 2 2 2 9 3 2 5 2" xfId="3195" xr:uid="{00000000-0005-0000-0000-0000FF0B0000}"/>
    <cellStyle name="Comma 2 2 2 2 2 9 3 2 5 2 2" xfId="4941" xr:uid="{00000000-0005-0000-0000-0000000C0000}"/>
    <cellStyle name="Comma 2 2 2 2 2 9 3 2 5 2 2 2" xfId="5325" xr:uid="{00000000-0005-0000-0000-0000010C0000}"/>
    <cellStyle name="Comma 2 2 2 2 2 9 3 2 5 2 2 3" xfId="6530" xr:uid="{00000000-0005-0000-0000-0000020C0000}"/>
    <cellStyle name="Comma 2 2 2 2 2 9 3 2 5 2 3" xfId="5808" xr:uid="{00000000-0005-0000-0000-0000030C0000}"/>
    <cellStyle name="Comma 2 2 2 2 2 9 3 2 5 2 4" xfId="6152" xr:uid="{00000000-0005-0000-0000-0000040C0000}"/>
    <cellStyle name="Comma 2 2 2 2 2 9 3 2 5 3" xfId="3737" xr:uid="{00000000-0005-0000-0000-0000050C0000}"/>
    <cellStyle name="Comma 2 2 2 2 2 9 3 2 5 3 2" xfId="5429" xr:uid="{00000000-0005-0000-0000-0000060C0000}"/>
    <cellStyle name="Comma 2 2 2 2 2 9 3 2 5 3 3" xfId="6623" xr:uid="{00000000-0005-0000-0000-0000070C0000}"/>
    <cellStyle name="Comma 2 2 2 2 2 9 3 2 5 4" xfId="3933" xr:uid="{00000000-0005-0000-0000-0000080C0000}"/>
    <cellStyle name="Comma 2 2 2 2 2 9 3 2 6" xfId="3734" xr:uid="{00000000-0005-0000-0000-0000090C0000}"/>
    <cellStyle name="Comma 2 2 2 2 2 9 3 2 6 2" xfId="4742" xr:uid="{00000000-0005-0000-0000-00000A0C0000}"/>
    <cellStyle name="Comma 2 2 2 2 2 9 3 2 6 3" xfId="5987" xr:uid="{00000000-0005-0000-0000-00000B0C0000}"/>
    <cellStyle name="Comma 2 2 2 2 2 9 3 2 7" xfId="4611" xr:uid="{00000000-0005-0000-0000-00000C0C0000}"/>
    <cellStyle name="Comma 2 2 2 2 2 9 3 2 8" xfId="3937" xr:uid="{00000000-0005-0000-0000-00000D0C0000}"/>
    <cellStyle name="Comma 2 2 2 2 2 9 3 3" xfId="2250" xr:uid="{00000000-0005-0000-0000-00000E0C0000}"/>
    <cellStyle name="Comma 2 2 2 2 2 9 3 4" xfId="2285" xr:uid="{00000000-0005-0000-0000-00000F0C0000}"/>
    <cellStyle name="Comma 2 2 2 2 2 9 3 5" xfId="2325" xr:uid="{00000000-0005-0000-0000-0000100C0000}"/>
    <cellStyle name="Comma 2 2 2 2 2 9 3 5 2" xfId="2900" xr:uid="{00000000-0005-0000-0000-0000110C0000}"/>
    <cellStyle name="Comma 2 2 2 2 2 9 3 5 2 2" xfId="3084" xr:uid="{00000000-0005-0000-0000-0000120C0000}"/>
    <cellStyle name="Comma 2 2 2 2 2 9 3 5 2 2 2" xfId="5081" xr:uid="{00000000-0005-0000-0000-0000130C0000}"/>
    <cellStyle name="Comma 2 2 2 2 2 9 3 5 2 2 2 2" xfId="5264" xr:uid="{00000000-0005-0000-0000-0000140C0000}"/>
    <cellStyle name="Comma 2 2 2 2 2 9 3 5 2 2 2 3" xfId="6469" xr:uid="{00000000-0005-0000-0000-0000150C0000}"/>
    <cellStyle name="Comma 2 2 2 2 2 9 3 5 2 2 3" xfId="5747" xr:uid="{00000000-0005-0000-0000-0000160C0000}"/>
    <cellStyle name="Comma 2 2 2 2 2 9 3 5 2 2 4" xfId="6286" xr:uid="{00000000-0005-0000-0000-0000170C0000}"/>
    <cellStyle name="Comma 2 2 2 2 2 9 3 5 2 3" xfId="3739" xr:uid="{00000000-0005-0000-0000-0000180C0000}"/>
    <cellStyle name="Comma 2 2 2 2 2 9 3 5 2 3 2" xfId="5564" xr:uid="{00000000-0005-0000-0000-0000190C0000}"/>
    <cellStyle name="Comma 2 2 2 2 2 9 3 5 2 3 3" xfId="6698" xr:uid="{00000000-0005-0000-0000-00001A0C0000}"/>
    <cellStyle name="Comma 2 2 2 2 2 9 3 5 2 4" xfId="4913" xr:uid="{00000000-0005-0000-0000-00001B0C0000}"/>
    <cellStyle name="Comma 2 2 2 2 2 9 3 5 3" xfId="3266" xr:uid="{00000000-0005-0000-0000-00001C0C0000}"/>
    <cellStyle name="Comma 2 2 2 2 2 9 3 5 4" xfId="3738" xr:uid="{00000000-0005-0000-0000-00001D0C0000}"/>
    <cellStyle name="Comma 2 2 2 2 2 9 3 5 4 2" xfId="4813" xr:uid="{00000000-0005-0000-0000-00001E0C0000}"/>
    <cellStyle name="Comma 2 2 2 2 2 9 3 5 4 3" xfId="6058" xr:uid="{00000000-0005-0000-0000-00001F0C0000}"/>
    <cellStyle name="Comma 2 2 2 2 2 9 3 5 5" xfId="4559" xr:uid="{00000000-0005-0000-0000-0000200C0000}"/>
    <cellStyle name="Comma 2 2 2 2 2 9 3 5 6" xfId="3932" xr:uid="{00000000-0005-0000-0000-0000210C0000}"/>
    <cellStyle name="Comma 2 2 2 2 2 9 3 6" xfId="2508" xr:uid="{00000000-0005-0000-0000-0000220C0000}"/>
    <cellStyle name="Comma 2 2 2 2 2 9 3 7" xfId="2669" xr:uid="{00000000-0005-0000-0000-0000230C0000}"/>
    <cellStyle name="Comma 2 2 2 2 2 9 3 7 2" xfId="2829" xr:uid="{00000000-0005-0000-0000-0000240C0000}"/>
    <cellStyle name="Comma 2 2 2 2 2 9 3 7 2 2" xfId="4942" xr:uid="{00000000-0005-0000-0000-0000250C0000}"/>
    <cellStyle name="Comma 2 2 2 2 2 9 3 7 2 2 2" xfId="5014" xr:uid="{00000000-0005-0000-0000-0000260C0000}"/>
    <cellStyle name="Comma 2 2 2 2 2 9 3 7 2 2 3" xfId="6219" xr:uid="{00000000-0005-0000-0000-0000270C0000}"/>
    <cellStyle name="Comma 2 2 2 2 2 9 3 7 2 3" xfId="5497" xr:uid="{00000000-0005-0000-0000-0000280C0000}"/>
    <cellStyle name="Comma 2 2 2 2 2 9 3 7 2 4" xfId="6153" xr:uid="{00000000-0005-0000-0000-0000290C0000}"/>
    <cellStyle name="Comma 2 2 2 2 2 9 3 7 3" xfId="3741" xr:uid="{00000000-0005-0000-0000-00002A0C0000}"/>
    <cellStyle name="Comma 2 2 2 2 2 9 3 7 3 2" xfId="5430" xr:uid="{00000000-0005-0000-0000-00002B0C0000}"/>
    <cellStyle name="Comma 2 2 2 2 2 9 3 7 3 3" xfId="6624" xr:uid="{00000000-0005-0000-0000-00002C0C0000}"/>
    <cellStyle name="Comma 2 2 2 2 2 9 3 7 4" xfId="3931" xr:uid="{00000000-0005-0000-0000-00002D0C0000}"/>
    <cellStyle name="Comma 2 2 2 2 2 9 3 8" xfId="3733" xr:uid="{00000000-0005-0000-0000-00002E0C0000}"/>
    <cellStyle name="Comma 2 2 2 2 2 9 3 8 2" xfId="4573" xr:uid="{00000000-0005-0000-0000-00002F0C0000}"/>
    <cellStyle name="Comma 2 2 2 2 2 9 3 8 3" xfId="5877" xr:uid="{00000000-0005-0000-0000-0000300C0000}"/>
    <cellStyle name="Comma 2 2 2 2 2 9 3 9" xfId="4444" xr:uid="{00000000-0005-0000-0000-0000310C0000}"/>
    <cellStyle name="Comma 2 2 2 2 2 9 4" xfId="1964" xr:uid="{00000000-0005-0000-0000-0000320C0000}"/>
    <cellStyle name="Comma 2 2 2 2 2 9 4 2" xfId="2120" xr:uid="{00000000-0005-0000-0000-0000330C0000}"/>
    <cellStyle name="Comma 2 2 2 2 2 9 4 2 2" xfId="2936" xr:uid="{00000000-0005-0000-0000-0000340C0000}"/>
    <cellStyle name="Comma 2 2 2 2 2 9 4 2 2 2" xfId="2999" xr:uid="{00000000-0005-0000-0000-0000350C0000}"/>
    <cellStyle name="Comma 2 2 2 2 2 9 4 2 2 2 2" xfId="5117" xr:uid="{00000000-0005-0000-0000-0000360C0000}"/>
    <cellStyle name="Comma 2 2 2 2 2 9 4 2 2 2 2 2" xfId="5179" xr:uid="{00000000-0005-0000-0000-0000370C0000}"/>
    <cellStyle name="Comma 2 2 2 2 2 9 4 2 2 2 2 3" xfId="6384" xr:uid="{00000000-0005-0000-0000-0000380C0000}"/>
    <cellStyle name="Comma 2 2 2 2 2 9 4 2 2 2 3" xfId="5662" xr:uid="{00000000-0005-0000-0000-0000390C0000}"/>
    <cellStyle name="Comma 2 2 2 2 2 9 4 2 2 2 4" xfId="6322" xr:uid="{00000000-0005-0000-0000-00003A0C0000}"/>
    <cellStyle name="Comma 2 2 2 2 2 9 4 2 2 3" xfId="3744" xr:uid="{00000000-0005-0000-0000-00003B0C0000}"/>
    <cellStyle name="Comma 2 2 2 2 2 9 4 2 2 3 2" xfId="5600" xr:uid="{00000000-0005-0000-0000-00003C0C0000}"/>
    <cellStyle name="Comma 2 2 2 2 2 9 4 2 2 3 3" xfId="6734" xr:uid="{00000000-0005-0000-0000-00003D0C0000}"/>
    <cellStyle name="Comma 2 2 2 2 2 9 4 2 2 4" xfId="3927" xr:uid="{00000000-0005-0000-0000-00003E0C0000}"/>
    <cellStyle name="Comma 2 2 2 2 2 9 4 2 3" xfId="3181" xr:uid="{00000000-0005-0000-0000-00003F0C0000}"/>
    <cellStyle name="Comma 2 2 2 2 2 9 4 2 4" xfId="3743" xr:uid="{00000000-0005-0000-0000-0000400C0000}"/>
    <cellStyle name="Comma 2 2 2 2 2 9 4 2 4 2" xfId="4727" xr:uid="{00000000-0005-0000-0000-0000410C0000}"/>
    <cellStyle name="Comma 2 2 2 2 2 9 4 2 4 3" xfId="5973" xr:uid="{00000000-0005-0000-0000-0000420C0000}"/>
    <cellStyle name="Comma 2 2 2 2 2 9 4 2 5" xfId="4848" xr:uid="{00000000-0005-0000-0000-0000430C0000}"/>
    <cellStyle name="Comma 2 2 2 2 2 9 4 2 6" xfId="3929" xr:uid="{00000000-0005-0000-0000-0000440C0000}"/>
    <cellStyle name="Comma 2 2 2 2 2 9 4 3" xfId="2311" xr:uid="{00000000-0005-0000-0000-0000450C0000}"/>
    <cellStyle name="Comma 2 2 2 2 2 9 4 4" xfId="2510" xr:uid="{00000000-0005-0000-0000-0000460C0000}"/>
    <cellStyle name="Comma 2 2 2 2 2 9 4 5" xfId="2667" xr:uid="{00000000-0005-0000-0000-0000470C0000}"/>
    <cellStyle name="Comma 2 2 2 2 2 9 4 5 2" xfId="3118" xr:uid="{00000000-0005-0000-0000-0000480C0000}"/>
    <cellStyle name="Comma 2 2 2 2 2 9 4 5 2 2" xfId="4940" xr:uid="{00000000-0005-0000-0000-0000490C0000}"/>
    <cellStyle name="Comma 2 2 2 2 2 9 4 5 2 2 2" xfId="5298" xr:uid="{00000000-0005-0000-0000-00004A0C0000}"/>
    <cellStyle name="Comma 2 2 2 2 2 9 4 5 2 2 3" xfId="6503" xr:uid="{00000000-0005-0000-0000-00004B0C0000}"/>
    <cellStyle name="Comma 2 2 2 2 2 9 4 5 2 3" xfId="5781" xr:uid="{00000000-0005-0000-0000-00004C0C0000}"/>
    <cellStyle name="Comma 2 2 2 2 2 9 4 5 2 4" xfId="6151" xr:uid="{00000000-0005-0000-0000-00004D0C0000}"/>
    <cellStyle name="Comma 2 2 2 2 2 9 4 5 3" xfId="3747" xr:uid="{00000000-0005-0000-0000-00004E0C0000}"/>
    <cellStyle name="Comma 2 2 2 2 2 9 4 5 3 2" xfId="5428" xr:uid="{00000000-0005-0000-0000-00004F0C0000}"/>
    <cellStyle name="Comma 2 2 2 2 2 9 4 5 3 3" xfId="6622" xr:uid="{00000000-0005-0000-0000-0000500C0000}"/>
    <cellStyle name="Comma 2 2 2 2 2 9 4 5 4" xfId="3926" xr:uid="{00000000-0005-0000-0000-0000510C0000}"/>
    <cellStyle name="Comma 2 2 2 2 2 9 4 6" xfId="3742" xr:uid="{00000000-0005-0000-0000-0000520C0000}"/>
    <cellStyle name="Comma 2 2 2 2 2 9 4 6 2" xfId="4638" xr:uid="{00000000-0005-0000-0000-0000530C0000}"/>
    <cellStyle name="Comma 2 2 2 2 2 9 4 6 3" xfId="5913" xr:uid="{00000000-0005-0000-0000-0000540C0000}"/>
    <cellStyle name="Comma 2 2 2 2 2 9 4 7" xfId="4857" xr:uid="{00000000-0005-0000-0000-0000550C0000}"/>
    <cellStyle name="Comma 2 2 2 2 2 9 4 8" xfId="3930" xr:uid="{00000000-0005-0000-0000-0000560C0000}"/>
    <cellStyle name="Comma 2 2 2 2 2 9 5" xfId="2124" xr:uid="{00000000-0005-0000-0000-0000570C0000}"/>
    <cellStyle name="Comma 2 2 2 2 2 9 6" xfId="2023" xr:uid="{00000000-0005-0000-0000-0000580C0000}"/>
    <cellStyle name="Comma 2 2 2 2 2 9 6 2" xfId="2871" xr:uid="{00000000-0005-0000-0000-0000590C0000}"/>
    <cellStyle name="Comma 2 2 2 2 2 9 6 2 2" xfId="2985" xr:uid="{00000000-0005-0000-0000-00005A0C0000}"/>
    <cellStyle name="Comma 2 2 2 2 2 9 6 2 2 2" xfId="5052" xr:uid="{00000000-0005-0000-0000-00005B0C0000}"/>
    <cellStyle name="Comma 2 2 2 2 2 9 6 2 2 2 2" xfId="5166" xr:uid="{00000000-0005-0000-0000-00005C0C0000}"/>
    <cellStyle name="Comma 2 2 2 2 2 9 6 2 2 2 3" xfId="6371" xr:uid="{00000000-0005-0000-0000-00005D0C0000}"/>
    <cellStyle name="Comma 2 2 2 2 2 9 6 2 2 3" xfId="5649" xr:uid="{00000000-0005-0000-0000-00005E0C0000}"/>
    <cellStyle name="Comma 2 2 2 2 2 9 6 2 2 4" xfId="6257" xr:uid="{00000000-0005-0000-0000-00005F0C0000}"/>
    <cellStyle name="Comma 2 2 2 2 2 9 6 2 3" xfId="3749" xr:uid="{00000000-0005-0000-0000-0000600C0000}"/>
    <cellStyle name="Comma 2 2 2 2 2 9 6 2 3 2" xfId="5535" xr:uid="{00000000-0005-0000-0000-0000610C0000}"/>
    <cellStyle name="Comma 2 2 2 2 2 9 6 2 3 3" xfId="6676" xr:uid="{00000000-0005-0000-0000-0000620C0000}"/>
    <cellStyle name="Comma 2 2 2 2 2 9 6 2 4" xfId="3924" xr:uid="{00000000-0005-0000-0000-0000630C0000}"/>
    <cellStyle name="Comma 2 2 2 2 2 9 6 3" xfId="3167" xr:uid="{00000000-0005-0000-0000-0000640C0000}"/>
    <cellStyle name="Comma 2 2 2 2 2 9 6 4" xfId="3748" xr:uid="{00000000-0005-0000-0000-0000650C0000}"/>
    <cellStyle name="Comma 2 2 2 2 2 9 6 4 2" xfId="4687" xr:uid="{00000000-0005-0000-0000-0000660C0000}"/>
    <cellStyle name="Comma 2 2 2 2 2 9 6 4 3" xfId="5960" xr:uid="{00000000-0005-0000-0000-0000670C0000}"/>
    <cellStyle name="Comma 2 2 2 2 2 9 6 5" xfId="4850" xr:uid="{00000000-0005-0000-0000-0000680C0000}"/>
    <cellStyle name="Comma 2 2 2 2 2 9 6 6" xfId="3925" xr:uid="{00000000-0005-0000-0000-0000690C0000}"/>
    <cellStyle name="Comma 2 2 2 2 2 9 7" xfId="2501" xr:uid="{00000000-0005-0000-0000-00006A0C0000}"/>
    <cellStyle name="Comma 2 2 2 2 2 9 8" xfId="2676" xr:uid="{00000000-0005-0000-0000-00006B0C0000}"/>
    <cellStyle name="Comma 2 2 2 2 2 9 8 2" xfId="2841" xr:uid="{00000000-0005-0000-0000-00006C0C0000}"/>
    <cellStyle name="Comma 2 2 2 2 2 9 8 2 2" xfId="4949" xr:uid="{00000000-0005-0000-0000-00006D0C0000}"/>
    <cellStyle name="Comma 2 2 2 2 2 9 8 2 2 2" xfId="5026" xr:uid="{00000000-0005-0000-0000-00006E0C0000}"/>
    <cellStyle name="Comma 2 2 2 2 2 9 8 2 2 3" xfId="6231" xr:uid="{00000000-0005-0000-0000-00006F0C0000}"/>
    <cellStyle name="Comma 2 2 2 2 2 9 8 2 3" xfId="5509" xr:uid="{00000000-0005-0000-0000-0000700C0000}"/>
    <cellStyle name="Comma 2 2 2 2 2 9 8 2 4" xfId="6160" xr:uid="{00000000-0005-0000-0000-0000710C0000}"/>
    <cellStyle name="Comma 2 2 2 2 2 9 8 3" xfId="3751" xr:uid="{00000000-0005-0000-0000-0000720C0000}"/>
    <cellStyle name="Comma 2 2 2 2 2 9 8 3 2" xfId="5437" xr:uid="{00000000-0005-0000-0000-0000730C0000}"/>
    <cellStyle name="Comma 2 2 2 2 2 9 8 3 3" xfId="6631" xr:uid="{00000000-0005-0000-0000-0000740C0000}"/>
    <cellStyle name="Comma 2 2 2 2 2 9 8 4" xfId="3923" xr:uid="{00000000-0005-0000-0000-0000750C0000}"/>
    <cellStyle name="Comma 2 2 2 2 2 9 9" xfId="3708" xr:uid="{00000000-0005-0000-0000-0000760C0000}"/>
    <cellStyle name="Comma 2 2 2 2 2 9 9 2" xfId="4522" xr:uid="{00000000-0005-0000-0000-0000770C0000}"/>
    <cellStyle name="Comma 2 2 2 2 2 9 9 3" xfId="5855" xr:uid="{00000000-0005-0000-0000-0000780C0000}"/>
    <cellStyle name="Comma 2 2 2 2 20" xfId="2134" xr:uid="{00000000-0005-0000-0000-0000790C0000}"/>
    <cellStyle name="Comma 2 2 2 2 21" xfId="2030" xr:uid="{00000000-0005-0000-0000-00007A0C0000}"/>
    <cellStyle name="Comma 2 2 2 2 21 2" xfId="2847" xr:uid="{00000000-0005-0000-0000-00007B0C0000}"/>
    <cellStyle name="Comma 2 2 2 2 21 2 2" xfId="2992" xr:uid="{00000000-0005-0000-0000-00007C0C0000}"/>
    <cellStyle name="Comma 2 2 2 2 21 2 2 2" xfId="5030" xr:uid="{00000000-0005-0000-0000-00007D0C0000}"/>
    <cellStyle name="Comma 2 2 2 2 21 2 2 2 2" xfId="5173" xr:uid="{00000000-0005-0000-0000-00007E0C0000}"/>
    <cellStyle name="Comma 2 2 2 2 21 2 2 2 3" xfId="6378" xr:uid="{00000000-0005-0000-0000-00007F0C0000}"/>
    <cellStyle name="Comma 2 2 2 2 21 2 2 3" xfId="5656" xr:uid="{00000000-0005-0000-0000-0000800C0000}"/>
    <cellStyle name="Comma 2 2 2 2 21 2 2 4" xfId="6235" xr:uid="{00000000-0005-0000-0000-0000810C0000}"/>
    <cellStyle name="Comma 2 2 2 2 21 2 3" xfId="3753" xr:uid="{00000000-0005-0000-0000-0000820C0000}"/>
    <cellStyle name="Comma 2 2 2 2 21 2 3 2" xfId="5513" xr:uid="{00000000-0005-0000-0000-0000830C0000}"/>
    <cellStyle name="Comma 2 2 2 2 21 2 3 3" xfId="6668" xr:uid="{00000000-0005-0000-0000-0000840C0000}"/>
    <cellStyle name="Comma 2 2 2 2 21 2 4" xfId="3921" xr:uid="{00000000-0005-0000-0000-0000850C0000}"/>
    <cellStyle name="Comma 2 2 2 2 21 3" xfId="3174" xr:uid="{00000000-0005-0000-0000-0000860C0000}"/>
    <cellStyle name="Comma 2 2 2 2 21 4" xfId="3752" xr:uid="{00000000-0005-0000-0000-0000870C0000}"/>
    <cellStyle name="Comma 2 2 2 2 21 4 2" xfId="4694" xr:uid="{00000000-0005-0000-0000-0000880C0000}"/>
    <cellStyle name="Comma 2 2 2 2 21 4 3" xfId="5967" xr:uid="{00000000-0005-0000-0000-0000890C0000}"/>
    <cellStyle name="Comma 2 2 2 2 21 5" xfId="4849" xr:uid="{00000000-0005-0000-0000-00008A0C0000}"/>
    <cellStyle name="Comma 2 2 2 2 21 6" xfId="3922" xr:uid="{00000000-0005-0000-0000-00008B0C0000}"/>
    <cellStyle name="Comma 2 2 2 2 22" xfId="2479" xr:uid="{00000000-0005-0000-0000-00008C0C0000}"/>
    <cellStyle name="Comma 2 2 2 2 23" xfId="2699" xr:uid="{00000000-0005-0000-0000-00008D0C0000}"/>
    <cellStyle name="Comma 2 2 2 2 23 2" xfId="2856" xr:uid="{00000000-0005-0000-0000-00008E0C0000}"/>
    <cellStyle name="Comma 2 2 2 2 23 2 2" xfId="4971" xr:uid="{00000000-0005-0000-0000-00008F0C0000}"/>
    <cellStyle name="Comma 2 2 2 2 23 2 2 2" xfId="5039" xr:uid="{00000000-0005-0000-0000-0000900C0000}"/>
    <cellStyle name="Comma 2 2 2 2 23 2 2 3" xfId="6244" xr:uid="{00000000-0005-0000-0000-0000910C0000}"/>
    <cellStyle name="Comma 2 2 2 2 23 2 3" xfId="5522" xr:uid="{00000000-0005-0000-0000-0000920C0000}"/>
    <cellStyle name="Comma 2 2 2 2 23 2 4" xfId="6182" xr:uid="{00000000-0005-0000-0000-0000930C0000}"/>
    <cellStyle name="Comma 2 2 2 2 23 3" xfId="3755" xr:uid="{00000000-0005-0000-0000-0000940C0000}"/>
    <cellStyle name="Comma 2 2 2 2 23 3 2" xfId="5459" xr:uid="{00000000-0005-0000-0000-0000950C0000}"/>
    <cellStyle name="Comma 2 2 2 2 23 3 3" xfId="6653" xr:uid="{00000000-0005-0000-0000-0000960C0000}"/>
    <cellStyle name="Comma 2 2 2 2 23 4" xfId="3920" xr:uid="{00000000-0005-0000-0000-0000970C0000}"/>
    <cellStyle name="Comma 2 2 2 2 24" xfId="3598" xr:uid="{00000000-0005-0000-0000-0000980C0000}"/>
    <cellStyle name="Comma 2 2 2 2 24 2" xfId="4474" xr:uid="{00000000-0005-0000-0000-0000990C0000}"/>
    <cellStyle name="Comma 2 2 2 2 24 3" xfId="5847" xr:uid="{00000000-0005-0000-0000-00009A0C0000}"/>
    <cellStyle name="Comma 2 2 2 2 25" xfId="4484" xr:uid="{00000000-0005-0000-0000-00009B0C0000}"/>
    <cellStyle name="Comma 2 2 2 2 26" xfId="549" xr:uid="{00000000-0005-0000-0000-00009C0C0000}"/>
    <cellStyle name="Comma 2 2 2 2 26 2" xfId="550" xr:uid="{00000000-0005-0000-0000-00009D0C0000}"/>
    <cellStyle name="Comma 2 2 2 2 26 2 2" xfId="551" xr:uid="{00000000-0005-0000-0000-00009E0C0000}"/>
    <cellStyle name="Comma 2 2 2 2 26 2 3" xfId="552" xr:uid="{00000000-0005-0000-0000-00009F0C0000}"/>
    <cellStyle name="Comma 2 2 2 2 26 2 4" xfId="553" xr:uid="{00000000-0005-0000-0000-0000A00C0000}"/>
    <cellStyle name="Comma 2 2 2 2 26 2 5" xfId="554" xr:uid="{00000000-0005-0000-0000-0000A10C0000}"/>
    <cellStyle name="Comma 2 2 2 2 26 2 6" xfId="555" xr:uid="{00000000-0005-0000-0000-0000A20C0000}"/>
    <cellStyle name="Comma 2 2 2 2 26 2 7" xfId="556" xr:uid="{00000000-0005-0000-0000-0000A30C0000}"/>
    <cellStyle name="Comma 2 2 2 2 26 3" xfId="557" xr:uid="{00000000-0005-0000-0000-0000A40C0000}"/>
    <cellStyle name="Comma 2 2 2 2 26 4" xfId="558" xr:uid="{00000000-0005-0000-0000-0000A50C0000}"/>
    <cellStyle name="Comma 2 2 2 2 26 5" xfId="559" xr:uid="{00000000-0005-0000-0000-0000A60C0000}"/>
    <cellStyle name="Comma 2 2 2 2 26 6" xfId="560" xr:uid="{00000000-0005-0000-0000-0000A70C0000}"/>
    <cellStyle name="Comma 2 2 2 2 26 7" xfId="561" xr:uid="{00000000-0005-0000-0000-0000A80C0000}"/>
    <cellStyle name="Comma 2 2 2 2 26 8" xfId="562" xr:uid="{00000000-0005-0000-0000-0000A90C0000}"/>
    <cellStyle name="Comma 2 2 2 2 26 9" xfId="563" xr:uid="{00000000-0005-0000-0000-0000AA0C0000}"/>
    <cellStyle name="Comma 2 2 2 2 27" xfId="4249" xr:uid="{00000000-0005-0000-0000-0000AB0C0000}"/>
    <cellStyle name="Comma 2 2 2 2 28" xfId="9029" xr:uid="{00000000-0005-0000-0000-0000AC0C0000}"/>
    <cellStyle name="Comma 2 2 2 2 3" xfId="564" xr:uid="{00000000-0005-0000-0000-0000AD0C0000}"/>
    <cellStyle name="Comma 2 2 2 2 4" xfId="565" xr:uid="{00000000-0005-0000-0000-0000AE0C0000}"/>
    <cellStyle name="Comma 2 2 2 2 5" xfId="566" xr:uid="{00000000-0005-0000-0000-0000AF0C0000}"/>
    <cellStyle name="Comma 2 2 2 2 6" xfId="567" xr:uid="{00000000-0005-0000-0000-0000B00C0000}"/>
    <cellStyle name="Comma 2 2 2 2 7" xfId="568" xr:uid="{00000000-0005-0000-0000-0000B10C0000}"/>
    <cellStyle name="Comma 2 2 2 2 8" xfId="569" xr:uid="{00000000-0005-0000-0000-0000B20C0000}"/>
    <cellStyle name="Comma 2 2 2 2 9" xfId="570" xr:uid="{00000000-0005-0000-0000-0000B30C0000}"/>
    <cellStyle name="Comma 2 2 2 20" xfId="9027" xr:uid="{00000000-0005-0000-0000-0000B40C0000}"/>
    <cellStyle name="Comma 2 2 2 3" xfId="571" xr:uid="{00000000-0005-0000-0000-0000B50C0000}"/>
    <cellStyle name="Comma 2 2 2 31" xfId="572" xr:uid="{00000000-0005-0000-0000-0000B60C0000}"/>
    <cellStyle name="Comma 2 2 2 4" xfId="573" xr:uid="{00000000-0005-0000-0000-0000B70C0000}"/>
    <cellStyle name="Comma 2 2 2 5" xfId="574" xr:uid="{00000000-0005-0000-0000-0000B80C0000}"/>
    <cellStyle name="Comma 2 2 2 6" xfId="575" xr:uid="{00000000-0005-0000-0000-0000B90C0000}"/>
    <cellStyle name="Comma 2 2 2 7" xfId="1707" xr:uid="{00000000-0005-0000-0000-0000BA0C0000}"/>
    <cellStyle name="Comma 2 2 2 7 10" xfId="4469" xr:uid="{00000000-0005-0000-0000-0000BB0C0000}"/>
    <cellStyle name="Comma 2 2 2 7 11" xfId="3910" xr:uid="{00000000-0005-0000-0000-0000BC0C0000}"/>
    <cellStyle name="Comma 2 2 2 7 12" xfId="9042" xr:uid="{00000000-0005-0000-0000-0000BD0C0000}"/>
    <cellStyle name="Comma 2 2 2 7 2" xfId="1823" xr:uid="{00000000-0005-0000-0000-0000BE0C0000}"/>
    <cellStyle name="Comma 2 2 2 7 2 10" xfId="4452" xr:uid="{00000000-0005-0000-0000-0000BF0C0000}"/>
    <cellStyle name="Comma 2 2 2 7 2 11" xfId="3909" xr:uid="{00000000-0005-0000-0000-0000C00C0000}"/>
    <cellStyle name="Comma 2 2 2 7 2 12" xfId="9043" xr:uid="{00000000-0005-0000-0000-0000C10C0000}"/>
    <cellStyle name="Comma 2 2 2 7 2 2" xfId="1862" xr:uid="{00000000-0005-0000-0000-0000C20C0000}"/>
    <cellStyle name="Comma 2 2 2 7 2 2 10" xfId="3908" xr:uid="{00000000-0005-0000-0000-0000C30C0000}"/>
    <cellStyle name="Comma 2 2 2 7 2 2 11" xfId="9044" xr:uid="{00000000-0005-0000-0000-0000C40C0000}"/>
    <cellStyle name="Comma 2 2 2 7 2 2 2" xfId="1870" xr:uid="{00000000-0005-0000-0000-0000C50C0000}"/>
    <cellStyle name="Comma 2 2 2 7 2 2 2 10" xfId="3907" xr:uid="{00000000-0005-0000-0000-0000C60C0000}"/>
    <cellStyle name="Comma 2 2 2 7 2 2 2 2" xfId="2210" xr:uid="{00000000-0005-0000-0000-0000C70C0000}"/>
    <cellStyle name="Comma 2 2 2 7 2 2 2 2 2" xfId="2218" xr:uid="{00000000-0005-0000-0000-0000C80C0000}"/>
    <cellStyle name="Comma 2 2 2 7 2 2 2 2 2 2" xfId="3048" xr:uid="{00000000-0005-0000-0000-0000C90C0000}"/>
    <cellStyle name="Comma 2 2 2 7 2 2 2 2 2 2 2" xfId="3056" xr:uid="{00000000-0005-0000-0000-0000CA0C0000}"/>
    <cellStyle name="Comma 2 2 2 7 2 2 2 2 2 2 2 2" xfId="5228" xr:uid="{00000000-0005-0000-0000-0000CB0C0000}"/>
    <cellStyle name="Comma 2 2 2 7 2 2 2 2 2 2 2 2 2" xfId="5236" xr:uid="{00000000-0005-0000-0000-0000CC0C0000}"/>
    <cellStyle name="Comma 2 2 2 7 2 2 2 2 2 2 2 2 3" xfId="6441" xr:uid="{00000000-0005-0000-0000-0000CD0C0000}"/>
    <cellStyle name="Comma 2 2 2 7 2 2 2 2 2 2 2 3" xfId="5719" xr:uid="{00000000-0005-0000-0000-0000CE0C0000}"/>
    <cellStyle name="Comma 2 2 2 7 2 2 2 2 2 2 2 4" xfId="6433" xr:uid="{00000000-0005-0000-0000-0000CF0C0000}"/>
    <cellStyle name="Comma 2 2 2 7 2 2 2 2 2 2 3" xfId="3776" xr:uid="{00000000-0005-0000-0000-0000D00C0000}"/>
    <cellStyle name="Comma 2 2 2 7 2 2 2 2 2 2 3 2" xfId="5711" xr:uid="{00000000-0005-0000-0000-0000D10C0000}"/>
    <cellStyle name="Comma 2 2 2 7 2 2 2 2 2 2 3 3" xfId="6774" xr:uid="{00000000-0005-0000-0000-0000D20C0000}"/>
    <cellStyle name="Comma 2 2 2 7 2 2 2 2 2 2 4" xfId="3904" xr:uid="{00000000-0005-0000-0000-0000D30C0000}"/>
    <cellStyle name="Comma 2 2 2 7 2 2 2 2 2 3" xfId="3238" xr:uid="{00000000-0005-0000-0000-0000D40C0000}"/>
    <cellStyle name="Comma 2 2 2 7 2 2 2 2 2 4" xfId="3775" xr:uid="{00000000-0005-0000-0000-0000D50C0000}"/>
    <cellStyle name="Comma 2 2 2 7 2 2 2 2 2 4 2" xfId="4785" xr:uid="{00000000-0005-0000-0000-0000D60C0000}"/>
    <cellStyle name="Comma 2 2 2 7 2 2 2 2 2 4 3" xfId="6030" xr:uid="{00000000-0005-0000-0000-0000D70C0000}"/>
    <cellStyle name="Comma 2 2 2 7 2 2 2 2 2 5" xfId="4498" xr:uid="{00000000-0005-0000-0000-0000D80C0000}"/>
    <cellStyle name="Comma 2 2 2 7 2 2 2 2 2 6" xfId="3905" xr:uid="{00000000-0005-0000-0000-0000D90C0000}"/>
    <cellStyle name="Comma 2 2 2 7 2 2 2 2 3" xfId="2367" xr:uid="{00000000-0005-0000-0000-0000DA0C0000}"/>
    <cellStyle name="Comma 2 2 2 7 2 2 2 2 4" xfId="2516" xr:uid="{00000000-0005-0000-0000-0000DB0C0000}"/>
    <cellStyle name="Comma 2 2 2 7 2 2 2 2 5" xfId="2662" xr:uid="{00000000-0005-0000-0000-0000DC0C0000}"/>
    <cellStyle name="Comma 2 2 2 7 2 2 2 2 5 2" xfId="3230" xr:uid="{00000000-0005-0000-0000-0000DD0C0000}"/>
    <cellStyle name="Comma 2 2 2 7 2 2 2 2 5 2 2" xfId="4935" xr:uid="{00000000-0005-0000-0000-0000DE0C0000}"/>
    <cellStyle name="Comma 2 2 2 7 2 2 2 2 5 2 2 2" xfId="5339" xr:uid="{00000000-0005-0000-0000-0000DF0C0000}"/>
    <cellStyle name="Comma 2 2 2 7 2 2 2 2 5 2 2 3" xfId="6544" xr:uid="{00000000-0005-0000-0000-0000E00C0000}"/>
    <cellStyle name="Comma 2 2 2 7 2 2 2 2 5 2 3" xfId="5822" xr:uid="{00000000-0005-0000-0000-0000E10C0000}"/>
    <cellStyle name="Comma 2 2 2 7 2 2 2 2 5 2 4" xfId="6146" xr:uid="{00000000-0005-0000-0000-0000E20C0000}"/>
    <cellStyle name="Comma 2 2 2 7 2 2 2 2 5 3" xfId="3779" xr:uid="{00000000-0005-0000-0000-0000E30C0000}"/>
    <cellStyle name="Comma 2 2 2 7 2 2 2 2 5 3 2" xfId="5423" xr:uid="{00000000-0005-0000-0000-0000E40C0000}"/>
    <cellStyle name="Comma 2 2 2 7 2 2 2 2 5 3 3" xfId="6617" xr:uid="{00000000-0005-0000-0000-0000E50C0000}"/>
    <cellStyle name="Comma 2 2 2 7 2 2 2 2 5 4" xfId="3903" xr:uid="{00000000-0005-0000-0000-0000E60C0000}"/>
    <cellStyle name="Comma 2 2 2 7 2 2 2 2 6" xfId="3774" xr:uid="{00000000-0005-0000-0000-0000E70C0000}"/>
    <cellStyle name="Comma 2 2 2 7 2 2 2 2 6 2" xfId="4777" xr:uid="{00000000-0005-0000-0000-0000E80C0000}"/>
    <cellStyle name="Comma 2 2 2 7 2 2 2 2 6 3" xfId="6022" xr:uid="{00000000-0005-0000-0000-0000E90C0000}"/>
    <cellStyle name="Comma 2 2 2 7 2 2 2 2 7" xfId="4551" xr:uid="{00000000-0005-0000-0000-0000EA0C0000}"/>
    <cellStyle name="Comma 2 2 2 7 2 2 2 2 8" xfId="3906" xr:uid="{00000000-0005-0000-0000-0000EB0C0000}"/>
    <cellStyle name="Comma 2 2 2 7 2 2 2 3" xfId="2270" xr:uid="{00000000-0005-0000-0000-0000EC0C0000}"/>
    <cellStyle name="Comma 2 2 2 7 2 2 2 4" xfId="2305" xr:uid="{00000000-0005-0000-0000-0000ED0C0000}"/>
    <cellStyle name="Comma 2 2 2 7 2 2 2 5" xfId="2359" xr:uid="{00000000-0005-0000-0000-0000EE0C0000}"/>
    <cellStyle name="Comma 2 2 2 7 2 2 2 5 2" xfId="2920" xr:uid="{00000000-0005-0000-0000-0000EF0C0000}"/>
    <cellStyle name="Comma 2 2 2 7 2 2 2 5 2 2" xfId="3096" xr:uid="{00000000-0005-0000-0000-0000F00C0000}"/>
    <cellStyle name="Comma 2 2 2 7 2 2 2 5 2 2 2" xfId="5101" xr:uid="{00000000-0005-0000-0000-0000F10C0000}"/>
    <cellStyle name="Comma 2 2 2 7 2 2 2 5 2 2 2 2" xfId="5276" xr:uid="{00000000-0005-0000-0000-0000F20C0000}"/>
    <cellStyle name="Comma 2 2 2 7 2 2 2 5 2 2 2 3" xfId="6481" xr:uid="{00000000-0005-0000-0000-0000F30C0000}"/>
    <cellStyle name="Comma 2 2 2 7 2 2 2 5 2 2 3" xfId="5759" xr:uid="{00000000-0005-0000-0000-0000F40C0000}"/>
    <cellStyle name="Comma 2 2 2 7 2 2 2 5 2 2 4" xfId="6306" xr:uid="{00000000-0005-0000-0000-0000F50C0000}"/>
    <cellStyle name="Comma 2 2 2 7 2 2 2 5 2 3" xfId="3783" xr:uid="{00000000-0005-0000-0000-0000F60C0000}"/>
    <cellStyle name="Comma 2 2 2 7 2 2 2 5 2 3 2" xfId="5584" xr:uid="{00000000-0005-0000-0000-0000F70C0000}"/>
    <cellStyle name="Comma 2 2 2 7 2 2 2 5 2 3 3" xfId="6718" xr:uid="{00000000-0005-0000-0000-0000F80C0000}"/>
    <cellStyle name="Comma 2 2 2 7 2 2 2 5 2 4" xfId="3901" xr:uid="{00000000-0005-0000-0000-0000F90C0000}"/>
    <cellStyle name="Comma 2 2 2 7 2 2 2 5 3" xfId="3278" xr:uid="{00000000-0005-0000-0000-0000FA0C0000}"/>
    <cellStyle name="Comma 2 2 2 7 2 2 2 5 4" xfId="3782" xr:uid="{00000000-0005-0000-0000-0000FB0C0000}"/>
    <cellStyle name="Comma 2 2 2 7 2 2 2 5 4 2" xfId="4826" xr:uid="{00000000-0005-0000-0000-0000FC0C0000}"/>
    <cellStyle name="Comma 2 2 2 7 2 2 2 5 4 3" xfId="6071" xr:uid="{00000000-0005-0000-0000-0000FD0C0000}"/>
    <cellStyle name="Comma 2 2 2 7 2 2 2 5 5" xfId="4725" xr:uid="{00000000-0005-0000-0000-0000FE0C0000}"/>
    <cellStyle name="Comma 2 2 2 7 2 2 2 5 6" xfId="3902" xr:uid="{00000000-0005-0000-0000-0000FF0C0000}"/>
    <cellStyle name="Comma 2 2 2 7 2 2 2 6" xfId="2515" xr:uid="{00000000-0005-0000-0000-0000000D0000}"/>
    <cellStyle name="Comma 2 2 2 7 2 2 2 7" xfId="2663" xr:uid="{00000000-0005-0000-0000-0000010D0000}"/>
    <cellStyle name="Comma 2 2 2 7 2 2 2 7 2" xfId="2809" xr:uid="{00000000-0005-0000-0000-0000020D0000}"/>
    <cellStyle name="Comma 2 2 2 7 2 2 2 7 2 2" xfId="4936" xr:uid="{00000000-0005-0000-0000-0000030D0000}"/>
    <cellStyle name="Comma 2 2 2 7 2 2 2 7 2 2 2" xfId="4994" xr:uid="{00000000-0005-0000-0000-0000040D0000}"/>
    <cellStyle name="Comma 2 2 2 7 2 2 2 7 2 2 3" xfId="6199" xr:uid="{00000000-0005-0000-0000-0000050D0000}"/>
    <cellStyle name="Comma 2 2 2 7 2 2 2 7 2 3" xfId="5477" xr:uid="{00000000-0005-0000-0000-0000060D0000}"/>
    <cellStyle name="Comma 2 2 2 7 2 2 2 7 2 4" xfId="6147" xr:uid="{00000000-0005-0000-0000-0000070D0000}"/>
    <cellStyle name="Comma 2 2 2 7 2 2 2 7 3" xfId="3784" xr:uid="{00000000-0005-0000-0000-0000080D0000}"/>
    <cellStyle name="Comma 2 2 2 7 2 2 2 7 3 2" xfId="5424" xr:uid="{00000000-0005-0000-0000-0000090D0000}"/>
    <cellStyle name="Comma 2 2 2 7 2 2 2 7 3 3" xfId="6618" xr:uid="{00000000-0005-0000-0000-00000A0D0000}"/>
    <cellStyle name="Comma 2 2 2 7 2 2 2 7 4" xfId="3900" xr:uid="{00000000-0005-0000-0000-00000B0D0000}"/>
    <cellStyle name="Comma 2 2 2 7 2 2 2 8" xfId="3773" xr:uid="{00000000-0005-0000-0000-00000C0D0000}"/>
    <cellStyle name="Comma 2 2 2 7 2 2 2 8 2" xfId="4593" xr:uid="{00000000-0005-0000-0000-00000D0D0000}"/>
    <cellStyle name="Comma 2 2 2 7 2 2 2 8 3" xfId="5897" xr:uid="{00000000-0005-0000-0000-00000E0D0000}"/>
    <cellStyle name="Comma 2 2 2 7 2 2 2 9" xfId="4424" xr:uid="{00000000-0005-0000-0000-00000F0D0000}"/>
    <cellStyle name="Comma 2 2 2 7 2 2 3" xfId="1969" xr:uid="{00000000-0005-0000-0000-0000100D0000}"/>
    <cellStyle name="Comma 2 2 2 7 2 2 3 2" xfId="2262" xr:uid="{00000000-0005-0000-0000-0000110D0000}"/>
    <cellStyle name="Comma 2 2 2 7 2 2 3 2 2" xfId="2941" xr:uid="{00000000-0005-0000-0000-0000120D0000}"/>
    <cellStyle name="Comma 2 2 2 7 2 2 3 2 2 2" xfId="3073" xr:uid="{00000000-0005-0000-0000-0000130D0000}"/>
    <cellStyle name="Comma 2 2 2 7 2 2 3 2 2 2 2" xfId="5122" xr:uid="{00000000-0005-0000-0000-0000140D0000}"/>
    <cellStyle name="Comma 2 2 2 7 2 2 3 2 2 2 2 2" xfId="5253" xr:uid="{00000000-0005-0000-0000-0000150D0000}"/>
    <cellStyle name="Comma 2 2 2 7 2 2 3 2 2 2 2 3" xfId="6458" xr:uid="{00000000-0005-0000-0000-0000160D0000}"/>
    <cellStyle name="Comma 2 2 2 7 2 2 3 2 2 2 3" xfId="5736" xr:uid="{00000000-0005-0000-0000-0000170D0000}"/>
    <cellStyle name="Comma 2 2 2 7 2 2 3 2 2 2 4" xfId="6327" xr:uid="{00000000-0005-0000-0000-0000180D0000}"/>
    <cellStyle name="Comma 2 2 2 7 2 2 3 2 2 3" xfId="3787" xr:uid="{00000000-0005-0000-0000-0000190D0000}"/>
    <cellStyle name="Comma 2 2 2 7 2 2 3 2 2 3 2" xfId="5605" xr:uid="{00000000-0005-0000-0000-00001A0D0000}"/>
    <cellStyle name="Comma 2 2 2 7 2 2 3 2 2 3 3" xfId="6739" xr:uid="{00000000-0005-0000-0000-00001B0D0000}"/>
    <cellStyle name="Comma 2 2 2 7 2 2 3 2 2 4" xfId="3897" xr:uid="{00000000-0005-0000-0000-00001C0D0000}"/>
    <cellStyle name="Comma 2 2 2 7 2 2 3 2 3" xfId="3255" xr:uid="{00000000-0005-0000-0000-00001D0D0000}"/>
    <cellStyle name="Comma 2 2 2 7 2 2 3 2 4" xfId="3786" xr:uid="{00000000-0005-0000-0000-00001E0D0000}"/>
    <cellStyle name="Comma 2 2 2 7 2 2 3 2 4 2" xfId="4802" xr:uid="{00000000-0005-0000-0000-00001F0D0000}"/>
    <cellStyle name="Comma 2 2 2 7 2 2 3 2 4 3" xfId="6047" xr:uid="{00000000-0005-0000-0000-0000200D0000}"/>
    <cellStyle name="Comma 2 2 2 7 2 2 3 2 5" xfId="4837" xr:uid="{00000000-0005-0000-0000-0000210D0000}"/>
    <cellStyle name="Comma 2 2 2 7 2 2 3 2 6" xfId="3898" xr:uid="{00000000-0005-0000-0000-0000220D0000}"/>
    <cellStyle name="Comma 2 2 2 7 2 2 3 3" xfId="2382" xr:uid="{00000000-0005-0000-0000-0000230D0000}"/>
    <cellStyle name="Comma 2 2 2 7 2 2 3 4" xfId="2517" xr:uid="{00000000-0005-0000-0000-0000240D0000}"/>
    <cellStyle name="Comma 2 2 2 7 2 2 3 5" xfId="2661" xr:uid="{00000000-0005-0000-0000-0000250D0000}"/>
    <cellStyle name="Comma 2 2 2 7 2 2 3 5 2" xfId="3123" xr:uid="{00000000-0005-0000-0000-0000260D0000}"/>
    <cellStyle name="Comma 2 2 2 7 2 2 3 5 2 2" xfId="4934" xr:uid="{00000000-0005-0000-0000-0000270D0000}"/>
    <cellStyle name="Comma 2 2 2 7 2 2 3 5 2 2 2" xfId="5303" xr:uid="{00000000-0005-0000-0000-0000280D0000}"/>
    <cellStyle name="Comma 2 2 2 7 2 2 3 5 2 2 3" xfId="6508" xr:uid="{00000000-0005-0000-0000-0000290D0000}"/>
    <cellStyle name="Comma 2 2 2 7 2 2 3 5 2 3" xfId="5786" xr:uid="{00000000-0005-0000-0000-00002A0D0000}"/>
    <cellStyle name="Comma 2 2 2 7 2 2 3 5 2 4" xfId="6145" xr:uid="{00000000-0005-0000-0000-00002B0D0000}"/>
    <cellStyle name="Comma 2 2 2 7 2 2 3 5 3" xfId="3790" xr:uid="{00000000-0005-0000-0000-00002C0D0000}"/>
    <cellStyle name="Comma 2 2 2 7 2 2 3 5 3 2" xfId="5422" xr:uid="{00000000-0005-0000-0000-00002D0D0000}"/>
    <cellStyle name="Comma 2 2 2 7 2 2 3 5 3 3" xfId="6616" xr:uid="{00000000-0005-0000-0000-00002E0D0000}"/>
    <cellStyle name="Comma 2 2 2 7 2 2 3 5 4" xfId="3896" xr:uid="{00000000-0005-0000-0000-00002F0D0000}"/>
    <cellStyle name="Comma 2 2 2 7 2 2 3 6" xfId="3785" xr:uid="{00000000-0005-0000-0000-0000300D0000}"/>
    <cellStyle name="Comma 2 2 2 7 2 2 3 6 2" xfId="4643" xr:uid="{00000000-0005-0000-0000-0000310D0000}"/>
    <cellStyle name="Comma 2 2 2 7 2 2 3 6 3" xfId="5918" xr:uid="{00000000-0005-0000-0000-0000320D0000}"/>
    <cellStyle name="Comma 2 2 2 7 2 2 3 7" xfId="4411" xr:uid="{00000000-0005-0000-0000-0000330D0000}"/>
    <cellStyle name="Comma 2 2 2 7 2 2 3 8" xfId="3899" xr:uid="{00000000-0005-0000-0000-0000340D0000}"/>
    <cellStyle name="Comma 2 2 2 7 2 2 4" xfId="2297" xr:uid="{00000000-0005-0000-0000-0000350D0000}"/>
    <cellStyle name="Comma 2 2 2 7 2 2 5" xfId="2018" xr:uid="{00000000-0005-0000-0000-0000360D0000}"/>
    <cellStyle name="Comma 2 2 2 7 2 2 5 2" xfId="2912" xr:uid="{00000000-0005-0000-0000-0000370D0000}"/>
    <cellStyle name="Comma 2 2 2 7 2 2 5 2 2" xfId="2980" xr:uid="{00000000-0005-0000-0000-0000380D0000}"/>
    <cellStyle name="Comma 2 2 2 7 2 2 5 2 2 2" xfId="5093" xr:uid="{00000000-0005-0000-0000-0000390D0000}"/>
    <cellStyle name="Comma 2 2 2 7 2 2 5 2 2 2 2" xfId="5161" xr:uid="{00000000-0005-0000-0000-00003A0D0000}"/>
    <cellStyle name="Comma 2 2 2 7 2 2 5 2 2 2 3" xfId="6366" xr:uid="{00000000-0005-0000-0000-00003B0D0000}"/>
    <cellStyle name="Comma 2 2 2 7 2 2 5 2 2 3" xfId="5644" xr:uid="{00000000-0005-0000-0000-00003C0D0000}"/>
    <cellStyle name="Comma 2 2 2 7 2 2 5 2 2 4" xfId="6298" xr:uid="{00000000-0005-0000-0000-00003D0D0000}"/>
    <cellStyle name="Comma 2 2 2 7 2 2 5 2 3" xfId="3793" xr:uid="{00000000-0005-0000-0000-00003E0D0000}"/>
    <cellStyle name="Comma 2 2 2 7 2 2 5 2 3 2" xfId="5576" xr:uid="{00000000-0005-0000-0000-00003F0D0000}"/>
    <cellStyle name="Comma 2 2 2 7 2 2 5 2 3 3" xfId="6710" xr:uid="{00000000-0005-0000-0000-0000400D0000}"/>
    <cellStyle name="Comma 2 2 2 7 2 2 5 2 4" xfId="3894" xr:uid="{00000000-0005-0000-0000-0000410D0000}"/>
    <cellStyle name="Comma 2 2 2 7 2 2 5 3" xfId="3162" xr:uid="{00000000-0005-0000-0000-0000420D0000}"/>
    <cellStyle name="Comma 2 2 2 7 2 2 5 4" xfId="3792" xr:uid="{00000000-0005-0000-0000-0000430D0000}"/>
    <cellStyle name="Comma 2 2 2 7 2 2 5 4 2" xfId="4682" xr:uid="{00000000-0005-0000-0000-0000440D0000}"/>
    <cellStyle name="Comma 2 2 2 7 2 2 5 4 3" xfId="5955" xr:uid="{00000000-0005-0000-0000-0000450D0000}"/>
    <cellStyle name="Comma 2 2 2 7 2 2 5 5" xfId="4708" xr:uid="{00000000-0005-0000-0000-0000460D0000}"/>
    <cellStyle name="Comma 2 2 2 7 2 2 5 6" xfId="3895" xr:uid="{00000000-0005-0000-0000-0000470D0000}"/>
    <cellStyle name="Comma 2 2 2 7 2 2 6" xfId="2514" xr:uid="{00000000-0005-0000-0000-0000480D0000}"/>
    <cellStyle name="Comma 2 2 2 7 2 2 7" xfId="2664" xr:uid="{00000000-0005-0000-0000-0000490D0000}"/>
    <cellStyle name="Comma 2 2 2 7 2 2 7 2" xfId="2817" xr:uid="{00000000-0005-0000-0000-00004A0D0000}"/>
    <cellStyle name="Comma 2 2 2 7 2 2 7 2 2" xfId="4937" xr:uid="{00000000-0005-0000-0000-00004B0D0000}"/>
    <cellStyle name="Comma 2 2 2 7 2 2 7 2 2 2" xfId="5002" xr:uid="{00000000-0005-0000-0000-00004C0D0000}"/>
    <cellStyle name="Comma 2 2 2 7 2 2 7 2 2 3" xfId="6207" xr:uid="{00000000-0005-0000-0000-00004D0D0000}"/>
    <cellStyle name="Comma 2 2 2 7 2 2 7 2 3" xfId="5485" xr:uid="{00000000-0005-0000-0000-00004E0D0000}"/>
    <cellStyle name="Comma 2 2 2 7 2 2 7 2 4" xfId="6148" xr:uid="{00000000-0005-0000-0000-00004F0D0000}"/>
    <cellStyle name="Comma 2 2 2 7 2 2 7 3" xfId="3794" xr:uid="{00000000-0005-0000-0000-0000500D0000}"/>
    <cellStyle name="Comma 2 2 2 7 2 2 7 3 2" xfId="5425" xr:uid="{00000000-0005-0000-0000-0000510D0000}"/>
    <cellStyle name="Comma 2 2 2 7 2 2 7 3 3" xfId="6619" xr:uid="{00000000-0005-0000-0000-0000520D0000}"/>
    <cellStyle name="Comma 2 2 2 7 2 2 7 4" xfId="3893" xr:uid="{00000000-0005-0000-0000-0000530D0000}"/>
    <cellStyle name="Comma 2 2 2 7 2 2 8" xfId="3772" xr:uid="{00000000-0005-0000-0000-0000540D0000}"/>
    <cellStyle name="Comma 2 2 2 7 2 2 8 2" xfId="4585" xr:uid="{00000000-0005-0000-0000-0000550D0000}"/>
    <cellStyle name="Comma 2 2 2 7 2 2 8 3" xfId="5889" xr:uid="{00000000-0005-0000-0000-0000560D0000}"/>
    <cellStyle name="Comma 2 2 2 7 2 2 9" xfId="4432" xr:uid="{00000000-0005-0000-0000-0000570D0000}"/>
    <cellStyle name="Comma 2 2 2 7 2 3" xfId="1968" xr:uid="{00000000-0005-0000-0000-0000580D0000}"/>
    <cellStyle name="Comma 2 2 2 7 2 3 2" xfId="2190" xr:uid="{00000000-0005-0000-0000-0000590D0000}"/>
    <cellStyle name="Comma 2 2 2 7 2 3 2 2" xfId="2940" xr:uid="{00000000-0005-0000-0000-00005A0D0000}"/>
    <cellStyle name="Comma 2 2 2 7 2 3 2 2 2" xfId="3028" xr:uid="{00000000-0005-0000-0000-00005B0D0000}"/>
    <cellStyle name="Comma 2 2 2 7 2 3 2 2 2 2" xfId="5121" xr:uid="{00000000-0005-0000-0000-00005C0D0000}"/>
    <cellStyle name="Comma 2 2 2 7 2 3 2 2 2 2 2" xfId="5208" xr:uid="{00000000-0005-0000-0000-00005D0D0000}"/>
    <cellStyle name="Comma 2 2 2 7 2 3 2 2 2 2 3" xfId="6413" xr:uid="{00000000-0005-0000-0000-00005E0D0000}"/>
    <cellStyle name="Comma 2 2 2 7 2 3 2 2 2 3" xfId="5691" xr:uid="{00000000-0005-0000-0000-00005F0D0000}"/>
    <cellStyle name="Comma 2 2 2 7 2 3 2 2 2 4" xfId="6326" xr:uid="{00000000-0005-0000-0000-0000600D0000}"/>
    <cellStyle name="Comma 2 2 2 7 2 3 2 2 3" xfId="3797" xr:uid="{00000000-0005-0000-0000-0000610D0000}"/>
    <cellStyle name="Comma 2 2 2 7 2 3 2 2 3 2" xfId="5604" xr:uid="{00000000-0005-0000-0000-0000620D0000}"/>
    <cellStyle name="Comma 2 2 2 7 2 3 2 2 3 3" xfId="6738" xr:uid="{00000000-0005-0000-0000-0000630D0000}"/>
    <cellStyle name="Comma 2 2 2 7 2 3 2 2 4" xfId="3890" xr:uid="{00000000-0005-0000-0000-0000640D0000}"/>
    <cellStyle name="Comma 2 2 2 7 2 3 2 3" xfId="3210" xr:uid="{00000000-0005-0000-0000-0000650D0000}"/>
    <cellStyle name="Comma 2 2 2 7 2 3 2 4" xfId="3796" xr:uid="{00000000-0005-0000-0000-0000660D0000}"/>
    <cellStyle name="Comma 2 2 2 7 2 3 2 4 2" xfId="4757" xr:uid="{00000000-0005-0000-0000-0000670D0000}"/>
    <cellStyle name="Comma 2 2 2 7 2 3 2 4 3" xfId="6002" xr:uid="{00000000-0005-0000-0000-0000680D0000}"/>
    <cellStyle name="Comma 2 2 2 7 2 3 2 5" xfId="4844" xr:uid="{00000000-0005-0000-0000-0000690D0000}"/>
    <cellStyle name="Comma 2 2 2 7 2 3 2 6" xfId="3891" xr:uid="{00000000-0005-0000-0000-00006A0D0000}"/>
    <cellStyle name="Comma 2 2 2 7 2 3 3" xfId="2339" xr:uid="{00000000-0005-0000-0000-00006B0D0000}"/>
    <cellStyle name="Comma 2 2 2 7 2 3 4" xfId="2518" xr:uid="{00000000-0005-0000-0000-00006C0D0000}"/>
    <cellStyle name="Comma 2 2 2 7 2 3 5" xfId="2660" xr:uid="{00000000-0005-0000-0000-00006D0D0000}"/>
    <cellStyle name="Comma 2 2 2 7 2 3 5 2" xfId="3122" xr:uid="{00000000-0005-0000-0000-00006E0D0000}"/>
    <cellStyle name="Comma 2 2 2 7 2 3 5 2 2" xfId="4933" xr:uid="{00000000-0005-0000-0000-00006F0D0000}"/>
    <cellStyle name="Comma 2 2 2 7 2 3 5 2 2 2" xfId="5302" xr:uid="{00000000-0005-0000-0000-0000700D0000}"/>
    <cellStyle name="Comma 2 2 2 7 2 3 5 2 2 3" xfId="6507" xr:uid="{00000000-0005-0000-0000-0000710D0000}"/>
    <cellStyle name="Comma 2 2 2 7 2 3 5 2 3" xfId="5785" xr:uid="{00000000-0005-0000-0000-0000720D0000}"/>
    <cellStyle name="Comma 2 2 2 7 2 3 5 2 4" xfId="6144" xr:uid="{00000000-0005-0000-0000-0000730D0000}"/>
    <cellStyle name="Comma 2 2 2 7 2 3 5 3" xfId="3800" xr:uid="{00000000-0005-0000-0000-0000740D0000}"/>
    <cellStyle name="Comma 2 2 2 7 2 3 5 3 2" xfId="5421" xr:uid="{00000000-0005-0000-0000-0000750D0000}"/>
    <cellStyle name="Comma 2 2 2 7 2 3 5 3 3" xfId="6615" xr:uid="{00000000-0005-0000-0000-0000760D0000}"/>
    <cellStyle name="Comma 2 2 2 7 2 3 5 4" xfId="3889" xr:uid="{00000000-0005-0000-0000-0000770D0000}"/>
    <cellStyle name="Comma 2 2 2 7 2 3 6" xfId="3795" xr:uid="{00000000-0005-0000-0000-0000780D0000}"/>
    <cellStyle name="Comma 2 2 2 7 2 3 6 2" xfId="4642" xr:uid="{00000000-0005-0000-0000-0000790D0000}"/>
    <cellStyle name="Comma 2 2 2 7 2 3 6 3" xfId="5917" xr:uid="{00000000-0005-0000-0000-00007A0D0000}"/>
    <cellStyle name="Comma 2 2 2 7 2 3 7" xfId="4517" xr:uid="{00000000-0005-0000-0000-00007B0D0000}"/>
    <cellStyle name="Comma 2 2 2 7 2 3 8" xfId="3892" xr:uid="{00000000-0005-0000-0000-00007C0D0000}"/>
    <cellStyle name="Comma 2 2 2 7 2 4" xfId="2242" xr:uid="{00000000-0005-0000-0000-00007D0D0000}"/>
    <cellStyle name="Comma 2 2 2 7 2 5" xfId="2277" xr:uid="{00000000-0005-0000-0000-00007E0D0000}"/>
    <cellStyle name="Comma 2 2 2 7 2 6" xfId="2019" xr:uid="{00000000-0005-0000-0000-00007F0D0000}"/>
    <cellStyle name="Comma 2 2 2 7 2 6 2" xfId="2892" xr:uid="{00000000-0005-0000-0000-0000800D0000}"/>
    <cellStyle name="Comma 2 2 2 7 2 6 2 2" xfId="2981" xr:uid="{00000000-0005-0000-0000-0000810D0000}"/>
    <cellStyle name="Comma 2 2 2 7 2 6 2 2 2" xfId="5073" xr:uid="{00000000-0005-0000-0000-0000820D0000}"/>
    <cellStyle name="Comma 2 2 2 7 2 6 2 2 2 2" xfId="5162" xr:uid="{00000000-0005-0000-0000-0000830D0000}"/>
    <cellStyle name="Comma 2 2 2 7 2 6 2 2 2 3" xfId="6367" xr:uid="{00000000-0005-0000-0000-0000840D0000}"/>
    <cellStyle name="Comma 2 2 2 7 2 6 2 2 3" xfId="5645" xr:uid="{00000000-0005-0000-0000-0000850D0000}"/>
    <cellStyle name="Comma 2 2 2 7 2 6 2 2 4" xfId="6278" xr:uid="{00000000-0005-0000-0000-0000860D0000}"/>
    <cellStyle name="Comma 2 2 2 7 2 6 2 3" xfId="3804" xr:uid="{00000000-0005-0000-0000-0000870D0000}"/>
    <cellStyle name="Comma 2 2 2 7 2 6 2 3 2" xfId="5556" xr:uid="{00000000-0005-0000-0000-0000880D0000}"/>
    <cellStyle name="Comma 2 2 2 7 2 6 2 3 3" xfId="6690" xr:uid="{00000000-0005-0000-0000-0000890D0000}"/>
    <cellStyle name="Comma 2 2 2 7 2 6 2 4" xfId="3887" xr:uid="{00000000-0005-0000-0000-00008A0D0000}"/>
    <cellStyle name="Comma 2 2 2 7 2 6 3" xfId="3163" xr:uid="{00000000-0005-0000-0000-00008B0D0000}"/>
    <cellStyle name="Comma 2 2 2 7 2 6 4" xfId="3803" xr:uid="{00000000-0005-0000-0000-00008C0D0000}"/>
    <cellStyle name="Comma 2 2 2 7 2 6 4 2" xfId="4683" xr:uid="{00000000-0005-0000-0000-00008D0D0000}"/>
    <cellStyle name="Comma 2 2 2 7 2 6 4 3" xfId="5956" xr:uid="{00000000-0005-0000-0000-00008E0D0000}"/>
    <cellStyle name="Comma 2 2 2 7 2 6 5" xfId="4617" xr:uid="{00000000-0005-0000-0000-00008F0D0000}"/>
    <cellStyle name="Comma 2 2 2 7 2 6 6" xfId="3888" xr:uid="{00000000-0005-0000-0000-0000900D0000}"/>
    <cellStyle name="Comma 2 2 2 7 2 7" xfId="2513" xr:uid="{00000000-0005-0000-0000-0000910D0000}"/>
    <cellStyle name="Comma 2 2 2 7 2 8" xfId="2665" xr:uid="{00000000-0005-0000-0000-0000920D0000}"/>
    <cellStyle name="Comma 2 2 2 7 2 8 2" xfId="2861" xr:uid="{00000000-0005-0000-0000-0000930D0000}"/>
    <cellStyle name="Comma 2 2 2 7 2 8 2 2" xfId="4938" xr:uid="{00000000-0005-0000-0000-0000940D0000}"/>
    <cellStyle name="Comma 2 2 2 7 2 8 2 2 2" xfId="5042" xr:uid="{00000000-0005-0000-0000-0000950D0000}"/>
    <cellStyle name="Comma 2 2 2 7 2 8 2 2 3" xfId="6247" xr:uid="{00000000-0005-0000-0000-0000960D0000}"/>
    <cellStyle name="Comma 2 2 2 7 2 8 2 3" xfId="5525" xr:uid="{00000000-0005-0000-0000-0000970D0000}"/>
    <cellStyle name="Comma 2 2 2 7 2 8 2 4" xfId="6149" xr:uid="{00000000-0005-0000-0000-0000980D0000}"/>
    <cellStyle name="Comma 2 2 2 7 2 8 3" xfId="3805" xr:uid="{00000000-0005-0000-0000-0000990D0000}"/>
    <cellStyle name="Comma 2 2 2 7 2 8 3 2" xfId="5426" xr:uid="{00000000-0005-0000-0000-00009A0D0000}"/>
    <cellStyle name="Comma 2 2 2 7 2 8 3 3" xfId="6620" xr:uid="{00000000-0005-0000-0000-00009B0D0000}"/>
    <cellStyle name="Comma 2 2 2 7 2 8 4" xfId="3883" xr:uid="{00000000-0005-0000-0000-00009C0D0000}"/>
    <cellStyle name="Comma 2 2 2 7 2 9" xfId="3771" xr:uid="{00000000-0005-0000-0000-00009D0D0000}"/>
    <cellStyle name="Comma 2 2 2 7 2 9 2" xfId="4565" xr:uid="{00000000-0005-0000-0000-00009E0D0000}"/>
    <cellStyle name="Comma 2 2 2 7 2 9 3" xfId="5869" xr:uid="{00000000-0005-0000-0000-00009F0D0000}"/>
    <cellStyle name="Comma 2 2 2 7 3" xfId="1846" xr:uid="{00000000-0005-0000-0000-0000A00D0000}"/>
    <cellStyle name="Comma 2 2 2 7 3 10" xfId="3881" xr:uid="{00000000-0005-0000-0000-0000A10D0000}"/>
    <cellStyle name="Comma 2 2 2 7 3 2" xfId="2167" xr:uid="{00000000-0005-0000-0000-0000A20D0000}"/>
    <cellStyle name="Comma 2 2 2 7 3 2 2" xfId="2196" xr:uid="{00000000-0005-0000-0000-0000A30D0000}"/>
    <cellStyle name="Comma 2 2 2 7 3 2 2 2" xfId="3011" xr:uid="{00000000-0005-0000-0000-0000A40D0000}"/>
    <cellStyle name="Comma 2 2 2 7 3 2 2 2 2" xfId="3034" xr:uid="{00000000-0005-0000-0000-0000A50D0000}"/>
    <cellStyle name="Comma 2 2 2 7 3 2 2 2 2 2" xfId="5191" xr:uid="{00000000-0005-0000-0000-0000A60D0000}"/>
    <cellStyle name="Comma 2 2 2 7 3 2 2 2 2 2 2" xfId="5214" xr:uid="{00000000-0005-0000-0000-0000A70D0000}"/>
    <cellStyle name="Comma 2 2 2 7 3 2 2 2 2 2 3" xfId="6419" xr:uid="{00000000-0005-0000-0000-0000A80D0000}"/>
    <cellStyle name="Comma 2 2 2 7 3 2 2 2 2 3" xfId="5697" xr:uid="{00000000-0005-0000-0000-0000A90D0000}"/>
    <cellStyle name="Comma 2 2 2 7 3 2 2 2 2 4" xfId="6396" xr:uid="{00000000-0005-0000-0000-0000AA0D0000}"/>
    <cellStyle name="Comma 2 2 2 7 3 2 2 2 3" xfId="3809" xr:uid="{00000000-0005-0000-0000-0000AB0D0000}"/>
    <cellStyle name="Comma 2 2 2 7 3 2 2 2 3 2" xfId="5674" xr:uid="{00000000-0005-0000-0000-0000AC0D0000}"/>
    <cellStyle name="Comma 2 2 2 7 3 2 2 2 3 3" xfId="6759" xr:uid="{00000000-0005-0000-0000-0000AD0D0000}"/>
    <cellStyle name="Comma 2 2 2 7 3 2 2 2 4" xfId="3874" xr:uid="{00000000-0005-0000-0000-0000AE0D0000}"/>
    <cellStyle name="Comma 2 2 2 7 3 2 2 3" xfId="3216" xr:uid="{00000000-0005-0000-0000-0000AF0D0000}"/>
    <cellStyle name="Comma 2 2 2 7 3 2 2 4" xfId="3808" xr:uid="{00000000-0005-0000-0000-0000B00D0000}"/>
    <cellStyle name="Comma 2 2 2 7 3 2 2 4 2" xfId="4763" xr:uid="{00000000-0005-0000-0000-0000B10D0000}"/>
    <cellStyle name="Comma 2 2 2 7 3 2 2 4 3" xfId="6008" xr:uid="{00000000-0005-0000-0000-0000B20D0000}"/>
    <cellStyle name="Comma 2 2 2 7 3 2 2 5" xfId="4841" xr:uid="{00000000-0005-0000-0000-0000B30D0000}"/>
    <cellStyle name="Comma 2 2 2 7 3 2 2 6" xfId="3879" xr:uid="{00000000-0005-0000-0000-0000B40D0000}"/>
    <cellStyle name="Comma 2 2 2 7 3 2 3" xfId="2345" xr:uid="{00000000-0005-0000-0000-0000B50D0000}"/>
    <cellStyle name="Comma 2 2 2 7 3 2 4" xfId="2520" xr:uid="{00000000-0005-0000-0000-0000B60D0000}"/>
    <cellStyle name="Comma 2 2 2 7 3 2 5" xfId="2658" xr:uid="{00000000-0005-0000-0000-0000B70D0000}"/>
    <cellStyle name="Comma 2 2 2 7 3 2 5 2" xfId="3193" xr:uid="{00000000-0005-0000-0000-0000B80D0000}"/>
    <cellStyle name="Comma 2 2 2 7 3 2 5 2 2" xfId="4931" xr:uid="{00000000-0005-0000-0000-0000B90D0000}"/>
    <cellStyle name="Comma 2 2 2 7 3 2 5 2 2 2" xfId="5323" xr:uid="{00000000-0005-0000-0000-0000BA0D0000}"/>
    <cellStyle name="Comma 2 2 2 7 3 2 5 2 2 3" xfId="6528" xr:uid="{00000000-0005-0000-0000-0000BB0D0000}"/>
    <cellStyle name="Comma 2 2 2 7 3 2 5 2 3" xfId="5806" xr:uid="{00000000-0005-0000-0000-0000BC0D0000}"/>
    <cellStyle name="Comma 2 2 2 7 3 2 5 2 4" xfId="6142" xr:uid="{00000000-0005-0000-0000-0000BD0D0000}"/>
    <cellStyle name="Comma 2 2 2 7 3 2 5 3" xfId="3812" xr:uid="{00000000-0005-0000-0000-0000BE0D0000}"/>
    <cellStyle name="Comma 2 2 2 7 3 2 5 3 2" xfId="5419" xr:uid="{00000000-0005-0000-0000-0000BF0D0000}"/>
    <cellStyle name="Comma 2 2 2 7 3 2 5 3 3" xfId="6613" xr:uid="{00000000-0005-0000-0000-0000C00D0000}"/>
    <cellStyle name="Comma 2 2 2 7 3 2 5 4" xfId="3870" xr:uid="{00000000-0005-0000-0000-0000C10D0000}"/>
    <cellStyle name="Comma 2 2 2 7 3 2 6" xfId="3807" xr:uid="{00000000-0005-0000-0000-0000C20D0000}"/>
    <cellStyle name="Comma 2 2 2 7 3 2 6 2" xfId="4740" xr:uid="{00000000-0005-0000-0000-0000C30D0000}"/>
    <cellStyle name="Comma 2 2 2 7 3 2 6 3" xfId="5985" xr:uid="{00000000-0005-0000-0000-0000C40D0000}"/>
    <cellStyle name="Comma 2 2 2 7 3 2 7" xfId="4846" xr:uid="{00000000-0005-0000-0000-0000C50D0000}"/>
    <cellStyle name="Comma 2 2 2 7 3 2 8" xfId="3880" xr:uid="{00000000-0005-0000-0000-0000C60D0000}"/>
    <cellStyle name="Comma 2 2 2 7 3 3" xfId="2248" xr:uid="{00000000-0005-0000-0000-0000C70D0000}"/>
    <cellStyle name="Comma 2 2 2 7 3 4" xfId="2283" xr:uid="{00000000-0005-0000-0000-0000C80D0000}"/>
    <cellStyle name="Comma 2 2 2 7 3 5" xfId="2323" xr:uid="{00000000-0005-0000-0000-0000C90D0000}"/>
    <cellStyle name="Comma 2 2 2 7 3 5 2" xfId="2898" xr:uid="{00000000-0005-0000-0000-0000CA0D0000}"/>
    <cellStyle name="Comma 2 2 2 7 3 5 2 2" xfId="3082" xr:uid="{00000000-0005-0000-0000-0000CB0D0000}"/>
    <cellStyle name="Comma 2 2 2 7 3 5 2 2 2" xfId="5079" xr:uid="{00000000-0005-0000-0000-0000CC0D0000}"/>
    <cellStyle name="Comma 2 2 2 7 3 5 2 2 2 2" xfId="5262" xr:uid="{00000000-0005-0000-0000-0000CD0D0000}"/>
    <cellStyle name="Comma 2 2 2 7 3 5 2 2 2 3" xfId="6467" xr:uid="{00000000-0005-0000-0000-0000CE0D0000}"/>
    <cellStyle name="Comma 2 2 2 7 3 5 2 2 3" xfId="5745" xr:uid="{00000000-0005-0000-0000-0000CF0D0000}"/>
    <cellStyle name="Comma 2 2 2 7 3 5 2 2 4" xfId="6284" xr:uid="{00000000-0005-0000-0000-0000D00D0000}"/>
    <cellStyle name="Comma 2 2 2 7 3 5 2 3" xfId="3815" xr:uid="{00000000-0005-0000-0000-0000D10D0000}"/>
    <cellStyle name="Comma 2 2 2 7 3 5 2 3 2" xfId="5562" xr:uid="{00000000-0005-0000-0000-0000D20D0000}"/>
    <cellStyle name="Comma 2 2 2 7 3 5 2 3 3" xfId="6696" xr:uid="{00000000-0005-0000-0000-0000D30D0000}"/>
    <cellStyle name="Comma 2 2 2 7 3 5 2 4" xfId="3863" xr:uid="{00000000-0005-0000-0000-0000D40D0000}"/>
    <cellStyle name="Comma 2 2 2 7 3 5 3" xfId="3264" xr:uid="{00000000-0005-0000-0000-0000D50D0000}"/>
    <cellStyle name="Comma 2 2 2 7 3 5 4" xfId="3814" xr:uid="{00000000-0005-0000-0000-0000D60D0000}"/>
    <cellStyle name="Comma 2 2 2 7 3 5 4 2" xfId="4811" xr:uid="{00000000-0005-0000-0000-0000D70D0000}"/>
    <cellStyle name="Comma 2 2 2 7 3 5 4 3" xfId="6056" xr:uid="{00000000-0005-0000-0000-0000D80D0000}"/>
    <cellStyle name="Comma 2 2 2 7 3 5 5" xfId="4723" xr:uid="{00000000-0005-0000-0000-0000D90D0000}"/>
    <cellStyle name="Comma 2 2 2 7 3 5 6" xfId="3864" xr:uid="{00000000-0005-0000-0000-0000DA0D0000}"/>
    <cellStyle name="Comma 2 2 2 7 3 6" xfId="2519" xr:uid="{00000000-0005-0000-0000-0000DB0D0000}"/>
    <cellStyle name="Comma 2 2 2 7 3 7" xfId="2659" xr:uid="{00000000-0005-0000-0000-0000DC0D0000}"/>
    <cellStyle name="Comma 2 2 2 7 3 7 2" xfId="2831" xr:uid="{00000000-0005-0000-0000-0000DD0D0000}"/>
    <cellStyle name="Comma 2 2 2 7 3 7 2 2" xfId="4932" xr:uid="{00000000-0005-0000-0000-0000DE0D0000}"/>
    <cellStyle name="Comma 2 2 2 7 3 7 2 2 2" xfId="5016" xr:uid="{00000000-0005-0000-0000-0000DF0D0000}"/>
    <cellStyle name="Comma 2 2 2 7 3 7 2 2 3" xfId="6221" xr:uid="{00000000-0005-0000-0000-0000E00D0000}"/>
    <cellStyle name="Comma 2 2 2 7 3 7 2 3" xfId="5499" xr:uid="{00000000-0005-0000-0000-0000E10D0000}"/>
    <cellStyle name="Comma 2 2 2 7 3 7 2 4" xfId="6143" xr:uid="{00000000-0005-0000-0000-0000E20D0000}"/>
    <cellStyle name="Comma 2 2 2 7 3 7 3" xfId="3816" xr:uid="{00000000-0005-0000-0000-0000E30D0000}"/>
    <cellStyle name="Comma 2 2 2 7 3 7 3 2" xfId="5420" xr:uid="{00000000-0005-0000-0000-0000E40D0000}"/>
    <cellStyle name="Comma 2 2 2 7 3 7 3 3" xfId="6614" xr:uid="{00000000-0005-0000-0000-0000E50D0000}"/>
    <cellStyle name="Comma 2 2 2 7 3 7 4" xfId="3859" xr:uid="{00000000-0005-0000-0000-0000E60D0000}"/>
    <cellStyle name="Comma 2 2 2 7 3 8" xfId="3806" xr:uid="{00000000-0005-0000-0000-0000E70D0000}"/>
    <cellStyle name="Comma 2 2 2 7 3 8 2" xfId="4571" xr:uid="{00000000-0005-0000-0000-0000E80D0000}"/>
    <cellStyle name="Comma 2 2 2 7 3 8 3" xfId="5875" xr:uid="{00000000-0005-0000-0000-0000E90D0000}"/>
    <cellStyle name="Comma 2 2 2 7 3 9" xfId="4446" xr:uid="{00000000-0005-0000-0000-0000EA0D0000}"/>
    <cellStyle name="Comma 2 2 2 7 4" xfId="1967" xr:uid="{00000000-0005-0000-0000-0000EB0D0000}"/>
    <cellStyle name="Comma 2 2 2 7 4 2" xfId="2122" xr:uid="{00000000-0005-0000-0000-0000EC0D0000}"/>
    <cellStyle name="Comma 2 2 2 7 4 2 2" xfId="2939" xr:uid="{00000000-0005-0000-0000-0000ED0D0000}"/>
    <cellStyle name="Comma 2 2 2 7 4 2 2 2" xfId="3001" xr:uid="{00000000-0005-0000-0000-0000EE0D0000}"/>
    <cellStyle name="Comma 2 2 2 7 4 2 2 2 2" xfId="5120" xr:uid="{00000000-0005-0000-0000-0000EF0D0000}"/>
    <cellStyle name="Comma 2 2 2 7 4 2 2 2 2 2" xfId="5181" xr:uid="{00000000-0005-0000-0000-0000F00D0000}"/>
    <cellStyle name="Comma 2 2 2 7 4 2 2 2 2 3" xfId="6386" xr:uid="{00000000-0005-0000-0000-0000F10D0000}"/>
    <cellStyle name="Comma 2 2 2 7 4 2 2 2 3" xfId="5664" xr:uid="{00000000-0005-0000-0000-0000F20D0000}"/>
    <cellStyle name="Comma 2 2 2 7 4 2 2 2 4" xfId="6325" xr:uid="{00000000-0005-0000-0000-0000F30D0000}"/>
    <cellStyle name="Comma 2 2 2 7 4 2 2 3" xfId="3819" xr:uid="{00000000-0005-0000-0000-0000F40D0000}"/>
    <cellStyle name="Comma 2 2 2 7 4 2 2 3 2" xfId="5603" xr:uid="{00000000-0005-0000-0000-0000F50D0000}"/>
    <cellStyle name="Comma 2 2 2 7 4 2 2 3 3" xfId="6737" xr:uid="{00000000-0005-0000-0000-0000F60D0000}"/>
    <cellStyle name="Comma 2 2 2 7 4 2 2 4" xfId="3852" xr:uid="{00000000-0005-0000-0000-0000F70D0000}"/>
    <cellStyle name="Comma 2 2 2 7 4 2 3" xfId="3183" xr:uid="{00000000-0005-0000-0000-0000F80D0000}"/>
    <cellStyle name="Comma 2 2 2 7 4 2 4" xfId="3818" xr:uid="{00000000-0005-0000-0000-0000F90D0000}"/>
    <cellStyle name="Comma 2 2 2 7 4 2 4 2" xfId="4729" xr:uid="{00000000-0005-0000-0000-0000FA0D0000}"/>
    <cellStyle name="Comma 2 2 2 7 4 2 4 3" xfId="5975" xr:uid="{00000000-0005-0000-0000-0000FB0D0000}"/>
    <cellStyle name="Comma 2 2 2 7 4 2 5" xfId="4612" xr:uid="{00000000-0005-0000-0000-0000FC0D0000}"/>
    <cellStyle name="Comma 2 2 2 7 4 2 6" xfId="3857" xr:uid="{00000000-0005-0000-0000-0000FD0D0000}"/>
    <cellStyle name="Comma 2 2 2 7 4 3" xfId="2313" xr:uid="{00000000-0005-0000-0000-0000FE0D0000}"/>
    <cellStyle name="Comma 2 2 2 7 4 4" xfId="2521" xr:uid="{00000000-0005-0000-0000-0000FF0D0000}"/>
    <cellStyle name="Comma 2 2 2 7 4 5" xfId="2657" xr:uid="{00000000-0005-0000-0000-0000000E0000}"/>
    <cellStyle name="Comma 2 2 2 7 4 5 2" xfId="3121" xr:uid="{00000000-0005-0000-0000-0000010E0000}"/>
    <cellStyle name="Comma 2 2 2 7 4 5 2 2" xfId="4930" xr:uid="{00000000-0005-0000-0000-0000020E0000}"/>
    <cellStyle name="Comma 2 2 2 7 4 5 2 2 2" xfId="5301" xr:uid="{00000000-0005-0000-0000-0000030E0000}"/>
    <cellStyle name="Comma 2 2 2 7 4 5 2 2 3" xfId="6506" xr:uid="{00000000-0005-0000-0000-0000040E0000}"/>
    <cellStyle name="Comma 2 2 2 7 4 5 2 3" xfId="5784" xr:uid="{00000000-0005-0000-0000-0000050E0000}"/>
    <cellStyle name="Comma 2 2 2 7 4 5 2 4" xfId="6141" xr:uid="{00000000-0005-0000-0000-0000060E0000}"/>
    <cellStyle name="Comma 2 2 2 7 4 5 3" xfId="3822" xr:uid="{00000000-0005-0000-0000-0000070E0000}"/>
    <cellStyle name="Comma 2 2 2 7 4 5 3 2" xfId="5418" xr:uid="{00000000-0005-0000-0000-0000080E0000}"/>
    <cellStyle name="Comma 2 2 2 7 4 5 3 3" xfId="6612" xr:uid="{00000000-0005-0000-0000-0000090E0000}"/>
    <cellStyle name="Comma 2 2 2 7 4 5 4" xfId="3848" xr:uid="{00000000-0005-0000-0000-00000A0E0000}"/>
    <cellStyle name="Comma 2 2 2 7 4 6" xfId="3817" xr:uid="{00000000-0005-0000-0000-00000B0E0000}"/>
    <cellStyle name="Comma 2 2 2 7 4 6 2" xfId="4641" xr:uid="{00000000-0005-0000-0000-00000C0E0000}"/>
    <cellStyle name="Comma 2 2 2 7 4 6 3" xfId="5916" xr:uid="{00000000-0005-0000-0000-00000D0E0000}"/>
    <cellStyle name="Comma 2 2 2 7 4 7" xfId="4536" xr:uid="{00000000-0005-0000-0000-00000E0E0000}"/>
    <cellStyle name="Comma 2 2 2 7 4 8" xfId="3858" xr:uid="{00000000-0005-0000-0000-00000F0E0000}"/>
    <cellStyle name="Comma 2 2 2 7 5" xfId="2154" xr:uid="{00000000-0005-0000-0000-0000100E0000}"/>
    <cellStyle name="Comma 2 2 2 7 6" xfId="2020" xr:uid="{00000000-0005-0000-0000-0000110E0000}"/>
    <cellStyle name="Comma 2 2 2 7 6 2" xfId="2869" xr:uid="{00000000-0005-0000-0000-0000120E0000}"/>
    <cellStyle name="Comma 2 2 2 7 6 2 2" xfId="2982" xr:uid="{00000000-0005-0000-0000-0000130E0000}"/>
    <cellStyle name="Comma 2 2 2 7 6 2 2 2" xfId="5050" xr:uid="{00000000-0005-0000-0000-0000140E0000}"/>
    <cellStyle name="Comma 2 2 2 7 6 2 2 2 2" xfId="5163" xr:uid="{00000000-0005-0000-0000-0000150E0000}"/>
    <cellStyle name="Comma 2 2 2 7 6 2 2 2 3" xfId="6368" xr:uid="{00000000-0005-0000-0000-0000160E0000}"/>
    <cellStyle name="Comma 2 2 2 7 6 2 2 3" xfId="5646" xr:uid="{00000000-0005-0000-0000-0000170E0000}"/>
    <cellStyle name="Comma 2 2 2 7 6 2 2 4" xfId="6255" xr:uid="{00000000-0005-0000-0000-0000180E0000}"/>
    <cellStyle name="Comma 2 2 2 7 6 2 3" xfId="3825" xr:uid="{00000000-0005-0000-0000-0000190E0000}"/>
    <cellStyle name="Comma 2 2 2 7 6 2 3 2" xfId="5533" xr:uid="{00000000-0005-0000-0000-00001A0E0000}"/>
    <cellStyle name="Comma 2 2 2 7 6 2 3 3" xfId="6674" xr:uid="{00000000-0005-0000-0000-00001B0E0000}"/>
    <cellStyle name="Comma 2 2 2 7 6 2 4" xfId="3842" xr:uid="{00000000-0005-0000-0000-00001C0E0000}"/>
    <cellStyle name="Comma 2 2 2 7 6 3" xfId="3164" xr:uid="{00000000-0005-0000-0000-00001D0E0000}"/>
    <cellStyle name="Comma 2 2 2 7 6 4" xfId="3824" xr:uid="{00000000-0005-0000-0000-00001E0E0000}"/>
    <cellStyle name="Comma 2 2 2 7 6 4 2" xfId="4684" xr:uid="{00000000-0005-0000-0000-00001F0E0000}"/>
    <cellStyle name="Comma 2 2 2 7 6 4 3" xfId="5957" xr:uid="{00000000-0005-0000-0000-0000200E0000}"/>
    <cellStyle name="Comma 2 2 2 7 6 5" xfId="4542" xr:uid="{00000000-0005-0000-0000-0000210E0000}"/>
    <cellStyle name="Comma 2 2 2 7 6 6" xfId="3843" xr:uid="{00000000-0005-0000-0000-0000220E0000}"/>
    <cellStyle name="Comma 2 2 2 7 7" xfId="2512" xr:uid="{00000000-0005-0000-0000-0000230E0000}"/>
    <cellStyle name="Comma 2 2 2 7 8" xfId="2666" xr:uid="{00000000-0005-0000-0000-0000240E0000}"/>
    <cellStyle name="Comma 2 2 2 7 8 2" xfId="2884" xr:uid="{00000000-0005-0000-0000-0000250E0000}"/>
    <cellStyle name="Comma 2 2 2 7 8 2 2" xfId="4939" xr:uid="{00000000-0005-0000-0000-0000260E0000}"/>
    <cellStyle name="Comma 2 2 2 7 8 2 2 2" xfId="5065" xr:uid="{00000000-0005-0000-0000-0000270E0000}"/>
    <cellStyle name="Comma 2 2 2 7 8 2 2 3" xfId="6270" xr:uid="{00000000-0005-0000-0000-0000280E0000}"/>
    <cellStyle name="Comma 2 2 2 7 8 2 3" xfId="5548" xr:uid="{00000000-0005-0000-0000-0000290E0000}"/>
    <cellStyle name="Comma 2 2 2 7 8 2 4" xfId="6150" xr:uid="{00000000-0005-0000-0000-00002A0E0000}"/>
    <cellStyle name="Comma 2 2 2 7 8 3" xfId="3828" xr:uid="{00000000-0005-0000-0000-00002B0E0000}"/>
    <cellStyle name="Comma 2 2 2 7 8 3 2" xfId="5427" xr:uid="{00000000-0005-0000-0000-00002C0E0000}"/>
    <cellStyle name="Comma 2 2 2 7 8 3 3" xfId="6621" xr:uid="{00000000-0005-0000-0000-00002D0E0000}"/>
    <cellStyle name="Comma 2 2 2 7 8 4" xfId="3838" xr:uid="{00000000-0005-0000-0000-00002E0E0000}"/>
    <cellStyle name="Comma 2 2 2 7 9" xfId="3770" xr:uid="{00000000-0005-0000-0000-00002F0E0000}"/>
    <cellStyle name="Comma 2 2 2 7 9 2" xfId="4520" xr:uid="{00000000-0005-0000-0000-0000300E0000}"/>
    <cellStyle name="Comma 2 2 2 7 9 3" xfId="5853" xr:uid="{00000000-0005-0000-0000-0000310E0000}"/>
    <cellStyle name="Comma 2 2 2 8" xfId="1841" xr:uid="{00000000-0005-0000-0000-0000320E0000}"/>
    <cellStyle name="Comma 2 2 2 9" xfId="1821" xr:uid="{00000000-0005-0000-0000-0000330E0000}"/>
    <cellStyle name="Comma 2 2 20" xfId="4297" xr:uid="{00000000-0005-0000-0000-0000340E0000}"/>
    <cellStyle name="Comma 2 2 21" xfId="9025" xr:uid="{00000000-0005-0000-0000-0000350E0000}"/>
    <cellStyle name="Comma 2 2 3" xfId="576" xr:uid="{00000000-0005-0000-0000-0000360E0000}"/>
    <cellStyle name="Comma 2 2 4" xfId="577" xr:uid="{00000000-0005-0000-0000-0000370E0000}"/>
    <cellStyle name="Comma 2 2 5" xfId="578" xr:uid="{00000000-0005-0000-0000-0000380E0000}"/>
    <cellStyle name="Comma 2 2 6" xfId="579" xr:uid="{00000000-0005-0000-0000-0000390E0000}"/>
    <cellStyle name="Comma 2 2 7" xfId="580" xr:uid="{00000000-0005-0000-0000-00003A0E0000}"/>
    <cellStyle name="Comma 2 2 8" xfId="1706" xr:uid="{00000000-0005-0000-0000-00003B0E0000}"/>
    <cellStyle name="Comma 2 2 8 10" xfId="4470" xr:uid="{00000000-0005-0000-0000-00003C0E0000}"/>
    <cellStyle name="Comma 2 2 8 11" xfId="3830" xr:uid="{00000000-0005-0000-0000-00003D0E0000}"/>
    <cellStyle name="Comma 2 2 8 12" xfId="9047" xr:uid="{00000000-0005-0000-0000-00003E0E0000}"/>
    <cellStyle name="Comma 2 2 8 2" xfId="1822" xr:uid="{00000000-0005-0000-0000-00003F0E0000}"/>
    <cellStyle name="Comma 2 2 8 2 10" xfId="4453" xr:uid="{00000000-0005-0000-0000-0000400E0000}"/>
    <cellStyle name="Comma 2 2 8 2 11" xfId="3829" xr:uid="{00000000-0005-0000-0000-0000410E0000}"/>
    <cellStyle name="Comma 2 2 8 2 12" xfId="9048" xr:uid="{00000000-0005-0000-0000-0000420E0000}"/>
    <cellStyle name="Comma 2 2 8 2 2" xfId="1861" xr:uid="{00000000-0005-0000-0000-0000430E0000}"/>
    <cellStyle name="Comma 2 2 8 2 2 10" xfId="3827" xr:uid="{00000000-0005-0000-0000-0000440E0000}"/>
    <cellStyle name="Comma 2 2 8 2 2 11" xfId="9049" xr:uid="{00000000-0005-0000-0000-0000450E0000}"/>
    <cellStyle name="Comma 2 2 8 2 2 2" xfId="1869" xr:uid="{00000000-0005-0000-0000-0000460E0000}"/>
    <cellStyle name="Comma 2 2 8 2 2 2 10" xfId="3826" xr:uid="{00000000-0005-0000-0000-0000470E0000}"/>
    <cellStyle name="Comma 2 2 8 2 2 2 2" xfId="2209" xr:uid="{00000000-0005-0000-0000-0000480E0000}"/>
    <cellStyle name="Comma 2 2 8 2 2 2 2 2" xfId="2217" xr:uid="{00000000-0005-0000-0000-0000490E0000}"/>
    <cellStyle name="Comma 2 2 8 2 2 2 2 2 2" xfId="3047" xr:uid="{00000000-0005-0000-0000-00004A0E0000}"/>
    <cellStyle name="Comma 2 2 8 2 2 2 2 2 2 2" xfId="3055" xr:uid="{00000000-0005-0000-0000-00004B0E0000}"/>
    <cellStyle name="Comma 2 2 8 2 2 2 2 2 2 2 2" xfId="5227" xr:uid="{00000000-0005-0000-0000-00004C0E0000}"/>
    <cellStyle name="Comma 2 2 8 2 2 2 2 2 2 2 2 2" xfId="5235" xr:uid="{00000000-0005-0000-0000-00004D0E0000}"/>
    <cellStyle name="Comma 2 2 8 2 2 2 2 2 2 2 2 3" xfId="6440" xr:uid="{00000000-0005-0000-0000-00004E0E0000}"/>
    <cellStyle name="Comma 2 2 8 2 2 2 2 2 2 2 3" xfId="5718" xr:uid="{00000000-0005-0000-0000-00004F0E0000}"/>
    <cellStyle name="Comma 2 2 8 2 2 2 2 2 2 2 4" xfId="6432" xr:uid="{00000000-0005-0000-0000-0000500E0000}"/>
    <cellStyle name="Comma 2 2 8 2 2 2 2 2 2 3" xfId="3837" xr:uid="{00000000-0005-0000-0000-0000510E0000}"/>
    <cellStyle name="Comma 2 2 8 2 2 2 2 2 2 3 2" xfId="5710" xr:uid="{00000000-0005-0000-0000-0000520E0000}"/>
    <cellStyle name="Comma 2 2 8 2 2 2 2 2 2 3 3" xfId="6773" xr:uid="{00000000-0005-0000-0000-0000530E0000}"/>
    <cellStyle name="Comma 2 2 8 2 2 2 2 2 2 4" xfId="3820" xr:uid="{00000000-0005-0000-0000-0000540E0000}"/>
    <cellStyle name="Comma 2 2 8 2 2 2 2 2 3" xfId="3237" xr:uid="{00000000-0005-0000-0000-0000550E0000}"/>
    <cellStyle name="Comma 2 2 8 2 2 2 2 2 4" xfId="3836" xr:uid="{00000000-0005-0000-0000-0000560E0000}"/>
    <cellStyle name="Comma 2 2 8 2 2 2 2 2 4 2" xfId="4784" xr:uid="{00000000-0005-0000-0000-0000570E0000}"/>
    <cellStyle name="Comma 2 2 8 2 2 2 2 2 4 3" xfId="6029" xr:uid="{00000000-0005-0000-0000-0000580E0000}"/>
    <cellStyle name="Comma 2 2 8 2 2 2 2 2 5" xfId="4553" xr:uid="{00000000-0005-0000-0000-0000590E0000}"/>
    <cellStyle name="Comma 2 2 8 2 2 2 2 2 6" xfId="3821" xr:uid="{00000000-0005-0000-0000-00005A0E0000}"/>
    <cellStyle name="Comma 2 2 8 2 2 2 2 3" xfId="2366" xr:uid="{00000000-0005-0000-0000-00005B0E0000}"/>
    <cellStyle name="Comma 2 2 8 2 2 2 2 4" xfId="2526" xr:uid="{00000000-0005-0000-0000-00005C0E0000}"/>
    <cellStyle name="Comma 2 2 8 2 2 2 2 5" xfId="2652" xr:uid="{00000000-0005-0000-0000-00005D0E0000}"/>
    <cellStyle name="Comma 2 2 8 2 2 2 2 5 2" xfId="3229" xr:uid="{00000000-0005-0000-0000-00005E0E0000}"/>
    <cellStyle name="Comma 2 2 8 2 2 2 2 5 2 2" xfId="4925" xr:uid="{00000000-0005-0000-0000-00005F0E0000}"/>
    <cellStyle name="Comma 2 2 8 2 2 2 2 5 2 2 2" xfId="5338" xr:uid="{00000000-0005-0000-0000-0000600E0000}"/>
    <cellStyle name="Comma 2 2 8 2 2 2 2 5 2 2 3" xfId="6543" xr:uid="{00000000-0005-0000-0000-0000610E0000}"/>
    <cellStyle name="Comma 2 2 8 2 2 2 2 5 2 3" xfId="5821" xr:uid="{00000000-0005-0000-0000-0000620E0000}"/>
    <cellStyle name="Comma 2 2 8 2 2 2 2 5 2 4" xfId="6136" xr:uid="{00000000-0005-0000-0000-0000630E0000}"/>
    <cellStyle name="Comma 2 2 8 2 2 2 2 5 3" xfId="3839" xr:uid="{00000000-0005-0000-0000-0000640E0000}"/>
    <cellStyle name="Comma 2 2 8 2 2 2 2 5 3 2" xfId="5413" xr:uid="{00000000-0005-0000-0000-0000650E0000}"/>
    <cellStyle name="Comma 2 2 8 2 2 2 2 5 3 3" xfId="6607" xr:uid="{00000000-0005-0000-0000-0000660E0000}"/>
    <cellStyle name="Comma 2 2 8 2 2 2 2 5 4" xfId="3813" xr:uid="{00000000-0005-0000-0000-0000670E0000}"/>
    <cellStyle name="Comma 2 2 8 2 2 2 2 6" xfId="3835" xr:uid="{00000000-0005-0000-0000-0000680E0000}"/>
    <cellStyle name="Comma 2 2 8 2 2 2 2 6 2" xfId="4776" xr:uid="{00000000-0005-0000-0000-0000690E0000}"/>
    <cellStyle name="Comma 2 2 8 2 2 2 2 6 3" xfId="6021" xr:uid="{00000000-0005-0000-0000-00006A0E0000}"/>
    <cellStyle name="Comma 2 2 8 2 2 2 2 7" xfId="4607" xr:uid="{00000000-0005-0000-0000-00006B0E0000}"/>
    <cellStyle name="Comma 2 2 8 2 2 2 2 8" xfId="3823" xr:uid="{00000000-0005-0000-0000-00006C0E0000}"/>
    <cellStyle name="Comma 2 2 8 2 2 2 3" xfId="2269" xr:uid="{00000000-0005-0000-0000-00006D0E0000}"/>
    <cellStyle name="Comma 2 2 8 2 2 2 4" xfId="2304" xr:uid="{00000000-0005-0000-0000-00006E0E0000}"/>
    <cellStyle name="Comma 2 2 8 2 2 2 5" xfId="2358" xr:uid="{00000000-0005-0000-0000-00006F0E0000}"/>
    <cellStyle name="Comma 2 2 8 2 2 2 5 2" xfId="2919" xr:uid="{00000000-0005-0000-0000-0000700E0000}"/>
    <cellStyle name="Comma 2 2 8 2 2 2 5 2 2" xfId="3095" xr:uid="{00000000-0005-0000-0000-0000710E0000}"/>
    <cellStyle name="Comma 2 2 8 2 2 2 5 2 2 2" xfId="5100" xr:uid="{00000000-0005-0000-0000-0000720E0000}"/>
    <cellStyle name="Comma 2 2 8 2 2 2 5 2 2 2 2" xfId="5275" xr:uid="{00000000-0005-0000-0000-0000730E0000}"/>
    <cellStyle name="Comma 2 2 8 2 2 2 5 2 2 2 3" xfId="6480" xr:uid="{00000000-0005-0000-0000-0000740E0000}"/>
    <cellStyle name="Comma 2 2 8 2 2 2 5 2 2 3" xfId="5758" xr:uid="{00000000-0005-0000-0000-0000750E0000}"/>
    <cellStyle name="Comma 2 2 8 2 2 2 5 2 2 4" xfId="6305" xr:uid="{00000000-0005-0000-0000-0000760E0000}"/>
    <cellStyle name="Comma 2 2 8 2 2 2 5 2 3" xfId="3841" xr:uid="{00000000-0005-0000-0000-0000770E0000}"/>
    <cellStyle name="Comma 2 2 8 2 2 2 5 2 3 2" xfId="5583" xr:uid="{00000000-0005-0000-0000-0000780E0000}"/>
    <cellStyle name="Comma 2 2 8 2 2 2 5 2 3 3" xfId="6717" xr:uid="{00000000-0005-0000-0000-0000790E0000}"/>
    <cellStyle name="Comma 2 2 8 2 2 2 5 2 4" xfId="3810" xr:uid="{00000000-0005-0000-0000-00007A0E0000}"/>
    <cellStyle name="Comma 2 2 8 2 2 2 5 3" xfId="3277" xr:uid="{00000000-0005-0000-0000-00007B0E0000}"/>
    <cellStyle name="Comma 2 2 8 2 2 2 5 4" xfId="3840" xr:uid="{00000000-0005-0000-0000-00007C0E0000}"/>
    <cellStyle name="Comma 2 2 8 2 2 2 5 4 2" xfId="4825" xr:uid="{00000000-0005-0000-0000-00007D0E0000}"/>
    <cellStyle name="Comma 2 2 8 2 2 2 5 4 3" xfId="6070" xr:uid="{00000000-0005-0000-0000-00007E0E0000}"/>
    <cellStyle name="Comma 2 2 8 2 2 2 5 5" xfId="4833" xr:uid="{00000000-0005-0000-0000-00007F0E0000}"/>
    <cellStyle name="Comma 2 2 8 2 2 2 5 6" xfId="3811" xr:uid="{00000000-0005-0000-0000-0000800E0000}"/>
    <cellStyle name="Comma 2 2 8 2 2 2 6" xfId="2525" xr:uid="{00000000-0005-0000-0000-0000810E0000}"/>
    <cellStyle name="Comma 2 2 8 2 2 2 7" xfId="2653" xr:uid="{00000000-0005-0000-0000-0000820E0000}"/>
    <cellStyle name="Comma 2 2 8 2 2 2 7 2" xfId="2810" xr:uid="{00000000-0005-0000-0000-0000830E0000}"/>
    <cellStyle name="Comma 2 2 8 2 2 2 7 2 2" xfId="4926" xr:uid="{00000000-0005-0000-0000-0000840E0000}"/>
    <cellStyle name="Comma 2 2 8 2 2 2 7 2 2 2" xfId="4995" xr:uid="{00000000-0005-0000-0000-0000850E0000}"/>
    <cellStyle name="Comma 2 2 8 2 2 2 7 2 2 3" xfId="6200" xr:uid="{00000000-0005-0000-0000-0000860E0000}"/>
    <cellStyle name="Comma 2 2 8 2 2 2 7 2 3" xfId="5478" xr:uid="{00000000-0005-0000-0000-0000870E0000}"/>
    <cellStyle name="Comma 2 2 8 2 2 2 7 2 4" xfId="6137" xr:uid="{00000000-0005-0000-0000-0000880E0000}"/>
    <cellStyle name="Comma 2 2 8 2 2 2 7 3" xfId="3844" xr:uid="{00000000-0005-0000-0000-0000890E0000}"/>
    <cellStyle name="Comma 2 2 8 2 2 2 7 3 2" xfId="5414" xr:uid="{00000000-0005-0000-0000-00008A0E0000}"/>
    <cellStyle name="Comma 2 2 8 2 2 2 7 3 3" xfId="6608" xr:uid="{00000000-0005-0000-0000-00008B0E0000}"/>
    <cellStyle name="Comma 2 2 8 2 2 2 7 4" xfId="3802" xr:uid="{00000000-0005-0000-0000-00008C0E0000}"/>
    <cellStyle name="Comma 2 2 8 2 2 2 8" xfId="3834" xr:uid="{00000000-0005-0000-0000-00008D0E0000}"/>
    <cellStyle name="Comma 2 2 8 2 2 2 8 2" xfId="4592" xr:uid="{00000000-0005-0000-0000-00008E0E0000}"/>
    <cellStyle name="Comma 2 2 8 2 2 2 8 3" xfId="5896" xr:uid="{00000000-0005-0000-0000-00008F0E0000}"/>
    <cellStyle name="Comma 2 2 8 2 2 2 9" xfId="4425" xr:uid="{00000000-0005-0000-0000-0000900E0000}"/>
    <cellStyle name="Comma 2 2 8 2 2 3" xfId="1972" xr:uid="{00000000-0005-0000-0000-0000910E0000}"/>
    <cellStyle name="Comma 2 2 8 2 2 3 2" xfId="2261" xr:uid="{00000000-0005-0000-0000-0000920E0000}"/>
    <cellStyle name="Comma 2 2 8 2 2 3 2 2" xfId="2944" xr:uid="{00000000-0005-0000-0000-0000930E0000}"/>
    <cellStyle name="Comma 2 2 8 2 2 3 2 2 2" xfId="3072" xr:uid="{00000000-0005-0000-0000-0000940E0000}"/>
    <cellStyle name="Comma 2 2 8 2 2 3 2 2 2 2" xfId="5125" xr:uid="{00000000-0005-0000-0000-0000950E0000}"/>
    <cellStyle name="Comma 2 2 8 2 2 3 2 2 2 2 2" xfId="5252" xr:uid="{00000000-0005-0000-0000-0000960E0000}"/>
    <cellStyle name="Comma 2 2 8 2 2 3 2 2 2 2 3" xfId="6457" xr:uid="{00000000-0005-0000-0000-0000970E0000}"/>
    <cellStyle name="Comma 2 2 8 2 2 3 2 2 2 3" xfId="5735" xr:uid="{00000000-0005-0000-0000-0000980E0000}"/>
    <cellStyle name="Comma 2 2 8 2 2 3 2 2 2 4" xfId="6330" xr:uid="{00000000-0005-0000-0000-0000990E0000}"/>
    <cellStyle name="Comma 2 2 8 2 2 3 2 2 3" xfId="3847" xr:uid="{00000000-0005-0000-0000-00009A0E0000}"/>
    <cellStyle name="Comma 2 2 8 2 2 3 2 2 3 2" xfId="5608" xr:uid="{00000000-0005-0000-0000-00009B0E0000}"/>
    <cellStyle name="Comma 2 2 8 2 2 3 2 2 3 3" xfId="6742" xr:uid="{00000000-0005-0000-0000-00009C0E0000}"/>
    <cellStyle name="Comma 2 2 8 2 2 3 2 2 4" xfId="3798" xr:uid="{00000000-0005-0000-0000-00009D0E0000}"/>
    <cellStyle name="Comma 2 2 8 2 2 3 2 3" xfId="3254" xr:uid="{00000000-0005-0000-0000-00009E0E0000}"/>
    <cellStyle name="Comma 2 2 8 2 2 3 2 4" xfId="3846" xr:uid="{00000000-0005-0000-0000-00009F0E0000}"/>
    <cellStyle name="Comma 2 2 8 2 2 3 2 4 2" xfId="4801" xr:uid="{00000000-0005-0000-0000-0000A00E0000}"/>
    <cellStyle name="Comma 2 2 8 2 2 3 2 4 3" xfId="6046" xr:uid="{00000000-0005-0000-0000-0000A10E0000}"/>
    <cellStyle name="Comma 2 2 8 2 2 3 2 5" xfId="4385" xr:uid="{00000000-0005-0000-0000-0000A20E0000}"/>
    <cellStyle name="Comma 2 2 8 2 2 3 2 6" xfId="3799" xr:uid="{00000000-0005-0000-0000-0000A30E0000}"/>
    <cellStyle name="Comma 2 2 8 2 2 3 3" xfId="2381" xr:uid="{00000000-0005-0000-0000-0000A40E0000}"/>
    <cellStyle name="Comma 2 2 8 2 2 3 4" xfId="2527" xr:uid="{00000000-0005-0000-0000-0000A50E0000}"/>
    <cellStyle name="Comma 2 2 8 2 2 3 5" xfId="2651" xr:uid="{00000000-0005-0000-0000-0000A60E0000}"/>
    <cellStyle name="Comma 2 2 8 2 2 3 5 2" xfId="3126" xr:uid="{00000000-0005-0000-0000-0000A70E0000}"/>
    <cellStyle name="Comma 2 2 8 2 2 3 5 2 2" xfId="4924" xr:uid="{00000000-0005-0000-0000-0000A80E0000}"/>
    <cellStyle name="Comma 2 2 8 2 2 3 5 2 2 2" xfId="5306" xr:uid="{00000000-0005-0000-0000-0000A90E0000}"/>
    <cellStyle name="Comma 2 2 8 2 2 3 5 2 2 3" xfId="6511" xr:uid="{00000000-0005-0000-0000-0000AA0E0000}"/>
    <cellStyle name="Comma 2 2 8 2 2 3 5 2 3" xfId="5789" xr:uid="{00000000-0005-0000-0000-0000AB0E0000}"/>
    <cellStyle name="Comma 2 2 8 2 2 3 5 2 4" xfId="6135" xr:uid="{00000000-0005-0000-0000-0000AC0E0000}"/>
    <cellStyle name="Comma 2 2 8 2 2 3 5 3" xfId="3849" xr:uid="{00000000-0005-0000-0000-0000AD0E0000}"/>
    <cellStyle name="Comma 2 2 8 2 2 3 5 3 2" xfId="5412" xr:uid="{00000000-0005-0000-0000-0000AE0E0000}"/>
    <cellStyle name="Comma 2 2 8 2 2 3 5 3 3" xfId="6606" xr:uid="{00000000-0005-0000-0000-0000AF0E0000}"/>
    <cellStyle name="Comma 2 2 8 2 2 3 5 4" xfId="3791" xr:uid="{00000000-0005-0000-0000-0000B00E0000}"/>
    <cellStyle name="Comma 2 2 8 2 2 3 6" xfId="3845" xr:uid="{00000000-0005-0000-0000-0000B10E0000}"/>
    <cellStyle name="Comma 2 2 8 2 2 3 6 2" xfId="4646" xr:uid="{00000000-0005-0000-0000-0000B20E0000}"/>
    <cellStyle name="Comma 2 2 8 2 2 3 6 3" xfId="5921" xr:uid="{00000000-0005-0000-0000-0000B30E0000}"/>
    <cellStyle name="Comma 2 2 8 2 2 3 7" xfId="4624" xr:uid="{00000000-0005-0000-0000-0000B40E0000}"/>
    <cellStyle name="Comma 2 2 8 2 2 3 8" xfId="3801" xr:uid="{00000000-0005-0000-0000-0000B50E0000}"/>
    <cellStyle name="Comma 2 2 8 2 2 4" xfId="2296" xr:uid="{00000000-0005-0000-0000-0000B60E0000}"/>
    <cellStyle name="Comma 2 2 8 2 2 5" xfId="2015" xr:uid="{00000000-0005-0000-0000-0000B70E0000}"/>
    <cellStyle name="Comma 2 2 8 2 2 5 2" xfId="2911" xr:uid="{00000000-0005-0000-0000-0000B80E0000}"/>
    <cellStyle name="Comma 2 2 8 2 2 5 2 2" xfId="2977" xr:uid="{00000000-0005-0000-0000-0000B90E0000}"/>
    <cellStyle name="Comma 2 2 8 2 2 5 2 2 2" xfId="5092" xr:uid="{00000000-0005-0000-0000-0000BA0E0000}"/>
    <cellStyle name="Comma 2 2 8 2 2 5 2 2 2 2" xfId="5158" xr:uid="{00000000-0005-0000-0000-0000BB0E0000}"/>
    <cellStyle name="Comma 2 2 8 2 2 5 2 2 2 3" xfId="6363" xr:uid="{00000000-0005-0000-0000-0000BC0E0000}"/>
    <cellStyle name="Comma 2 2 8 2 2 5 2 2 3" xfId="5641" xr:uid="{00000000-0005-0000-0000-0000BD0E0000}"/>
    <cellStyle name="Comma 2 2 8 2 2 5 2 2 4" xfId="6297" xr:uid="{00000000-0005-0000-0000-0000BE0E0000}"/>
    <cellStyle name="Comma 2 2 8 2 2 5 2 3" xfId="3851" xr:uid="{00000000-0005-0000-0000-0000BF0E0000}"/>
    <cellStyle name="Comma 2 2 8 2 2 5 2 3 2" xfId="5575" xr:uid="{00000000-0005-0000-0000-0000C00E0000}"/>
    <cellStyle name="Comma 2 2 8 2 2 5 2 3 3" xfId="6709" xr:uid="{00000000-0005-0000-0000-0000C10E0000}"/>
    <cellStyle name="Comma 2 2 8 2 2 5 2 4" xfId="3788" xr:uid="{00000000-0005-0000-0000-0000C20E0000}"/>
    <cellStyle name="Comma 2 2 8 2 2 5 3" xfId="3159" xr:uid="{00000000-0005-0000-0000-0000C30E0000}"/>
    <cellStyle name="Comma 2 2 8 2 2 5 4" xfId="3850" xr:uid="{00000000-0005-0000-0000-0000C40E0000}"/>
    <cellStyle name="Comma 2 2 8 2 2 5 4 2" xfId="4679" xr:uid="{00000000-0005-0000-0000-0000C50E0000}"/>
    <cellStyle name="Comma 2 2 8 2 2 5 4 3" xfId="5952" xr:uid="{00000000-0005-0000-0000-0000C60E0000}"/>
    <cellStyle name="Comma 2 2 8 2 2 5 5" xfId="4544" xr:uid="{00000000-0005-0000-0000-0000C70E0000}"/>
    <cellStyle name="Comma 2 2 8 2 2 5 6" xfId="3789" xr:uid="{00000000-0005-0000-0000-0000C80E0000}"/>
    <cellStyle name="Comma 2 2 8 2 2 6" xfId="2524" xr:uid="{00000000-0005-0000-0000-0000C90E0000}"/>
    <cellStyle name="Comma 2 2 8 2 2 7" xfId="2654" xr:uid="{00000000-0005-0000-0000-0000CA0E0000}"/>
    <cellStyle name="Comma 2 2 8 2 2 7 2" xfId="2818" xr:uid="{00000000-0005-0000-0000-0000CB0E0000}"/>
    <cellStyle name="Comma 2 2 8 2 2 7 2 2" xfId="4927" xr:uid="{00000000-0005-0000-0000-0000CC0E0000}"/>
    <cellStyle name="Comma 2 2 8 2 2 7 2 2 2" xfId="5003" xr:uid="{00000000-0005-0000-0000-0000CD0E0000}"/>
    <cellStyle name="Comma 2 2 8 2 2 7 2 2 3" xfId="6208" xr:uid="{00000000-0005-0000-0000-0000CE0E0000}"/>
    <cellStyle name="Comma 2 2 8 2 2 7 2 3" xfId="5486" xr:uid="{00000000-0005-0000-0000-0000CF0E0000}"/>
    <cellStyle name="Comma 2 2 8 2 2 7 2 4" xfId="6138" xr:uid="{00000000-0005-0000-0000-0000D00E0000}"/>
    <cellStyle name="Comma 2 2 8 2 2 7 3" xfId="3853" xr:uid="{00000000-0005-0000-0000-0000D10E0000}"/>
    <cellStyle name="Comma 2 2 8 2 2 7 3 2" xfId="5415" xr:uid="{00000000-0005-0000-0000-0000D20E0000}"/>
    <cellStyle name="Comma 2 2 8 2 2 7 3 3" xfId="6609" xr:uid="{00000000-0005-0000-0000-0000D30E0000}"/>
    <cellStyle name="Comma 2 2 8 2 2 7 4" xfId="3781" xr:uid="{00000000-0005-0000-0000-0000D40E0000}"/>
    <cellStyle name="Comma 2 2 8 2 2 8" xfId="3833" xr:uid="{00000000-0005-0000-0000-0000D50E0000}"/>
    <cellStyle name="Comma 2 2 8 2 2 8 2" xfId="4584" xr:uid="{00000000-0005-0000-0000-0000D60E0000}"/>
    <cellStyle name="Comma 2 2 8 2 2 8 3" xfId="5888" xr:uid="{00000000-0005-0000-0000-0000D70E0000}"/>
    <cellStyle name="Comma 2 2 8 2 2 9" xfId="4433" xr:uid="{00000000-0005-0000-0000-0000D80E0000}"/>
    <cellStyle name="Comma 2 2 8 2 3" xfId="1971" xr:uid="{00000000-0005-0000-0000-0000D90E0000}"/>
    <cellStyle name="Comma 2 2 8 2 3 2" xfId="2189" xr:uid="{00000000-0005-0000-0000-0000DA0E0000}"/>
    <cellStyle name="Comma 2 2 8 2 3 2 2" xfId="2943" xr:uid="{00000000-0005-0000-0000-0000DB0E0000}"/>
    <cellStyle name="Comma 2 2 8 2 3 2 2 2" xfId="3027" xr:uid="{00000000-0005-0000-0000-0000DC0E0000}"/>
    <cellStyle name="Comma 2 2 8 2 3 2 2 2 2" xfId="5124" xr:uid="{00000000-0005-0000-0000-0000DD0E0000}"/>
    <cellStyle name="Comma 2 2 8 2 3 2 2 2 2 2" xfId="5207" xr:uid="{00000000-0005-0000-0000-0000DE0E0000}"/>
    <cellStyle name="Comma 2 2 8 2 3 2 2 2 2 3" xfId="6412" xr:uid="{00000000-0005-0000-0000-0000DF0E0000}"/>
    <cellStyle name="Comma 2 2 8 2 3 2 2 2 3" xfId="5690" xr:uid="{00000000-0005-0000-0000-0000E00E0000}"/>
    <cellStyle name="Comma 2 2 8 2 3 2 2 2 4" xfId="6329" xr:uid="{00000000-0005-0000-0000-0000E10E0000}"/>
    <cellStyle name="Comma 2 2 8 2 3 2 2 3" xfId="3856" xr:uid="{00000000-0005-0000-0000-0000E20E0000}"/>
    <cellStyle name="Comma 2 2 8 2 3 2 2 3 2" xfId="5607" xr:uid="{00000000-0005-0000-0000-0000E30E0000}"/>
    <cellStyle name="Comma 2 2 8 2 3 2 2 3 3" xfId="6741" xr:uid="{00000000-0005-0000-0000-0000E40E0000}"/>
    <cellStyle name="Comma 2 2 8 2 3 2 2 4" xfId="3777" xr:uid="{00000000-0005-0000-0000-0000E50E0000}"/>
    <cellStyle name="Comma 2 2 8 2 3 2 3" xfId="3209" xr:uid="{00000000-0005-0000-0000-0000E60E0000}"/>
    <cellStyle name="Comma 2 2 8 2 3 2 4" xfId="3855" xr:uid="{00000000-0005-0000-0000-0000E70E0000}"/>
    <cellStyle name="Comma 2 2 8 2 3 2 4 2" xfId="4756" xr:uid="{00000000-0005-0000-0000-0000E80E0000}"/>
    <cellStyle name="Comma 2 2 8 2 3 2 4 3" xfId="6001" xr:uid="{00000000-0005-0000-0000-0000E90E0000}"/>
    <cellStyle name="Comma 2 2 8 2 3 2 5" xfId="4392" xr:uid="{00000000-0005-0000-0000-0000EA0E0000}"/>
    <cellStyle name="Comma 2 2 8 2 3 2 6" xfId="3778" xr:uid="{00000000-0005-0000-0000-0000EB0E0000}"/>
    <cellStyle name="Comma 2 2 8 2 3 3" xfId="2338" xr:uid="{00000000-0005-0000-0000-0000EC0E0000}"/>
    <cellStyle name="Comma 2 2 8 2 3 4" xfId="2528" xr:uid="{00000000-0005-0000-0000-0000ED0E0000}"/>
    <cellStyle name="Comma 2 2 8 2 3 5" xfId="2650" xr:uid="{00000000-0005-0000-0000-0000EE0E0000}"/>
    <cellStyle name="Comma 2 2 8 2 3 5 2" xfId="3125" xr:uid="{00000000-0005-0000-0000-0000EF0E0000}"/>
    <cellStyle name="Comma 2 2 8 2 3 5 2 2" xfId="4923" xr:uid="{00000000-0005-0000-0000-0000F00E0000}"/>
    <cellStyle name="Comma 2 2 8 2 3 5 2 2 2" xfId="5305" xr:uid="{00000000-0005-0000-0000-0000F10E0000}"/>
    <cellStyle name="Comma 2 2 8 2 3 5 2 2 3" xfId="6510" xr:uid="{00000000-0005-0000-0000-0000F20E0000}"/>
    <cellStyle name="Comma 2 2 8 2 3 5 2 3" xfId="5788" xr:uid="{00000000-0005-0000-0000-0000F30E0000}"/>
    <cellStyle name="Comma 2 2 8 2 3 5 2 4" xfId="6134" xr:uid="{00000000-0005-0000-0000-0000F40E0000}"/>
    <cellStyle name="Comma 2 2 8 2 3 5 3" xfId="3860" xr:uid="{00000000-0005-0000-0000-0000F50E0000}"/>
    <cellStyle name="Comma 2 2 8 2 3 5 3 2" xfId="5411" xr:uid="{00000000-0005-0000-0000-0000F60E0000}"/>
    <cellStyle name="Comma 2 2 8 2 3 5 3 3" xfId="6605" xr:uid="{00000000-0005-0000-0000-0000F70E0000}"/>
    <cellStyle name="Comma 2 2 8 2 3 5 4" xfId="3769" xr:uid="{00000000-0005-0000-0000-0000F80E0000}"/>
    <cellStyle name="Comma 2 2 8 2 3 6" xfId="3854" xr:uid="{00000000-0005-0000-0000-0000F90E0000}"/>
    <cellStyle name="Comma 2 2 8 2 3 6 2" xfId="4645" xr:uid="{00000000-0005-0000-0000-0000FA0E0000}"/>
    <cellStyle name="Comma 2 2 8 2 3 6 3" xfId="5920" xr:uid="{00000000-0005-0000-0000-0000FB0E0000}"/>
    <cellStyle name="Comma 2 2 8 2 3 7" xfId="4702" xr:uid="{00000000-0005-0000-0000-0000FC0E0000}"/>
    <cellStyle name="Comma 2 2 8 2 3 8" xfId="3780" xr:uid="{00000000-0005-0000-0000-0000FD0E0000}"/>
    <cellStyle name="Comma 2 2 8 2 4" xfId="2241" xr:uid="{00000000-0005-0000-0000-0000FE0E0000}"/>
    <cellStyle name="Comma 2 2 8 2 5" xfId="2276" xr:uid="{00000000-0005-0000-0000-0000FF0E0000}"/>
    <cellStyle name="Comma 2 2 8 2 6" xfId="2016" xr:uid="{00000000-0005-0000-0000-0000000F0000}"/>
    <cellStyle name="Comma 2 2 8 2 6 2" xfId="2891" xr:uid="{00000000-0005-0000-0000-0000010F0000}"/>
    <cellStyle name="Comma 2 2 8 2 6 2 2" xfId="2978" xr:uid="{00000000-0005-0000-0000-0000020F0000}"/>
    <cellStyle name="Comma 2 2 8 2 6 2 2 2" xfId="5072" xr:uid="{00000000-0005-0000-0000-0000030F0000}"/>
    <cellStyle name="Comma 2 2 8 2 6 2 2 2 2" xfId="5159" xr:uid="{00000000-0005-0000-0000-0000040F0000}"/>
    <cellStyle name="Comma 2 2 8 2 6 2 2 2 3" xfId="6364" xr:uid="{00000000-0005-0000-0000-0000050F0000}"/>
    <cellStyle name="Comma 2 2 8 2 6 2 2 3" xfId="5642" xr:uid="{00000000-0005-0000-0000-0000060F0000}"/>
    <cellStyle name="Comma 2 2 8 2 6 2 2 4" xfId="6277" xr:uid="{00000000-0005-0000-0000-0000070F0000}"/>
    <cellStyle name="Comma 2 2 8 2 6 2 3" xfId="3862" xr:uid="{00000000-0005-0000-0000-0000080F0000}"/>
    <cellStyle name="Comma 2 2 8 2 6 2 3 2" xfId="5555" xr:uid="{00000000-0005-0000-0000-0000090F0000}"/>
    <cellStyle name="Comma 2 2 8 2 6 2 3 3" xfId="6689" xr:uid="{00000000-0005-0000-0000-00000A0F0000}"/>
    <cellStyle name="Comma 2 2 8 2 6 2 4" xfId="3767" xr:uid="{00000000-0005-0000-0000-00000B0F0000}"/>
    <cellStyle name="Comma 2 2 8 2 6 3" xfId="3160" xr:uid="{00000000-0005-0000-0000-00000C0F0000}"/>
    <cellStyle name="Comma 2 2 8 2 6 4" xfId="3861" xr:uid="{00000000-0005-0000-0000-00000D0F0000}"/>
    <cellStyle name="Comma 2 2 8 2 6 4 2" xfId="4680" xr:uid="{00000000-0005-0000-0000-00000E0F0000}"/>
    <cellStyle name="Comma 2 2 8 2 6 4 3" xfId="5953" xr:uid="{00000000-0005-0000-0000-00000F0F0000}"/>
    <cellStyle name="Comma 2 2 8 2 6 5" xfId="4507" xr:uid="{00000000-0005-0000-0000-0000100F0000}"/>
    <cellStyle name="Comma 2 2 8 2 6 6" xfId="3768" xr:uid="{00000000-0005-0000-0000-0000110F0000}"/>
    <cellStyle name="Comma 2 2 8 2 7" xfId="2523" xr:uid="{00000000-0005-0000-0000-0000120F0000}"/>
    <cellStyle name="Comma 2 2 8 2 8" xfId="2655" xr:uid="{00000000-0005-0000-0000-0000130F0000}"/>
    <cellStyle name="Comma 2 2 8 2 8 2" xfId="2889" xr:uid="{00000000-0005-0000-0000-0000140F0000}"/>
    <cellStyle name="Comma 2 2 8 2 8 2 2" xfId="4928" xr:uid="{00000000-0005-0000-0000-0000150F0000}"/>
    <cellStyle name="Comma 2 2 8 2 8 2 2 2" xfId="5070" xr:uid="{00000000-0005-0000-0000-0000160F0000}"/>
    <cellStyle name="Comma 2 2 8 2 8 2 2 3" xfId="6275" xr:uid="{00000000-0005-0000-0000-0000170F0000}"/>
    <cellStyle name="Comma 2 2 8 2 8 2 3" xfId="5553" xr:uid="{00000000-0005-0000-0000-0000180F0000}"/>
    <cellStyle name="Comma 2 2 8 2 8 2 4" xfId="6139" xr:uid="{00000000-0005-0000-0000-0000190F0000}"/>
    <cellStyle name="Comma 2 2 8 2 8 3" xfId="3865" xr:uid="{00000000-0005-0000-0000-00001A0F0000}"/>
    <cellStyle name="Comma 2 2 8 2 8 3 2" xfId="5416" xr:uid="{00000000-0005-0000-0000-00001B0F0000}"/>
    <cellStyle name="Comma 2 2 8 2 8 3 3" xfId="6610" xr:uid="{00000000-0005-0000-0000-00001C0F0000}"/>
    <cellStyle name="Comma 2 2 8 2 8 4" xfId="3766" xr:uid="{00000000-0005-0000-0000-00001D0F0000}"/>
    <cellStyle name="Comma 2 2 8 2 9" xfId="3832" xr:uid="{00000000-0005-0000-0000-00001E0F0000}"/>
    <cellStyle name="Comma 2 2 8 2 9 2" xfId="4564" xr:uid="{00000000-0005-0000-0000-00001F0F0000}"/>
    <cellStyle name="Comma 2 2 8 2 9 3" xfId="5868" xr:uid="{00000000-0005-0000-0000-0000200F0000}"/>
    <cellStyle name="Comma 2 2 8 3" xfId="1845" xr:uid="{00000000-0005-0000-0000-0000210F0000}"/>
    <cellStyle name="Comma 2 2 8 3 10" xfId="3765" xr:uid="{00000000-0005-0000-0000-0000220F0000}"/>
    <cellStyle name="Comma 2 2 8 3 2" xfId="2166" xr:uid="{00000000-0005-0000-0000-0000230F0000}"/>
    <cellStyle name="Comma 2 2 8 3 2 2" xfId="2195" xr:uid="{00000000-0005-0000-0000-0000240F0000}"/>
    <cellStyle name="Comma 2 2 8 3 2 2 2" xfId="3010" xr:uid="{00000000-0005-0000-0000-0000250F0000}"/>
    <cellStyle name="Comma 2 2 8 3 2 2 2 2" xfId="3033" xr:uid="{00000000-0005-0000-0000-0000260F0000}"/>
    <cellStyle name="Comma 2 2 8 3 2 2 2 2 2" xfId="5190" xr:uid="{00000000-0005-0000-0000-0000270F0000}"/>
    <cellStyle name="Comma 2 2 8 3 2 2 2 2 2 2" xfId="5213" xr:uid="{00000000-0005-0000-0000-0000280F0000}"/>
    <cellStyle name="Comma 2 2 8 3 2 2 2 2 2 3" xfId="6418" xr:uid="{00000000-0005-0000-0000-0000290F0000}"/>
    <cellStyle name="Comma 2 2 8 3 2 2 2 2 3" xfId="5696" xr:uid="{00000000-0005-0000-0000-00002A0F0000}"/>
    <cellStyle name="Comma 2 2 8 3 2 2 2 2 4" xfId="6395" xr:uid="{00000000-0005-0000-0000-00002B0F0000}"/>
    <cellStyle name="Comma 2 2 8 3 2 2 2 3" xfId="3869" xr:uid="{00000000-0005-0000-0000-00002C0F0000}"/>
    <cellStyle name="Comma 2 2 8 3 2 2 2 3 2" xfId="5673" xr:uid="{00000000-0005-0000-0000-00002D0F0000}"/>
    <cellStyle name="Comma 2 2 8 3 2 2 2 3 3" xfId="6758" xr:uid="{00000000-0005-0000-0000-00002E0F0000}"/>
    <cellStyle name="Comma 2 2 8 3 2 2 2 4" xfId="3762" xr:uid="{00000000-0005-0000-0000-00002F0F0000}"/>
    <cellStyle name="Comma 2 2 8 3 2 2 3" xfId="3215" xr:uid="{00000000-0005-0000-0000-0000300F0000}"/>
    <cellStyle name="Comma 2 2 8 3 2 2 4" xfId="3868" xr:uid="{00000000-0005-0000-0000-0000310F0000}"/>
    <cellStyle name="Comma 2 2 8 3 2 2 4 2" xfId="4762" xr:uid="{00000000-0005-0000-0000-0000320F0000}"/>
    <cellStyle name="Comma 2 2 8 3 2 2 4 3" xfId="6007" xr:uid="{00000000-0005-0000-0000-0000330F0000}"/>
    <cellStyle name="Comma 2 2 8 3 2 2 5" xfId="4391" xr:uid="{00000000-0005-0000-0000-0000340F0000}"/>
    <cellStyle name="Comma 2 2 8 3 2 2 6" xfId="3763" xr:uid="{00000000-0005-0000-0000-0000350F0000}"/>
    <cellStyle name="Comma 2 2 8 3 2 3" xfId="2344" xr:uid="{00000000-0005-0000-0000-0000360F0000}"/>
    <cellStyle name="Comma 2 2 8 3 2 4" xfId="2530" xr:uid="{00000000-0005-0000-0000-0000370F0000}"/>
    <cellStyle name="Comma 2 2 8 3 2 5" xfId="2648" xr:uid="{00000000-0005-0000-0000-0000380F0000}"/>
    <cellStyle name="Comma 2 2 8 3 2 5 2" xfId="3192" xr:uid="{00000000-0005-0000-0000-0000390F0000}"/>
    <cellStyle name="Comma 2 2 8 3 2 5 2 2" xfId="4921" xr:uid="{00000000-0005-0000-0000-00003A0F0000}"/>
    <cellStyle name="Comma 2 2 8 3 2 5 2 2 2" xfId="5322" xr:uid="{00000000-0005-0000-0000-00003B0F0000}"/>
    <cellStyle name="Comma 2 2 8 3 2 5 2 2 3" xfId="6527" xr:uid="{00000000-0005-0000-0000-00003C0F0000}"/>
    <cellStyle name="Comma 2 2 8 3 2 5 2 3" xfId="5805" xr:uid="{00000000-0005-0000-0000-00003D0F0000}"/>
    <cellStyle name="Comma 2 2 8 3 2 5 2 4" xfId="6132" xr:uid="{00000000-0005-0000-0000-00003E0F0000}"/>
    <cellStyle name="Comma 2 2 8 3 2 5 3" xfId="3871" xr:uid="{00000000-0005-0000-0000-00003F0F0000}"/>
    <cellStyle name="Comma 2 2 8 3 2 5 3 2" xfId="5409" xr:uid="{00000000-0005-0000-0000-0000400F0000}"/>
    <cellStyle name="Comma 2 2 8 3 2 5 3 3" xfId="6603" xr:uid="{00000000-0005-0000-0000-0000410F0000}"/>
    <cellStyle name="Comma 2 2 8 3 2 5 4" xfId="3761" xr:uid="{00000000-0005-0000-0000-0000420F0000}"/>
    <cellStyle name="Comma 2 2 8 3 2 6" xfId="3867" xr:uid="{00000000-0005-0000-0000-0000430F0000}"/>
    <cellStyle name="Comma 2 2 8 3 2 6 2" xfId="4739" xr:uid="{00000000-0005-0000-0000-0000440F0000}"/>
    <cellStyle name="Comma 2 2 8 3 2 6 3" xfId="5984" xr:uid="{00000000-0005-0000-0000-0000450F0000}"/>
    <cellStyle name="Comma 2 2 8 3 2 7" xfId="4399" xr:uid="{00000000-0005-0000-0000-0000460F0000}"/>
    <cellStyle name="Comma 2 2 8 3 2 8" xfId="3764" xr:uid="{00000000-0005-0000-0000-0000470F0000}"/>
    <cellStyle name="Comma 2 2 8 3 3" xfId="2247" xr:uid="{00000000-0005-0000-0000-0000480F0000}"/>
    <cellStyle name="Comma 2 2 8 3 4" xfId="2282" xr:uid="{00000000-0005-0000-0000-0000490F0000}"/>
    <cellStyle name="Comma 2 2 8 3 5" xfId="2322" xr:uid="{00000000-0005-0000-0000-00004A0F0000}"/>
    <cellStyle name="Comma 2 2 8 3 5 2" xfId="2897" xr:uid="{00000000-0005-0000-0000-00004B0F0000}"/>
    <cellStyle name="Comma 2 2 8 3 5 2 2" xfId="3081" xr:uid="{00000000-0005-0000-0000-00004C0F0000}"/>
    <cellStyle name="Comma 2 2 8 3 5 2 2 2" xfId="5078" xr:uid="{00000000-0005-0000-0000-00004D0F0000}"/>
    <cellStyle name="Comma 2 2 8 3 5 2 2 2 2" xfId="5261" xr:uid="{00000000-0005-0000-0000-00004E0F0000}"/>
    <cellStyle name="Comma 2 2 8 3 5 2 2 2 3" xfId="6466" xr:uid="{00000000-0005-0000-0000-00004F0F0000}"/>
    <cellStyle name="Comma 2 2 8 3 5 2 2 3" xfId="5744" xr:uid="{00000000-0005-0000-0000-0000500F0000}"/>
    <cellStyle name="Comma 2 2 8 3 5 2 2 4" xfId="6283" xr:uid="{00000000-0005-0000-0000-0000510F0000}"/>
    <cellStyle name="Comma 2 2 8 3 5 2 3" xfId="3873" xr:uid="{00000000-0005-0000-0000-0000520F0000}"/>
    <cellStyle name="Comma 2 2 8 3 5 2 3 2" xfId="5561" xr:uid="{00000000-0005-0000-0000-0000530F0000}"/>
    <cellStyle name="Comma 2 2 8 3 5 2 3 3" xfId="6695" xr:uid="{00000000-0005-0000-0000-0000540F0000}"/>
    <cellStyle name="Comma 2 2 8 3 5 2 4" xfId="3759" xr:uid="{00000000-0005-0000-0000-0000550F0000}"/>
    <cellStyle name="Comma 2 2 8 3 5 3" xfId="3263" xr:uid="{00000000-0005-0000-0000-0000560F0000}"/>
    <cellStyle name="Comma 2 2 8 3 5 4" xfId="3872" xr:uid="{00000000-0005-0000-0000-0000570F0000}"/>
    <cellStyle name="Comma 2 2 8 3 5 4 2" xfId="4810" xr:uid="{00000000-0005-0000-0000-0000580F0000}"/>
    <cellStyle name="Comma 2 2 8 3 5 4 3" xfId="6055" xr:uid="{00000000-0005-0000-0000-0000590F0000}"/>
    <cellStyle name="Comma 2 2 8 3 5 5" xfId="4836" xr:uid="{00000000-0005-0000-0000-00005A0F0000}"/>
    <cellStyle name="Comma 2 2 8 3 5 6" xfId="3760" xr:uid="{00000000-0005-0000-0000-00005B0F0000}"/>
    <cellStyle name="Comma 2 2 8 3 6" xfId="2529" xr:uid="{00000000-0005-0000-0000-00005C0F0000}"/>
    <cellStyle name="Comma 2 2 8 3 7" xfId="2649" xr:uid="{00000000-0005-0000-0000-00005D0F0000}"/>
    <cellStyle name="Comma 2 2 8 3 7 2" xfId="2832" xr:uid="{00000000-0005-0000-0000-00005E0F0000}"/>
    <cellStyle name="Comma 2 2 8 3 7 2 2" xfId="4922" xr:uid="{00000000-0005-0000-0000-00005F0F0000}"/>
    <cellStyle name="Comma 2 2 8 3 7 2 2 2" xfId="5017" xr:uid="{00000000-0005-0000-0000-0000600F0000}"/>
    <cellStyle name="Comma 2 2 8 3 7 2 2 3" xfId="6222" xr:uid="{00000000-0005-0000-0000-0000610F0000}"/>
    <cellStyle name="Comma 2 2 8 3 7 2 3" xfId="5500" xr:uid="{00000000-0005-0000-0000-0000620F0000}"/>
    <cellStyle name="Comma 2 2 8 3 7 2 4" xfId="6133" xr:uid="{00000000-0005-0000-0000-0000630F0000}"/>
    <cellStyle name="Comma 2 2 8 3 7 3" xfId="3875" xr:uid="{00000000-0005-0000-0000-0000640F0000}"/>
    <cellStyle name="Comma 2 2 8 3 7 3 2" xfId="5410" xr:uid="{00000000-0005-0000-0000-0000650F0000}"/>
    <cellStyle name="Comma 2 2 8 3 7 3 3" xfId="6604" xr:uid="{00000000-0005-0000-0000-0000660F0000}"/>
    <cellStyle name="Comma 2 2 8 3 7 4" xfId="3758" xr:uid="{00000000-0005-0000-0000-0000670F0000}"/>
    <cellStyle name="Comma 2 2 8 3 8" xfId="3866" xr:uid="{00000000-0005-0000-0000-0000680F0000}"/>
    <cellStyle name="Comma 2 2 8 3 8 2" xfId="4570" xr:uid="{00000000-0005-0000-0000-0000690F0000}"/>
    <cellStyle name="Comma 2 2 8 3 8 3" xfId="5874" xr:uid="{00000000-0005-0000-0000-00006A0F0000}"/>
    <cellStyle name="Comma 2 2 8 3 9" xfId="4447" xr:uid="{00000000-0005-0000-0000-00006B0F0000}"/>
    <cellStyle name="Comma 2 2 8 4" xfId="1970" xr:uid="{00000000-0005-0000-0000-00006C0F0000}"/>
    <cellStyle name="Comma 2 2 8 4 2" xfId="2123" xr:uid="{00000000-0005-0000-0000-00006D0F0000}"/>
    <cellStyle name="Comma 2 2 8 4 2 2" xfId="2942" xr:uid="{00000000-0005-0000-0000-00006E0F0000}"/>
    <cellStyle name="Comma 2 2 8 4 2 2 2" xfId="3002" xr:uid="{00000000-0005-0000-0000-00006F0F0000}"/>
    <cellStyle name="Comma 2 2 8 4 2 2 2 2" xfId="5123" xr:uid="{00000000-0005-0000-0000-0000700F0000}"/>
    <cellStyle name="Comma 2 2 8 4 2 2 2 2 2" xfId="5182" xr:uid="{00000000-0005-0000-0000-0000710F0000}"/>
    <cellStyle name="Comma 2 2 8 4 2 2 2 2 3" xfId="6387" xr:uid="{00000000-0005-0000-0000-0000720F0000}"/>
    <cellStyle name="Comma 2 2 8 4 2 2 2 3" xfId="5665" xr:uid="{00000000-0005-0000-0000-0000730F0000}"/>
    <cellStyle name="Comma 2 2 8 4 2 2 2 4" xfId="6328" xr:uid="{00000000-0005-0000-0000-0000740F0000}"/>
    <cellStyle name="Comma 2 2 8 4 2 2 3" xfId="3878" xr:uid="{00000000-0005-0000-0000-0000750F0000}"/>
    <cellStyle name="Comma 2 2 8 4 2 2 3 2" xfId="5606" xr:uid="{00000000-0005-0000-0000-0000760F0000}"/>
    <cellStyle name="Comma 2 2 8 4 2 2 3 3" xfId="6740" xr:uid="{00000000-0005-0000-0000-0000770F0000}"/>
    <cellStyle name="Comma 2 2 8 4 2 2 4" xfId="3754" xr:uid="{00000000-0005-0000-0000-0000780F0000}"/>
    <cellStyle name="Comma 2 2 8 4 2 3" xfId="3184" xr:uid="{00000000-0005-0000-0000-0000790F0000}"/>
    <cellStyle name="Comma 2 2 8 4 2 4" xfId="3877" xr:uid="{00000000-0005-0000-0000-00007A0F0000}"/>
    <cellStyle name="Comma 2 2 8 4 2 4 2" xfId="4730" xr:uid="{00000000-0005-0000-0000-00007B0F0000}"/>
    <cellStyle name="Comma 2 2 8 4 2 4 3" xfId="5976" xr:uid="{00000000-0005-0000-0000-00007C0F0000}"/>
    <cellStyle name="Comma 2 2 8 4 2 5" xfId="4546" xr:uid="{00000000-0005-0000-0000-00007D0F0000}"/>
    <cellStyle name="Comma 2 2 8 4 2 6" xfId="3756" xr:uid="{00000000-0005-0000-0000-00007E0F0000}"/>
    <cellStyle name="Comma 2 2 8 4 3" xfId="2314" xr:uid="{00000000-0005-0000-0000-00007F0F0000}"/>
    <cellStyle name="Comma 2 2 8 4 4" xfId="2531" xr:uid="{00000000-0005-0000-0000-0000800F0000}"/>
    <cellStyle name="Comma 2 2 8 4 5" xfId="2647" xr:uid="{00000000-0005-0000-0000-0000810F0000}"/>
    <cellStyle name="Comma 2 2 8 4 5 2" xfId="3124" xr:uid="{00000000-0005-0000-0000-0000820F0000}"/>
    <cellStyle name="Comma 2 2 8 4 5 2 2" xfId="4920" xr:uid="{00000000-0005-0000-0000-0000830F0000}"/>
    <cellStyle name="Comma 2 2 8 4 5 2 2 2" xfId="5304" xr:uid="{00000000-0005-0000-0000-0000840F0000}"/>
    <cellStyle name="Comma 2 2 8 4 5 2 2 3" xfId="6509" xr:uid="{00000000-0005-0000-0000-0000850F0000}"/>
    <cellStyle name="Comma 2 2 8 4 5 2 3" xfId="5787" xr:uid="{00000000-0005-0000-0000-0000860F0000}"/>
    <cellStyle name="Comma 2 2 8 4 5 2 4" xfId="6131" xr:uid="{00000000-0005-0000-0000-0000870F0000}"/>
    <cellStyle name="Comma 2 2 8 4 5 3" xfId="3882" xr:uid="{00000000-0005-0000-0000-0000880F0000}"/>
    <cellStyle name="Comma 2 2 8 4 5 3 2" xfId="5408" xr:uid="{00000000-0005-0000-0000-0000890F0000}"/>
    <cellStyle name="Comma 2 2 8 4 5 3 3" xfId="6602" xr:uid="{00000000-0005-0000-0000-00008A0F0000}"/>
    <cellStyle name="Comma 2 2 8 4 5 4" xfId="3750" xr:uid="{00000000-0005-0000-0000-00008B0F0000}"/>
    <cellStyle name="Comma 2 2 8 4 6" xfId="3876" xr:uid="{00000000-0005-0000-0000-00008C0F0000}"/>
    <cellStyle name="Comma 2 2 8 4 6 2" xfId="4644" xr:uid="{00000000-0005-0000-0000-00008D0F0000}"/>
    <cellStyle name="Comma 2 2 8 4 6 3" xfId="5919" xr:uid="{00000000-0005-0000-0000-00008E0F0000}"/>
    <cellStyle name="Comma 2 2 8 4 7" xfId="4856" xr:uid="{00000000-0005-0000-0000-00008F0F0000}"/>
    <cellStyle name="Comma 2 2 8 4 8" xfId="3757" xr:uid="{00000000-0005-0000-0000-0000900F0000}"/>
    <cellStyle name="Comma 2 2 8 5" xfId="2163" xr:uid="{00000000-0005-0000-0000-0000910F0000}"/>
    <cellStyle name="Comma 2 2 8 6" xfId="2017" xr:uid="{00000000-0005-0000-0000-0000920F0000}"/>
    <cellStyle name="Comma 2 2 8 6 2" xfId="2868" xr:uid="{00000000-0005-0000-0000-0000930F0000}"/>
    <cellStyle name="Comma 2 2 8 6 2 2" xfId="2979" xr:uid="{00000000-0005-0000-0000-0000940F0000}"/>
    <cellStyle name="Comma 2 2 8 6 2 2 2" xfId="5049" xr:uid="{00000000-0005-0000-0000-0000950F0000}"/>
    <cellStyle name="Comma 2 2 8 6 2 2 2 2" xfId="5160" xr:uid="{00000000-0005-0000-0000-0000960F0000}"/>
    <cellStyle name="Comma 2 2 8 6 2 2 2 3" xfId="6365" xr:uid="{00000000-0005-0000-0000-0000970F0000}"/>
    <cellStyle name="Comma 2 2 8 6 2 2 3" xfId="5643" xr:uid="{00000000-0005-0000-0000-0000980F0000}"/>
    <cellStyle name="Comma 2 2 8 6 2 2 4" xfId="6254" xr:uid="{00000000-0005-0000-0000-0000990F0000}"/>
    <cellStyle name="Comma 2 2 8 6 2 3" xfId="3885" xr:uid="{00000000-0005-0000-0000-00009A0F0000}"/>
    <cellStyle name="Comma 2 2 8 6 2 3 2" xfId="5532" xr:uid="{00000000-0005-0000-0000-00009B0F0000}"/>
    <cellStyle name="Comma 2 2 8 6 2 3 3" xfId="6673" xr:uid="{00000000-0005-0000-0000-00009C0F0000}"/>
    <cellStyle name="Comma 2 2 8 6 2 4" xfId="3745" xr:uid="{00000000-0005-0000-0000-00009D0F0000}"/>
    <cellStyle name="Comma 2 2 8 6 3" xfId="3161" xr:uid="{00000000-0005-0000-0000-00009E0F0000}"/>
    <cellStyle name="Comma 2 2 8 6 4" xfId="3884" xr:uid="{00000000-0005-0000-0000-00009F0F0000}"/>
    <cellStyle name="Comma 2 2 8 6 4 2" xfId="4681" xr:uid="{00000000-0005-0000-0000-0000A00F0000}"/>
    <cellStyle name="Comma 2 2 8 6 4 3" xfId="5954" xr:uid="{00000000-0005-0000-0000-0000A10F0000}"/>
    <cellStyle name="Comma 2 2 8 6 5" xfId="4851" xr:uid="{00000000-0005-0000-0000-0000A20F0000}"/>
    <cellStyle name="Comma 2 2 8 6 6" xfId="3746" xr:uid="{00000000-0005-0000-0000-0000A30F0000}"/>
    <cellStyle name="Comma 2 2 8 7" xfId="2522" xr:uid="{00000000-0005-0000-0000-0000A40F0000}"/>
    <cellStyle name="Comma 2 2 8 8" xfId="2656" xr:uid="{00000000-0005-0000-0000-0000A50F0000}"/>
    <cellStyle name="Comma 2 2 8 8 2" xfId="2842" xr:uid="{00000000-0005-0000-0000-0000A60F0000}"/>
    <cellStyle name="Comma 2 2 8 8 2 2" xfId="4929" xr:uid="{00000000-0005-0000-0000-0000A70F0000}"/>
    <cellStyle name="Comma 2 2 8 8 2 2 2" xfId="5027" xr:uid="{00000000-0005-0000-0000-0000A80F0000}"/>
    <cellStyle name="Comma 2 2 8 8 2 2 3" xfId="6232" xr:uid="{00000000-0005-0000-0000-0000A90F0000}"/>
    <cellStyle name="Comma 2 2 8 8 2 3" xfId="5510" xr:uid="{00000000-0005-0000-0000-0000AA0F0000}"/>
    <cellStyle name="Comma 2 2 8 8 2 4" xfId="6140" xr:uid="{00000000-0005-0000-0000-0000AB0F0000}"/>
    <cellStyle name="Comma 2 2 8 8 3" xfId="3886" xr:uid="{00000000-0005-0000-0000-0000AC0F0000}"/>
    <cellStyle name="Comma 2 2 8 8 3 2" xfId="5417" xr:uid="{00000000-0005-0000-0000-0000AD0F0000}"/>
    <cellStyle name="Comma 2 2 8 8 3 3" xfId="6611" xr:uid="{00000000-0005-0000-0000-0000AE0F0000}"/>
    <cellStyle name="Comma 2 2 8 8 4" xfId="3740" xr:uid="{00000000-0005-0000-0000-0000AF0F0000}"/>
    <cellStyle name="Comma 2 2 8 9" xfId="3831" xr:uid="{00000000-0005-0000-0000-0000B00F0000}"/>
    <cellStyle name="Comma 2 2 8 9 2" xfId="4519" xr:uid="{00000000-0005-0000-0000-0000B10F0000}"/>
    <cellStyle name="Comma 2 2 8 9 3" xfId="5852" xr:uid="{00000000-0005-0000-0000-0000B20F0000}"/>
    <cellStyle name="Comma 2 2 9" xfId="1842" xr:uid="{00000000-0005-0000-0000-0000B30F0000}"/>
    <cellStyle name="Comma 2 2_34 moi TT342" xfId="581" xr:uid="{00000000-0005-0000-0000-0000B40F0000}"/>
    <cellStyle name="Comma 2 20" xfId="2153" xr:uid="{00000000-0005-0000-0000-0000B50F0000}"/>
    <cellStyle name="Comma 2 21" xfId="2128" xr:uid="{00000000-0005-0000-0000-0000B60F0000}"/>
    <cellStyle name="Comma 2 22" xfId="2844" xr:uid="{00000000-0005-0000-0000-0000B70F0000}"/>
    <cellStyle name="Comma 2 23" xfId="2859" xr:uid="{00000000-0005-0000-0000-0000B80F0000}"/>
    <cellStyle name="Comma 2 24" xfId="4471" xr:uid="{00000000-0005-0000-0000-0000B90F0000}"/>
    <cellStyle name="Comma 2 25" xfId="4487" xr:uid="{00000000-0005-0000-0000-0000BA0F0000}"/>
    <cellStyle name="Comma 2 26" xfId="6803" xr:uid="{00000000-0005-0000-0000-0000BB0F0000}"/>
    <cellStyle name="Comma 2 27" xfId="6800" xr:uid="{00000000-0005-0000-0000-0000BC0F0000}"/>
    <cellStyle name="Comma 2 28" xfId="582" xr:uid="{00000000-0005-0000-0000-0000BD0F0000}"/>
    <cellStyle name="Comma 2 28 2" xfId="583" xr:uid="{00000000-0005-0000-0000-0000BE0F0000}"/>
    <cellStyle name="Comma 2 28 2 2" xfId="584" xr:uid="{00000000-0005-0000-0000-0000BF0F0000}"/>
    <cellStyle name="Comma 2 28 2 3" xfId="585" xr:uid="{00000000-0005-0000-0000-0000C00F0000}"/>
    <cellStyle name="Comma 2 28 2 4" xfId="586" xr:uid="{00000000-0005-0000-0000-0000C10F0000}"/>
    <cellStyle name="Comma 2 28 2 5" xfId="587" xr:uid="{00000000-0005-0000-0000-0000C20F0000}"/>
    <cellStyle name="Comma 2 28 2 6" xfId="588" xr:uid="{00000000-0005-0000-0000-0000C30F0000}"/>
    <cellStyle name="Comma 2 28 2 7" xfId="589" xr:uid="{00000000-0005-0000-0000-0000C40F0000}"/>
    <cellStyle name="Comma 2 28 3" xfId="590" xr:uid="{00000000-0005-0000-0000-0000C50F0000}"/>
    <cellStyle name="Comma 2 28 4" xfId="591" xr:uid="{00000000-0005-0000-0000-0000C60F0000}"/>
    <cellStyle name="Comma 2 28 5" xfId="592" xr:uid="{00000000-0005-0000-0000-0000C70F0000}"/>
    <cellStyle name="Comma 2 28 6" xfId="593" xr:uid="{00000000-0005-0000-0000-0000C80F0000}"/>
    <cellStyle name="Comma 2 28 7" xfId="594" xr:uid="{00000000-0005-0000-0000-0000C90F0000}"/>
    <cellStyle name="Comma 2 28 8" xfId="595" xr:uid="{00000000-0005-0000-0000-0000CA0F0000}"/>
    <cellStyle name="Comma 2 28 9" xfId="596" xr:uid="{00000000-0005-0000-0000-0000CB0F0000}"/>
    <cellStyle name="Comma 2 29" xfId="6811" xr:uid="{00000000-0005-0000-0000-0000CC0F0000}"/>
    <cellStyle name="Comma 2 3" xfId="597" xr:uid="{00000000-0005-0000-0000-0000CD0F0000}"/>
    <cellStyle name="Comma 2 3 2" xfId="598" xr:uid="{00000000-0005-0000-0000-0000CE0F0000}"/>
    <cellStyle name="Comma 2 3 2 2" xfId="599" xr:uid="{00000000-0005-0000-0000-0000CF0F0000}"/>
    <cellStyle name="Comma 2 3 2 3" xfId="600" xr:uid="{00000000-0005-0000-0000-0000D00F0000}"/>
    <cellStyle name="Comma 2 3 2 4" xfId="601" xr:uid="{00000000-0005-0000-0000-0000D10F0000}"/>
    <cellStyle name="Comma 2 3 2 5" xfId="602" xr:uid="{00000000-0005-0000-0000-0000D20F0000}"/>
    <cellStyle name="Comma 2 3 2 6" xfId="603" xr:uid="{00000000-0005-0000-0000-0000D30F0000}"/>
    <cellStyle name="Comma 2 3 3" xfId="604" xr:uid="{00000000-0005-0000-0000-0000D40F0000}"/>
    <cellStyle name="Comma 2 3 4" xfId="605" xr:uid="{00000000-0005-0000-0000-0000D50F0000}"/>
    <cellStyle name="Comma 2 3 5" xfId="606" xr:uid="{00000000-0005-0000-0000-0000D60F0000}"/>
    <cellStyle name="Comma 2 3 6" xfId="607" xr:uid="{00000000-0005-0000-0000-0000D70F0000}"/>
    <cellStyle name="Comma 2 30" xfId="6814" xr:uid="{00000000-0005-0000-0000-0000D80F0000}"/>
    <cellStyle name="Comma 2 31" xfId="6817" xr:uid="{00000000-0005-0000-0000-0000D90F0000}"/>
    <cellStyle name="Comma 2 32" xfId="6908" xr:uid="{00000000-0005-0000-0000-0000DA0F0000}"/>
    <cellStyle name="Comma 2 33" xfId="7263" xr:uid="{00000000-0005-0000-0000-0000DB0F0000}"/>
    <cellStyle name="Comma 2 34" xfId="7127" xr:uid="{00000000-0005-0000-0000-0000DC0F0000}"/>
    <cellStyle name="Comma 2 35" xfId="6936" xr:uid="{00000000-0005-0000-0000-0000DD0F0000}"/>
    <cellStyle name="Comma 2 4" xfId="608" xr:uid="{00000000-0005-0000-0000-0000DE0F0000}"/>
    <cellStyle name="Comma 2 5" xfId="609" xr:uid="{00000000-0005-0000-0000-0000DF0F0000}"/>
    <cellStyle name="Comma 2 5 2" xfId="13393" xr:uid="{00000000-0005-0000-0000-0000E00F0000}"/>
    <cellStyle name="Comma 2 5 3 2" xfId="610" xr:uid="{00000000-0005-0000-0000-0000E10F0000}"/>
    <cellStyle name="Comma 2 5 3 2 2" xfId="611" xr:uid="{00000000-0005-0000-0000-0000E20F0000}"/>
    <cellStyle name="Comma 2 5 3 2 2 2" xfId="612" xr:uid="{00000000-0005-0000-0000-0000E30F0000}"/>
    <cellStyle name="Comma 2 5 3 2 2 3" xfId="613" xr:uid="{00000000-0005-0000-0000-0000E40F0000}"/>
    <cellStyle name="Comma 2 5 3 2 2 4" xfId="614" xr:uid="{00000000-0005-0000-0000-0000E50F0000}"/>
    <cellStyle name="Comma 2 5 3 2 2 5" xfId="615" xr:uid="{00000000-0005-0000-0000-0000E60F0000}"/>
    <cellStyle name="Comma 2 5 3 2 2 6" xfId="616" xr:uid="{00000000-0005-0000-0000-0000E70F0000}"/>
    <cellStyle name="Comma 2 5 3 2 2 7" xfId="617" xr:uid="{00000000-0005-0000-0000-0000E80F0000}"/>
    <cellStyle name="Comma 2 5 3 2 3" xfId="618" xr:uid="{00000000-0005-0000-0000-0000E90F0000}"/>
    <cellStyle name="Comma 2 5 3 2 4" xfId="619" xr:uid="{00000000-0005-0000-0000-0000EA0F0000}"/>
    <cellStyle name="Comma 2 5 3 2 5" xfId="620" xr:uid="{00000000-0005-0000-0000-0000EB0F0000}"/>
    <cellStyle name="Comma 2 5 3 2 6" xfId="621" xr:uid="{00000000-0005-0000-0000-0000EC0F0000}"/>
    <cellStyle name="Comma 2 5 3 2 7" xfId="622" xr:uid="{00000000-0005-0000-0000-0000ED0F0000}"/>
    <cellStyle name="Comma 2 5 3 2 8" xfId="623" xr:uid="{00000000-0005-0000-0000-0000EE0F0000}"/>
    <cellStyle name="Comma 2 5 3 2 9" xfId="624" xr:uid="{00000000-0005-0000-0000-0000EF0F0000}"/>
    <cellStyle name="Comma 2 6" xfId="625" xr:uid="{00000000-0005-0000-0000-0000F00F0000}"/>
    <cellStyle name="Comma 2 7" xfId="626" xr:uid="{00000000-0005-0000-0000-0000F10F0000}"/>
    <cellStyle name="Comma 2 8" xfId="627" xr:uid="{00000000-0005-0000-0000-0000F20F0000}"/>
    <cellStyle name="Comma 2 9" xfId="628" xr:uid="{00000000-0005-0000-0000-0000F30F0000}"/>
    <cellStyle name="Comma 2_bieu 1" xfId="629" xr:uid="{00000000-0005-0000-0000-0000F40F0000}"/>
    <cellStyle name="Comma 20" xfId="8163" xr:uid="{00000000-0005-0000-0000-0000F50F0000}"/>
    <cellStyle name="Comma 20 2" xfId="630" xr:uid="{00000000-0005-0000-0000-0000F60F0000}"/>
    <cellStyle name="Comma 20 2 2" xfId="631" xr:uid="{00000000-0005-0000-0000-0000F70F0000}"/>
    <cellStyle name="Comma 20 3" xfId="1860" xr:uid="{00000000-0005-0000-0000-0000F80F0000}"/>
    <cellStyle name="Comma 20 3 10" xfId="3707" xr:uid="{00000000-0005-0000-0000-0000F90F0000}"/>
    <cellStyle name="Comma 20 3 11" xfId="9051" xr:uid="{00000000-0005-0000-0000-0000FA0F0000}"/>
    <cellStyle name="Comma 20 3 2" xfId="1974" xr:uid="{00000000-0005-0000-0000-0000FB0F0000}"/>
    <cellStyle name="Comma 20 3 2 2" xfId="2208" xr:uid="{00000000-0005-0000-0000-0000FC0F0000}"/>
    <cellStyle name="Comma 20 3 2 2 2" xfId="2945" xr:uid="{00000000-0005-0000-0000-0000FD0F0000}"/>
    <cellStyle name="Comma 20 3 2 2 2 2" xfId="3046" xr:uid="{00000000-0005-0000-0000-0000FE0F0000}"/>
    <cellStyle name="Comma 20 3 2 2 2 2 2" xfId="5126" xr:uid="{00000000-0005-0000-0000-0000FF0F0000}"/>
    <cellStyle name="Comma 20 3 2 2 2 2 2 2" xfId="5226" xr:uid="{00000000-0005-0000-0000-000000100000}"/>
    <cellStyle name="Comma 20 3 2 2 2 2 2 3" xfId="6431" xr:uid="{00000000-0005-0000-0000-000001100000}"/>
    <cellStyle name="Comma 20 3 2 2 2 2 3" xfId="5709" xr:uid="{00000000-0005-0000-0000-000002100000}"/>
    <cellStyle name="Comma 20 3 2 2 2 2 4" xfId="6331" xr:uid="{00000000-0005-0000-0000-000003100000}"/>
    <cellStyle name="Comma 20 3 2 2 2 3" xfId="5609" xr:uid="{00000000-0005-0000-0000-000004100000}"/>
    <cellStyle name="Comma 20 3 2 2 3" xfId="3228" xr:uid="{00000000-0005-0000-0000-000005100000}"/>
    <cellStyle name="Comma 20 3 2 2 3 2" xfId="3913" xr:uid="{00000000-0005-0000-0000-000006100000}"/>
    <cellStyle name="Comma 20 3 2 2 3 2 2" xfId="5337" xr:uid="{00000000-0005-0000-0000-000007100000}"/>
    <cellStyle name="Comma 20 3 2 2 3 2 3" xfId="6542" xr:uid="{00000000-0005-0000-0000-000008100000}"/>
    <cellStyle name="Comma 20 3 2 2 3 3" xfId="5820" xr:uid="{00000000-0005-0000-0000-000009100000}"/>
    <cellStyle name="Comma 20 3 2 2 3 4" xfId="3705" xr:uid="{00000000-0005-0000-0000-00000A100000}"/>
    <cellStyle name="Comma 20 3 2 2 4" xfId="3912" xr:uid="{00000000-0005-0000-0000-00000B100000}"/>
    <cellStyle name="Comma 20 3 2 2 4 2" xfId="4775" xr:uid="{00000000-0005-0000-0000-00000C100000}"/>
    <cellStyle name="Comma 20 3 2 2 4 3" xfId="6020" xr:uid="{00000000-0005-0000-0000-00000D100000}"/>
    <cellStyle name="Comma 20 3 2 2 5" xfId="4716" xr:uid="{00000000-0005-0000-0000-00000E100000}"/>
    <cellStyle name="Comma 20 3 2 2 6" xfId="3706" xr:uid="{00000000-0005-0000-0000-00000F100000}"/>
    <cellStyle name="Comma 20 3 2 3" xfId="2357" xr:uid="{00000000-0005-0000-0000-000010100000}"/>
    <cellStyle name="Comma 20 3 2 3 2" xfId="3914" xr:uid="{00000000-0005-0000-0000-000011100000}"/>
    <cellStyle name="Comma 20 3 2 3 2 2" xfId="4824" xr:uid="{00000000-0005-0000-0000-000012100000}"/>
    <cellStyle name="Comma 20 3 2 3 2 3" xfId="6069" xr:uid="{00000000-0005-0000-0000-000013100000}"/>
    <cellStyle name="Comma 20 3 2 3 3" xfId="4381" xr:uid="{00000000-0005-0000-0000-000014100000}"/>
    <cellStyle name="Comma 20 3 2 3 4" xfId="3704" xr:uid="{00000000-0005-0000-0000-000015100000}"/>
    <cellStyle name="Comma 20 3 2 4" xfId="3127" xr:uid="{00000000-0005-0000-0000-000016100000}"/>
    <cellStyle name="Comma 20 3 2 5" xfId="4647" xr:uid="{00000000-0005-0000-0000-000017100000}"/>
    <cellStyle name="Comma 20 3 2 6" xfId="4516" xr:uid="{00000000-0005-0000-0000-000018100000}"/>
    <cellStyle name="Comma 20 3 3" xfId="2260" xr:uid="{00000000-0005-0000-0000-000019100000}"/>
    <cellStyle name="Comma 20 3 3 2" xfId="2537" xr:uid="{00000000-0005-0000-0000-00001A100000}"/>
    <cellStyle name="Comma 20 3 3 2 2" xfId="3071" xr:uid="{00000000-0005-0000-0000-00001B100000}"/>
    <cellStyle name="Comma 20 3 3 2 2 2" xfId="3102" xr:uid="{00000000-0005-0000-0000-00001C100000}"/>
    <cellStyle name="Comma 20 3 3 2 2 2 2" xfId="5251" xr:uid="{00000000-0005-0000-0000-00001D100000}"/>
    <cellStyle name="Comma 20 3 3 2 2 2 2 2" xfId="5282" xr:uid="{00000000-0005-0000-0000-00001E100000}"/>
    <cellStyle name="Comma 20 3 3 2 2 2 2 3" xfId="6487" xr:uid="{00000000-0005-0000-0000-00001F100000}"/>
    <cellStyle name="Comma 20 3 3 2 2 2 3" xfId="5765" xr:uid="{00000000-0005-0000-0000-000020100000}"/>
    <cellStyle name="Comma 20 3 3 2 2 2 4" xfId="6456" xr:uid="{00000000-0005-0000-0000-000021100000}"/>
    <cellStyle name="Comma 20 3 3 2 2 3" xfId="3916" xr:uid="{00000000-0005-0000-0000-000022100000}"/>
    <cellStyle name="Comma 20 3 3 2 2 3 2" xfId="5734" xr:uid="{00000000-0005-0000-0000-000023100000}"/>
    <cellStyle name="Comma 20 3 3 2 2 3 3" xfId="6781" xr:uid="{00000000-0005-0000-0000-000024100000}"/>
    <cellStyle name="Comma 20 3 3 2 2 4" xfId="3699" xr:uid="{00000000-0005-0000-0000-000025100000}"/>
    <cellStyle name="Comma 20 3 3 2 3" xfId="3284" xr:uid="{00000000-0005-0000-0000-000026100000}"/>
    <cellStyle name="Comma 20 3 3 2 4" xfId="4863" xr:uid="{00000000-0005-0000-0000-000027100000}"/>
    <cellStyle name="Comma 20 3 3 2 5" xfId="5352" xr:uid="{00000000-0005-0000-0000-000028100000}"/>
    <cellStyle name="Comma 20 3 3 3" xfId="2644" xr:uid="{00000000-0005-0000-0000-000029100000}"/>
    <cellStyle name="Comma 20 3 3 3 2" xfId="3253" xr:uid="{00000000-0005-0000-0000-00002A100000}"/>
    <cellStyle name="Comma 20 3 3 3 2 2" xfId="4918" xr:uid="{00000000-0005-0000-0000-00002B100000}"/>
    <cellStyle name="Comma 20 3 3 3 2 2 2" xfId="5346" xr:uid="{00000000-0005-0000-0000-00002C100000}"/>
    <cellStyle name="Comma 20 3 3 3 2 2 3" xfId="6551" xr:uid="{00000000-0005-0000-0000-00002D100000}"/>
    <cellStyle name="Comma 20 3 3 3 2 3" xfId="5829" xr:uid="{00000000-0005-0000-0000-00002E100000}"/>
    <cellStyle name="Comma 20 3 3 3 2 4" xfId="6129" xr:uid="{00000000-0005-0000-0000-00002F100000}"/>
    <cellStyle name="Comma 20 3 3 3 3" xfId="5406" xr:uid="{00000000-0005-0000-0000-000030100000}"/>
    <cellStyle name="Comma 20 3 3 4" xfId="3915" xr:uid="{00000000-0005-0000-0000-000031100000}"/>
    <cellStyle name="Comma 20 3 3 4 2" xfId="4800" xr:uid="{00000000-0005-0000-0000-000032100000}"/>
    <cellStyle name="Comma 20 3 3 4 3" xfId="6045" xr:uid="{00000000-0005-0000-0000-000033100000}"/>
    <cellStyle name="Comma 20 3 3 5" xfId="4495" xr:uid="{00000000-0005-0000-0000-000034100000}"/>
    <cellStyle name="Comma 20 3 3 6" xfId="3702" xr:uid="{00000000-0005-0000-0000-000035100000}"/>
    <cellStyle name="Comma 20 3 4" xfId="2295" xr:uid="{00000000-0005-0000-0000-000036100000}"/>
    <cellStyle name="Comma 20 3 4 2" xfId="2538" xr:uid="{00000000-0005-0000-0000-000037100000}"/>
    <cellStyle name="Comma 20 3 4 2 2" xfId="3080" xr:uid="{00000000-0005-0000-0000-000038100000}"/>
    <cellStyle name="Comma 20 3 4 2 2 2" xfId="3103" xr:uid="{00000000-0005-0000-0000-000039100000}"/>
    <cellStyle name="Comma 20 3 4 2 2 2 2" xfId="5260" xr:uid="{00000000-0005-0000-0000-00003A100000}"/>
    <cellStyle name="Comma 20 3 4 2 2 2 2 2" xfId="5283" xr:uid="{00000000-0005-0000-0000-00003B100000}"/>
    <cellStyle name="Comma 20 3 4 2 2 2 2 3" xfId="6488" xr:uid="{00000000-0005-0000-0000-00003C100000}"/>
    <cellStyle name="Comma 20 3 4 2 2 2 3" xfId="5766" xr:uid="{00000000-0005-0000-0000-00003D100000}"/>
    <cellStyle name="Comma 20 3 4 2 2 2 4" xfId="6465" xr:uid="{00000000-0005-0000-0000-00003E100000}"/>
    <cellStyle name="Comma 20 3 4 2 2 3" xfId="3918" xr:uid="{00000000-0005-0000-0000-00003F100000}"/>
    <cellStyle name="Comma 20 3 4 2 2 3 2" xfId="5743" xr:uid="{00000000-0005-0000-0000-000040100000}"/>
    <cellStyle name="Comma 20 3 4 2 2 3 3" xfId="6783" xr:uid="{00000000-0005-0000-0000-000041100000}"/>
    <cellStyle name="Comma 20 3 4 2 2 4" xfId="3692" xr:uid="{00000000-0005-0000-0000-000042100000}"/>
    <cellStyle name="Comma 20 3 4 2 3" xfId="3285" xr:uid="{00000000-0005-0000-0000-000043100000}"/>
    <cellStyle name="Comma 20 3 4 2 4" xfId="4864" xr:uid="{00000000-0005-0000-0000-000044100000}"/>
    <cellStyle name="Comma 20 3 4 2 5" xfId="5353" xr:uid="{00000000-0005-0000-0000-000045100000}"/>
    <cellStyle name="Comma 20 3 4 3" xfId="2643" xr:uid="{00000000-0005-0000-0000-000046100000}"/>
    <cellStyle name="Comma 20 3 4 3 2" xfId="3262" xr:uid="{00000000-0005-0000-0000-000047100000}"/>
    <cellStyle name="Comma 20 3 4 3 2 2" xfId="4917" xr:uid="{00000000-0005-0000-0000-000048100000}"/>
    <cellStyle name="Comma 20 3 4 3 2 2 2" xfId="5348" xr:uid="{00000000-0005-0000-0000-000049100000}"/>
    <cellStyle name="Comma 20 3 4 3 2 2 3" xfId="6553" xr:uid="{00000000-0005-0000-0000-00004A100000}"/>
    <cellStyle name="Comma 20 3 4 3 2 3" xfId="5831" xr:uid="{00000000-0005-0000-0000-00004B100000}"/>
    <cellStyle name="Comma 20 3 4 3 2 4" xfId="6128" xr:uid="{00000000-0005-0000-0000-00004C100000}"/>
    <cellStyle name="Comma 20 3 4 3 3" xfId="5405" xr:uid="{00000000-0005-0000-0000-00004D100000}"/>
    <cellStyle name="Comma 20 3 4 4" xfId="3917" xr:uid="{00000000-0005-0000-0000-00004E100000}"/>
    <cellStyle name="Comma 20 3 4 4 2" xfId="4809" xr:uid="{00000000-0005-0000-0000-00004F100000}"/>
    <cellStyle name="Comma 20 3 4 4 3" xfId="6054" xr:uid="{00000000-0005-0000-0000-000050100000}"/>
    <cellStyle name="Comma 20 3 4 5" xfId="4558" xr:uid="{00000000-0005-0000-0000-000051100000}"/>
    <cellStyle name="Comma 20 3 4 6" xfId="3697" xr:uid="{00000000-0005-0000-0000-000052100000}"/>
    <cellStyle name="Comma 20 3 5" xfId="2014" xr:uid="{00000000-0005-0000-0000-000053100000}"/>
    <cellStyle name="Comma 20 3 5 2" xfId="2910" xr:uid="{00000000-0005-0000-0000-000054100000}"/>
    <cellStyle name="Comma 20 3 5 2 2" xfId="2976" xr:uid="{00000000-0005-0000-0000-000055100000}"/>
    <cellStyle name="Comma 20 3 5 2 2 2" xfId="5091" xr:uid="{00000000-0005-0000-0000-000056100000}"/>
    <cellStyle name="Comma 20 3 5 2 2 2 2" xfId="5157" xr:uid="{00000000-0005-0000-0000-000057100000}"/>
    <cellStyle name="Comma 20 3 5 2 2 2 3" xfId="6362" xr:uid="{00000000-0005-0000-0000-000058100000}"/>
    <cellStyle name="Comma 20 3 5 2 2 3" xfId="5640" xr:uid="{00000000-0005-0000-0000-000059100000}"/>
    <cellStyle name="Comma 20 3 5 2 2 4" xfId="6296" xr:uid="{00000000-0005-0000-0000-00005A100000}"/>
    <cellStyle name="Comma 20 3 5 2 3" xfId="3919" xr:uid="{00000000-0005-0000-0000-00005B100000}"/>
    <cellStyle name="Comma 20 3 5 2 3 2" xfId="5574" xr:uid="{00000000-0005-0000-0000-00005C100000}"/>
    <cellStyle name="Comma 20 3 5 2 3 3" xfId="6708" xr:uid="{00000000-0005-0000-0000-00005D100000}"/>
    <cellStyle name="Comma 20 3 5 2 4" xfId="3688" xr:uid="{00000000-0005-0000-0000-00005E100000}"/>
    <cellStyle name="Comma 20 3 5 3" xfId="3158" xr:uid="{00000000-0005-0000-0000-00005F100000}"/>
    <cellStyle name="Comma 20 3 5 4" xfId="4678" xr:uid="{00000000-0005-0000-0000-000060100000}"/>
    <cellStyle name="Comma 20 3 5 5" xfId="4615" xr:uid="{00000000-0005-0000-0000-000061100000}"/>
    <cellStyle name="Comma 20 3 6" xfId="2536" xr:uid="{00000000-0005-0000-0000-000062100000}"/>
    <cellStyle name="Comma 20 3 7" xfId="2645" xr:uid="{00000000-0005-0000-0000-000063100000}"/>
    <cellStyle name="Comma 20 3 7 2" xfId="2819" xr:uid="{00000000-0005-0000-0000-000064100000}"/>
    <cellStyle name="Comma 20 3 7 2 2" xfId="4919" xr:uid="{00000000-0005-0000-0000-000065100000}"/>
    <cellStyle name="Comma 20 3 7 2 2 2" xfId="5004" xr:uid="{00000000-0005-0000-0000-000066100000}"/>
    <cellStyle name="Comma 20 3 7 2 2 3" xfId="6209" xr:uid="{00000000-0005-0000-0000-000067100000}"/>
    <cellStyle name="Comma 20 3 7 2 3" xfId="5487" xr:uid="{00000000-0005-0000-0000-000068100000}"/>
    <cellStyle name="Comma 20 3 7 2 4" xfId="6130" xr:uid="{00000000-0005-0000-0000-000069100000}"/>
    <cellStyle name="Comma 20 3 7 3" xfId="5407" xr:uid="{00000000-0005-0000-0000-00006A100000}"/>
    <cellStyle name="Comma 20 3 8" xfId="3911" xr:uid="{00000000-0005-0000-0000-00006B100000}"/>
    <cellStyle name="Comma 20 3 8 2" xfId="4583" xr:uid="{00000000-0005-0000-0000-00006C100000}"/>
    <cellStyle name="Comma 20 3 8 3" xfId="5887" xr:uid="{00000000-0005-0000-0000-00006D100000}"/>
    <cellStyle name="Comma 20 3 9" xfId="4434" xr:uid="{00000000-0005-0000-0000-00006E100000}"/>
    <cellStyle name="Comma 20 4" xfId="9024" xr:uid="{00000000-0005-0000-0000-00006F100000}"/>
    <cellStyle name="Comma 20 4 2" xfId="12518" xr:uid="{00000000-0005-0000-0000-000070100000}"/>
    <cellStyle name="Comma 20 4 2 2" xfId="12770" xr:uid="{00000000-0005-0000-0000-000071100000}"/>
    <cellStyle name="Comma 20 5" xfId="11043" xr:uid="{00000000-0005-0000-0000-000072100000}"/>
    <cellStyle name="Comma 21" xfId="632" xr:uid="{00000000-0005-0000-0000-000073100000}"/>
    <cellStyle name="Comma 21 2" xfId="633" xr:uid="{00000000-0005-0000-0000-000074100000}"/>
    <cellStyle name="Comma 22" xfId="634" xr:uid="{00000000-0005-0000-0000-000075100000}"/>
    <cellStyle name="Comma 22 18" xfId="635" xr:uid="{00000000-0005-0000-0000-000076100000}"/>
    <cellStyle name="Comma 22 18 2" xfId="636" xr:uid="{00000000-0005-0000-0000-000077100000}"/>
    <cellStyle name="Comma 22 18 2 2" xfId="637" xr:uid="{00000000-0005-0000-0000-000078100000}"/>
    <cellStyle name="Comma 22 18 2 3" xfId="638" xr:uid="{00000000-0005-0000-0000-000079100000}"/>
    <cellStyle name="Comma 22 18 2 4" xfId="639" xr:uid="{00000000-0005-0000-0000-00007A100000}"/>
    <cellStyle name="Comma 22 18 2 5" xfId="640" xr:uid="{00000000-0005-0000-0000-00007B100000}"/>
    <cellStyle name="Comma 22 18 2 6" xfId="641" xr:uid="{00000000-0005-0000-0000-00007C100000}"/>
    <cellStyle name="Comma 22 18 2 7" xfId="642" xr:uid="{00000000-0005-0000-0000-00007D100000}"/>
    <cellStyle name="Comma 22 18 3" xfId="643" xr:uid="{00000000-0005-0000-0000-00007E100000}"/>
    <cellStyle name="Comma 22 18 4" xfId="644" xr:uid="{00000000-0005-0000-0000-00007F100000}"/>
    <cellStyle name="Comma 22 18 5" xfId="645" xr:uid="{00000000-0005-0000-0000-000080100000}"/>
    <cellStyle name="Comma 22 18 6" xfId="646" xr:uid="{00000000-0005-0000-0000-000081100000}"/>
    <cellStyle name="Comma 22 18 7" xfId="647" xr:uid="{00000000-0005-0000-0000-000082100000}"/>
    <cellStyle name="Comma 22 18 8" xfId="648" xr:uid="{00000000-0005-0000-0000-000083100000}"/>
    <cellStyle name="Comma 22 18 9" xfId="649" xr:uid="{00000000-0005-0000-0000-000084100000}"/>
    <cellStyle name="Comma 22 2" xfId="650" xr:uid="{00000000-0005-0000-0000-000085100000}"/>
    <cellStyle name="Comma 22 2 10" xfId="8242" xr:uid="{00000000-0005-0000-0000-000086100000}"/>
    <cellStyle name="Comma 22 2 11" xfId="10272" xr:uid="{00000000-0005-0000-0000-000087100000}"/>
    <cellStyle name="Comma 22 2 2" xfId="1710" xr:uid="{00000000-0005-0000-0000-000088100000}"/>
    <cellStyle name="Comma 22 2 3" xfId="1725" xr:uid="{00000000-0005-0000-0000-000089100000}"/>
    <cellStyle name="Comma 22 2 4" xfId="1975" xr:uid="{00000000-0005-0000-0000-00008A100000}"/>
    <cellStyle name="Comma 22 2 5" xfId="2012" xr:uid="{00000000-0005-0000-0000-00008B100000}"/>
    <cellStyle name="Comma 22 2 6" xfId="2547" xr:uid="{00000000-0005-0000-0000-00008C100000}"/>
    <cellStyle name="Comma 22 2 7" xfId="2638" xr:uid="{00000000-0005-0000-0000-00008D100000}"/>
    <cellStyle name="Comma 22 2 8" xfId="3928" xr:uid="{00000000-0005-0000-0000-00008E100000}"/>
    <cellStyle name="Comma 22 2 9" xfId="3660" xr:uid="{00000000-0005-0000-0000-00008F100000}"/>
    <cellStyle name="Comma 22 3" xfId="6786" xr:uid="{00000000-0005-0000-0000-000090100000}"/>
    <cellStyle name="Comma 23" xfId="651" xr:uid="{00000000-0005-0000-0000-000091100000}"/>
    <cellStyle name="Comma 23 2" xfId="6787" xr:uid="{00000000-0005-0000-0000-000092100000}"/>
    <cellStyle name="Comma 24" xfId="652" xr:uid="{00000000-0005-0000-0000-000093100000}"/>
    <cellStyle name="Comma 24 2" xfId="6788" xr:uid="{00000000-0005-0000-0000-000094100000}"/>
    <cellStyle name="Comma 25" xfId="653" xr:uid="{00000000-0005-0000-0000-000095100000}"/>
    <cellStyle name="Comma 25 2" xfId="6789" xr:uid="{00000000-0005-0000-0000-000096100000}"/>
    <cellStyle name="Comma 25 3" xfId="13417" xr:uid="{00000000-0005-0000-0000-000097100000}"/>
    <cellStyle name="Comma 26" xfId="654" xr:uid="{00000000-0005-0000-0000-000098100000}"/>
    <cellStyle name="Comma 27" xfId="655" xr:uid="{00000000-0005-0000-0000-000099100000}"/>
    <cellStyle name="Comma 28" xfId="656" xr:uid="{00000000-0005-0000-0000-00009A100000}"/>
    <cellStyle name="Comma 28 2" xfId="13398" xr:uid="{00000000-0005-0000-0000-00009B100000}"/>
    <cellStyle name="Comma 29" xfId="657" xr:uid="{00000000-0005-0000-0000-00009C100000}"/>
    <cellStyle name="Comma 3" xfId="658" xr:uid="{00000000-0005-0000-0000-00009D100000}"/>
    <cellStyle name="Comma 3 10" xfId="659" xr:uid="{00000000-0005-0000-0000-00009E100000}"/>
    <cellStyle name="Comma 3 11" xfId="1618" xr:uid="{00000000-0005-0000-0000-00009F100000}"/>
    <cellStyle name="Comma 3 12" xfId="1838" xr:uid="{00000000-0005-0000-0000-0000A0100000}"/>
    <cellStyle name="Comma 3 13" xfId="1828" xr:uid="{00000000-0005-0000-0000-0000A1100000}"/>
    <cellStyle name="Comma 3 14" xfId="1814" xr:uid="{00000000-0005-0000-0000-0000A2100000}"/>
    <cellStyle name="Comma 3 15" xfId="1976" xr:uid="{00000000-0005-0000-0000-0000A3100000}"/>
    <cellStyle name="Comma 3 16" xfId="2148" xr:uid="{00000000-0005-0000-0000-0000A4100000}"/>
    <cellStyle name="Comma 3 17" xfId="2138" xr:uid="{00000000-0005-0000-0000-0000A5100000}"/>
    <cellStyle name="Comma 3 18" xfId="2011" xr:uid="{00000000-0005-0000-0000-0000A6100000}"/>
    <cellStyle name="Comma 3 19" xfId="2552" xr:uid="{00000000-0005-0000-0000-0000A7100000}"/>
    <cellStyle name="Comma 3 2" xfId="660" xr:uid="{00000000-0005-0000-0000-0000A8100000}"/>
    <cellStyle name="Comma 3 2 10" xfId="2010" xr:uid="{00000000-0005-0000-0000-0000A9100000}"/>
    <cellStyle name="Comma 3 2 10 2" xfId="2849" xr:uid="{00000000-0005-0000-0000-0000AA100000}"/>
    <cellStyle name="Comma 3 2 10 2 2" xfId="2975" xr:uid="{00000000-0005-0000-0000-0000AB100000}"/>
    <cellStyle name="Comma 3 2 10 2 2 2" xfId="5032" xr:uid="{00000000-0005-0000-0000-0000AC100000}"/>
    <cellStyle name="Comma 3 2 10 2 2 2 2" xfId="5156" xr:uid="{00000000-0005-0000-0000-0000AD100000}"/>
    <cellStyle name="Comma 3 2 10 2 2 2 3" xfId="6361" xr:uid="{00000000-0005-0000-0000-0000AE100000}"/>
    <cellStyle name="Comma 3 2 10 2 2 3" xfId="5639" xr:uid="{00000000-0005-0000-0000-0000AF100000}"/>
    <cellStyle name="Comma 3 2 10 2 2 4" xfId="6237" xr:uid="{00000000-0005-0000-0000-0000B0100000}"/>
    <cellStyle name="Comma 3 2 10 2 3" xfId="3944" xr:uid="{00000000-0005-0000-0000-0000B1100000}"/>
    <cellStyle name="Comma 3 2 10 2 3 2" xfId="5515" xr:uid="{00000000-0005-0000-0000-0000B2100000}"/>
    <cellStyle name="Comma 3 2 10 2 3 3" xfId="6670" xr:uid="{00000000-0005-0000-0000-0000B3100000}"/>
    <cellStyle name="Comma 3 2 10 2 4" xfId="3631" xr:uid="{00000000-0005-0000-0000-0000B4100000}"/>
    <cellStyle name="Comma 3 2 10 3" xfId="3157" xr:uid="{00000000-0005-0000-0000-0000B5100000}"/>
    <cellStyle name="Comma 3 2 10 4" xfId="3943" xr:uid="{00000000-0005-0000-0000-0000B6100000}"/>
    <cellStyle name="Comma 3 2 10 4 2" xfId="4677" xr:uid="{00000000-0005-0000-0000-0000B7100000}"/>
    <cellStyle name="Comma 3 2 10 4 3" xfId="5951" xr:uid="{00000000-0005-0000-0000-0000B8100000}"/>
    <cellStyle name="Comma 3 2 10 5" xfId="4510" xr:uid="{00000000-0005-0000-0000-0000B9100000}"/>
    <cellStyle name="Comma 3 2 10 6" xfId="3632" xr:uid="{00000000-0005-0000-0000-0000BA100000}"/>
    <cellStyle name="Comma 3 2 11" xfId="2558" xr:uid="{00000000-0005-0000-0000-0000BB100000}"/>
    <cellStyle name="Comma 3 2 12" xfId="2636" xr:uid="{00000000-0005-0000-0000-0000BC100000}"/>
    <cellStyle name="Comma 3 2 12 2" xfId="2854" xr:uid="{00000000-0005-0000-0000-0000BD100000}"/>
    <cellStyle name="Comma 3 2 12 2 2" xfId="4912" xr:uid="{00000000-0005-0000-0000-0000BE100000}"/>
    <cellStyle name="Comma 3 2 12 2 2 2" xfId="5037" xr:uid="{00000000-0005-0000-0000-0000BF100000}"/>
    <cellStyle name="Comma 3 2 12 2 2 3" xfId="6242" xr:uid="{00000000-0005-0000-0000-0000C0100000}"/>
    <cellStyle name="Comma 3 2 12 2 3" xfId="5520" xr:uid="{00000000-0005-0000-0000-0000C1100000}"/>
    <cellStyle name="Comma 3 2 12 2 4" xfId="6127" xr:uid="{00000000-0005-0000-0000-0000C2100000}"/>
    <cellStyle name="Comma 3 2 12 3" xfId="3946" xr:uid="{00000000-0005-0000-0000-0000C3100000}"/>
    <cellStyle name="Comma 3 2 12 3 2" xfId="5401" xr:uid="{00000000-0005-0000-0000-0000C4100000}"/>
    <cellStyle name="Comma 3 2 12 3 3" xfId="6601" xr:uid="{00000000-0005-0000-0000-0000C5100000}"/>
    <cellStyle name="Comma 3 2 12 4" xfId="3624" xr:uid="{00000000-0005-0000-0000-0000C6100000}"/>
    <cellStyle name="Comma 3 2 13" xfId="3942" xr:uid="{00000000-0005-0000-0000-0000C7100000}"/>
    <cellStyle name="Comma 3 2 13 2" xfId="4476" xr:uid="{00000000-0005-0000-0000-0000C8100000}"/>
    <cellStyle name="Comma 3 2 13 3" xfId="5849" xr:uid="{00000000-0005-0000-0000-0000C9100000}"/>
    <cellStyle name="Comma 3 2 14" xfId="4481" xr:uid="{00000000-0005-0000-0000-0000CA100000}"/>
    <cellStyle name="Comma 3 2 15" xfId="3633" xr:uid="{00000000-0005-0000-0000-0000CB100000}"/>
    <cellStyle name="Comma 3 2 16" xfId="9052" xr:uid="{00000000-0005-0000-0000-0000CC100000}"/>
    <cellStyle name="Comma 3 2 2" xfId="661" xr:uid="{00000000-0005-0000-0000-0000CD100000}"/>
    <cellStyle name="Comma 3 2 2 10" xfId="2009" xr:uid="{00000000-0005-0000-0000-0000CE100000}"/>
    <cellStyle name="Comma 3 2 2 10 2" xfId="2850" xr:uid="{00000000-0005-0000-0000-0000CF100000}"/>
    <cellStyle name="Comma 3 2 2 10 2 2" xfId="2974" xr:uid="{00000000-0005-0000-0000-0000D0100000}"/>
    <cellStyle name="Comma 3 2 2 10 2 2 2" xfId="5033" xr:uid="{00000000-0005-0000-0000-0000D1100000}"/>
    <cellStyle name="Comma 3 2 2 10 2 2 2 2" xfId="5155" xr:uid="{00000000-0005-0000-0000-0000D2100000}"/>
    <cellStyle name="Comma 3 2 2 10 2 2 2 3" xfId="6360" xr:uid="{00000000-0005-0000-0000-0000D3100000}"/>
    <cellStyle name="Comma 3 2 2 10 2 2 3" xfId="5638" xr:uid="{00000000-0005-0000-0000-0000D4100000}"/>
    <cellStyle name="Comma 3 2 2 10 2 2 4" xfId="6238" xr:uid="{00000000-0005-0000-0000-0000D5100000}"/>
    <cellStyle name="Comma 3 2 2 10 2 3" xfId="3949" xr:uid="{00000000-0005-0000-0000-0000D6100000}"/>
    <cellStyle name="Comma 3 2 2 10 2 3 2" xfId="5516" xr:uid="{00000000-0005-0000-0000-0000D7100000}"/>
    <cellStyle name="Comma 3 2 2 10 2 3 3" xfId="6671" xr:uid="{00000000-0005-0000-0000-0000D8100000}"/>
    <cellStyle name="Comma 3 2 2 10 2 4" xfId="3620" xr:uid="{00000000-0005-0000-0000-0000D9100000}"/>
    <cellStyle name="Comma 3 2 2 10 3" xfId="3156" xr:uid="{00000000-0005-0000-0000-0000DA100000}"/>
    <cellStyle name="Comma 3 2 2 10 4" xfId="3948" xr:uid="{00000000-0005-0000-0000-0000DB100000}"/>
    <cellStyle name="Comma 3 2 2 10 4 2" xfId="4676" xr:uid="{00000000-0005-0000-0000-0000DC100000}"/>
    <cellStyle name="Comma 3 2 2 10 4 3" xfId="5950" xr:uid="{00000000-0005-0000-0000-0000DD100000}"/>
    <cellStyle name="Comma 3 2 2 10 5" xfId="4541" xr:uid="{00000000-0005-0000-0000-0000DE100000}"/>
    <cellStyle name="Comma 3 2 2 10 6" xfId="3621" xr:uid="{00000000-0005-0000-0000-0000DF100000}"/>
    <cellStyle name="Comma 3 2 2 11" xfId="2559" xr:uid="{00000000-0005-0000-0000-0000E0100000}"/>
    <cellStyle name="Comma 3 2 2 12" xfId="2635" xr:uid="{00000000-0005-0000-0000-0000E1100000}"/>
    <cellStyle name="Comma 3 2 2 12 2" xfId="2853" xr:uid="{00000000-0005-0000-0000-0000E2100000}"/>
    <cellStyle name="Comma 3 2 2 12 2 2" xfId="4911" xr:uid="{00000000-0005-0000-0000-0000E3100000}"/>
    <cellStyle name="Comma 3 2 2 12 2 2 2" xfId="5036" xr:uid="{00000000-0005-0000-0000-0000E4100000}"/>
    <cellStyle name="Comma 3 2 2 12 2 2 3" xfId="6241" xr:uid="{00000000-0005-0000-0000-0000E5100000}"/>
    <cellStyle name="Comma 3 2 2 12 2 3" xfId="5519" xr:uid="{00000000-0005-0000-0000-0000E6100000}"/>
    <cellStyle name="Comma 3 2 2 12 2 4" xfId="6126" xr:uid="{00000000-0005-0000-0000-0000E7100000}"/>
    <cellStyle name="Comma 3 2 2 12 3" xfId="3950" xr:uid="{00000000-0005-0000-0000-0000E8100000}"/>
    <cellStyle name="Comma 3 2 2 12 3 2" xfId="5400" xr:uid="{00000000-0005-0000-0000-0000E9100000}"/>
    <cellStyle name="Comma 3 2 2 12 3 3" xfId="6600" xr:uid="{00000000-0005-0000-0000-0000EA100000}"/>
    <cellStyle name="Comma 3 2 2 12 4" xfId="3613" xr:uid="{00000000-0005-0000-0000-0000EB100000}"/>
    <cellStyle name="Comma 3 2 2 13" xfId="3947" xr:uid="{00000000-0005-0000-0000-0000EC100000}"/>
    <cellStyle name="Comma 3 2 2 13 2" xfId="4477" xr:uid="{00000000-0005-0000-0000-0000ED100000}"/>
    <cellStyle name="Comma 3 2 2 13 3" xfId="5850" xr:uid="{00000000-0005-0000-0000-0000EE100000}"/>
    <cellStyle name="Comma 3 2 2 14" xfId="4480" xr:uid="{00000000-0005-0000-0000-0000EF100000}"/>
    <cellStyle name="Comma 3 2 2 15" xfId="3622" xr:uid="{00000000-0005-0000-0000-0000F0100000}"/>
    <cellStyle name="Comma 3 2 2 16" xfId="9053" xr:uid="{00000000-0005-0000-0000-0000F1100000}"/>
    <cellStyle name="Comma 3 2 2 2" xfId="662" xr:uid="{00000000-0005-0000-0000-0000F2100000}"/>
    <cellStyle name="Comma 3 2 2 2 10" xfId="2008" xr:uid="{00000000-0005-0000-0000-0000F3100000}"/>
    <cellStyle name="Comma 3 2 2 2 10 2" xfId="2851" xr:uid="{00000000-0005-0000-0000-0000F4100000}"/>
    <cellStyle name="Comma 3 2 2 2 10 2 2" xfId="2973" xr:uid="{00000000-0005-0000-0000-0000F5100000}"/>
    <cellStyle name="Comma 3 2 2 2 10 2 2 2" xfId="5034" xr:uid="{00000000-0005-0000-0000-0000F6100000}"/>
    <cellStyle name="Comma 3 2 2 2 10 2 2 2 2" xfId="5154" xr:uid="{00000000-0005-0000-0000-0000F7100000}"/>
    <cellStyle name="Comma 3 2 2 2 10 2 2 2 3" xfId="6359" xr:uid="{00000000-0005-0000-0000-0000F8100000}"/>
    <cellStyle name="Comma 3 2 2 2 10 2 2 3" xfId="5637" xr:uid="{00000000-0005-0000-0000-0000F9100000}"/>
    <cellStyle name="Comma 3 2 2 2 10 2 2 4" xfId="6239" xr:uid="{00000000-0005-0000-0000-0000FA100000}"/>
    <cellStyle name="Comma 3 2 2 2 10 2 3" xfId="3953" xr:uid="{00000000-0005-0000-0000-0000FB100000}"/>
    <cellStyle name="Comma 3 2 2 2 10 2 3 2" xfId="5517" xr:uid="{00000000-0005-0000-0000-0000FC100000}"/>
    <cellStyle name="Comma 3 2 2 2 10 2 3 3" xfId="6672" xr:uid="{00000000-0005-0000-0000-0000FD100000}"/>
    <cellStyle name="Comma 3 2 2 2 10 2 4" xfId="3609" xr:uid="{00000000-0005-0000-0000-0000FE100000}"/>
    <cellStyle name="Comma 3 2 2 2 10 3" xfId="3155" xr:uid="{00000000-0005-0000-0000-0000FF100000}"/>
    <cellStyle name="Comma 3 2 2 2 10 4" xfId="3952" xr:uid="{00000000-0005-0000-0000-000000110000}"/>
    <cellStyle name="Comma 3 2 2 2 10 4 2" xfId="4675" xr:uid="{00000000-0005-0000-0000-000001110000}"/>
    <cellStyle name="Comma 3 2 2 2 10 4 3" xfId="5949" xr:uid="{00000000-0005-0000-0000-000002110000}"/>
    <cellStyle name="Comma 3 2 2 2 10 5" xfId="4618" xr:uid="{00000000-0005-0000-0000-000003110000}"/>
    <cellStyle name="Comma 3 2 2 2 10 6" xfId="3610" xr:uid="{00000000-0005-0000-0000-000004110000}"/>
    <cellStyle name="Comma 3 2 2 2 11" xfId="2560" xr:uid="{00000000-0005-0000-0000-000005110000}"/>
    <cellStyle name="Comma 3 2 2 2 12" xfId="2634" xr:uid="{00000000-0005-0000-0000-000006110000}"/>
    <cellStyle name="Comma 3 2 2 2 12 2" xfId="2852" xr:uid="{00000000-0005-0000-0000-000007110000}"/>
    <cellStyle name="Comma 3 2 2 2 12 2 2" xfId="4910" xr:uid="{00000000-0005-0000-0000-000008110000}"/>
    <cellStyle name="Comma 3 2 2 2 12 2 2 2" xfId="5035" xr:uid="{00000000-0005-0000-0000-000009110000}"/>
    <cellStyle name="Comma 3 2 2 2 12 2 2 3" xfId="6240" xr:uid="{00000000-0005-0000-0000-00000A110000}"/>
    <cellStyle name="Comma 3 2 2 2 12 2 3" xfId="5518" xr:uid="{00000000-0005-0000-0000-00000B110000}"/>
    <cellStyle name="Comma 3 2 2 2 12 2 4" xfId="6125" xr:uid="{00000000-0005-0000-0000-00000C110000}"/>
    <cellStyle name="Comma 3 2 2 2 12 3" xfId="3955" xr:uid="{00000000-0005-0000-0000-00000D110000}"/>
    <cellStyle name="Comma 3 2 2 2 12 3 2" xfId="5399" xr:uid="{00000000-0005-0000-0000-00000E110000}"/>
    <cellStyle name="Comma 3 2 2 2 12 3 3" xfId="6599" xr:uid="{00000000-0005-0000-0000-00000F110000}"/>
    <cellStyle name="Comma 3 2 2 2 12 4" xfId="3601" xr:uid="{00000000-0005-0000-0000-000010110000}"/>
    <cellStyle name="Comma 3 2 2 2 13" xfId="3951" xr:uid="{00000000-0005-0000-0000-000011110000}"/>
    <cellStyle name="Comma 3 2 2 2 13 2" xfId="4478" xr:uid="{00000000-0005-0000-0000-000012110000}"/>
    <cellStyle name="Comma 3 2 2 2 13 3" xfId="5851" xr:uid="{00000000-0005-0000-0000-000013110000}"/>
    <cellStyle name="Comma 3 2 2 2 14" xfId="4479" xr:uid="{00000000-0005-0000-0000-000014110000}"/>
    <cellStyle name="Comma 3 2 2 2 15" xfId="3612" xr:uid="{00000000-0005-0000-0000-000015110000}"/>
    <cellStyle name="Comma 3 2 2 2 16" xfId="9054" xr:uid="{00000000-0005-0000-0000-000016110000}"/>
    <cellStyle name="Comma 3 2 2 2 2" xfId="1713" xr:uid="{00000000-0005-0000-0000-000017110000}"/>
    <cellStyle name="Comma 3 2 2 2 2 10" xfId="4464" xr:uid="{00000000-0005-0000-0000-000018110000}"/>
    <cellStyle name="Comma 3 2 2 2 2 11" xfId="3600" xr:uid="{00000000-0005-0000-0000-000019110000}"/>
    <cellStyle name="Comma 3 2 2 2 2 12" xfId="9055" xr:uid="{00000000-0005-0000-0000-00001A110000}"/>
    <cellStyle name="Comma 3 2 2 2 2 2" xfId="1714" xr:uid="{00000000-0005-0000-0000-00001B110000}"/>
    <cellStyle name="Comma 3 2 2 2 2 2 10" xfId="4463" xr:uid="{00000000-0005-0000-0000-00001C110000}"/>
    <cellStyle name="Comma 3 2 2 2 2 2 11" xfId="3599" xr:uid="{00000000-0005-0000-0000-00001D110000}"/>
    <cellStyle name="Comma 3 2 2 2 2 2 12" xfId="9056" xr:uid="{00000000-0005-0000-0000-00001E110000}"/>
    <cellStyle name="Comma 3 2 2 2 2 2 2" xfId="1867" xr:uid="{00000000-0005-0000-0000-00001F110000}"/>
    <cellStyle name="Comma 3 2 2 2 2 2 2 10" xfId="3596" xr:uid="{00000000-0005-0000-0000-000020110000}"/>
    <cellStyle name="Comma 3 2 2 2 2 2 2 11" xfId="9057" xr:uid="{00000000-0005-0000-0000-000021110000}"/>
    <cellStyle name="Comma 3 2 2 2 2 2 2 2" xfId="1868" xr:uid="{00000000-0005-0000-0000-000022110000}"/>
    <cellStyle name="Comma 3 2 2 2 2 2 2 2 10" xfId="3595" xr:uid="{00000000-0005-0000-0000-000023110000}"/>
    <cellStyle name="Comma 3 2 2 2 2 2 2 2 2" xfId="2215" xr:uid="{00000000-0005-0000-0000-000024110000}"/>
    <cellStyle name="Comma 3 2 2 2 2 2 2 2 2 2" xfId="2216" xr:uid="{00000000-0005-0000-0000-000025110000}"/>
    <cellStyle name="Comma 3 2 2 2 2 2 2 2 2 2 2" xfId="3053" xr:uid="{00000000-0005-0000-0000-000026110000}"/>
    <cellStyle name="Comma 3 2 2 2 2 2 2 2 2 2 2 2" xfId="3054" xr:uid="{00000000-0005-0000-0000-000027110000}"/>
    <cellStyle name="Comma 3 2 2 2 2 2 2 2 2 2 2 2 2" xfId="5233" xr:uid="{00000000-0005-0000-0000-000028110000}"/>
    <cellStyle name="Comma 3 2 2 2 2 2 2 2 2 2 2 2 2 2" xfId="5234" xr:uid="{00000000-0005-0000-0000-000029110000}"/>
    <cellStyle name="Comma 3 2 2 2 2 2 2 2 2 2 2 2 2 3" xfId="6439" xr:uid="{00000000-0005-0000-0000-00002A110000}"/>
    <cellStyle name="Comma 3 2 2 2 2 2 2 2 2 2 2 2 3" xfId="5717" xr:uid="{00000000-0005-0000-0000-00002B110000}"/>
    <cellStyle name="Comma 3 2 2 2 2 2 2 2 2 2 2 2 4" xfId="6438" xr:uid="{00000000-0005-0000-0000-00002C110000}"/>
    <cellStyle name="Comma 3 2 2 2 2 2 2 2 2 2 2 3" xfId="3962" xr:uid="{00000000-0005-0000-0000-00002D110000}"/>
    <cellStyle name="Comma 3 2 2 2 2 2 2 2 2 2 2 3 2" xfId="5716" xr:uid="{00000000-0005-0000-0000-00002E110000}"/>
    <cellStyle name="Comma 3 2 2 2 2 2 2 2 2 2 2 3 3" xfId="6779" xr:uid="{00000000-0005-0000-0000-00002F110000}"/>
    <cellStyle name="Comma 3 2 2 2 2 2 2 2 2 2 2 4" xfId="3589" xr:uid="{00000000-0005-0000-0000-000030110000}"/>
    <cellStyle name="Comma 3 2 2 2 2 2 2 2 2 2 3" xfId="3236" xr:uid="{00000000-0005-0000-0000-000031110000}"/>
    <cellStyle name="Comma 3 2 2 2 2 2 2 2 2 2 4" xfId="3961" xr:uid="{00000000-0005-0000-0000-000032110000}"/>
    <cellStyle name="Comma 3 2 2 2 2 2 2 2 2 2 4 2" xfId="4783" xr:uid="{00000000-0005-0000-0000-000033110000}"/>
    <cellStyle name="Comma 3 2 2 2 2 2 2 2 2 2 4 3" xfId="6028" xr:uid="{00000000-0005-0000-0000-000034110000}"/>
    <cellStyle name="Comma 3 2 2 2 2 2 2 2 2 2 5" xfId="4605" xr:uid="{00000000-0005-0000-0000-000035110000}"/>
    <cellStyle name="Comma 3 2 2 2 2 2 2 2 2 2 6" xfId="3591" xr:uid="{00000000-0005-0000-0000-000036110000}"/>
    <cellStyle name="Comma 3 2 2 2 2 2 2 2 2 3" xfId="2365" xr:uid="{00000000-0005-0000-0000-000037110000}"/>
    <cellStyle name="Comma 3 2 2 2 2 2 2 2 2 4" xfId="2565" xr:uid="{00000000-0005-0000-0000-000038110000}"/>
    <cellStyle name="Comma 3 2 2 2 2 2 2 2 2 5" xfId="2629" xr:uid="{00000000-0005-0000-0000-000039110000}"/>
    <cellStyle name="Comma 3 2 2 2 2 2 2 2 2 5 2" xfId="3235" xr:uid="{00000000-0005-0000-0000-00003A110000}"/>
    <cellStyle name="Comma 3 2 2 2 2 2 2 2 2 5 2 2" xfId="4905" xr:uid="{00000000-0005-0000-0000-00003B110000}"/>
    <cellStyle name="Comma 3 2 2 2 2 2 2 2 2 5 2 2 2" xfId="5344" xr:uid="{00000000-0005-0000-0000-00003C110000}"/>
    <cellStyle name="Comma 3 2 2 2 2 2 2 2 2 5 2 2 3" xfId="6549" xr:uid="{00000000-0005-0000-0000-00003D110000}"/>
    <cellStyle name="Comma 3 2 2 2 2 2 2 2 2 5 2 3" xfId="5827" xr:uid="{00000000-0005-0000-0000-00003E110000}"/>
    <cellStyle name="Comma 3 2 2 2 2 2 2 2 2 5 2 4" xfId="6120" xr:uid="{00000000-0005-0000-0000-00003F110000}"/>
    <cellStyle name="Comma 3 2 2 2 2 2 2 2 2 5 3" xfId="3966" xr:uid="{00000000-0005-0000-0000-000040110000}"/>
    <cellStyle name="Comma 3 2 2 2 2 2 2 2 2 5 3 2" xfId="5394" xr:uid="{00000000-0005-0000-0000-000041110000}"/>
    <cellStyle name="Comma 3 2 2 2 2 2 2 2 2 5 3 3" xfId="6594" xr:uid="{00000000-0005-0000-0000-000042110000}"/>
    <cellStyle name="Comma 3 2 2 2 2 2 2 2 2 5 4" xfId="3584" xr:uid="{00000000-0005-0000-0000-000043110000}"/>
    <cellStyle name="Comma 3 2 2 2 2 2 2 2 2 6" xfId="3960" xr:uid="{00000000-0005-0000-0000-000044110000}"/>
    <cellStyle name="Comma 3 2 2 2 2 2 2 2 2 6 2" xfId="4782" xr:uid="{00000000-0005-0000-0000-000045110000}"/>
    <cellStyle name="Comma 3 2 2 2 2 2 2 2 2 6 3" xfId="6027" xr:uid="{00000000-0005-0000-0000-000046110000}"/>
    <cellStyle name="Comma 3 2 2 2 2 2 2 2 2 7" xfId="4718" xr:uid="{00000000-0005-0000-0000-000047110000}"/>
    <cellStyle name="Comma 3 2 2 2 2 2 2 2 2 8" xfId="3592" xr:uid="{00000000-0005-0000-0000-000048110000}"/>
    <cellStyle name="Comma 3 2 2 2 2 2 2 2 3" xfId="2268" xr:uid="{00000000-0005-0000-0000-000049110000}"/>
    <cellStyle name="Comma 3 2 2 2 2 2 2 2 4" xfId="2303" xr:uid="{00000000-0005-0000-0000-00004A110000}"/>
    <cellStyle name="Comma 3 2 2 2 2 2 2 2 5" xfId="2364" xr:uid="{00000000-0005-0000-0000-00004B110000}"/>
    <cellStyle name="Comma 3 2 2 2 2 2 2 2 5 2" xfId="2918" xr:uid="{00000000-0005-0000-0000-00004C110000}"/>
    <cellStyle name="Comma 3 2 2 2 2 2 2 2 5 2 2" xfId="3101" xr:uid="{00000000-0005-0000-0000-00004D110000}"/>
    <cellStyle name="Comma 3 2 2 2 2 2 2 2 5 2 2 2" xfId="5099" xr:uid="{00000000-0005-0000-0000-00004E110000}"/>
    <cellStyle name="Comma 3 2 2 2 2 2 2 2 5 2 2 2 2" xfId="5281" xr:uid="{00000000-0005-0000-0000-00004F110000}"/>
    <cellStyle name="Comma 3 2 2 2 2 2 2 2 5 2 2 2 3" xfId="6486" xr:uid="{00000000-0005-0000-0000-000050110000}"/>
    <cellStyle name="Comma 3 2 2 2 2 2 2 2 5 2 2 3" xfId="5764" xr:uid="{00000000-0005-0000-0000-000051110000}"/>
    <cellStyle name="Comma 3 2 2 2 2 2 2 2 5 2 2 4" xfId="6304" xr:uid="{00000000-0005-0000-0000-000052110000}"/>
    <cellStyle name="Comma 3 2 2 2 2 2 2 2 5 2 3" xfId="3968" xr:uid="{00000000-0005-0000-0000-000053110000}"/>
    <cellStyle name="Comma 3 2 2 2 2 2 2 2 5 2 3 2" xfId="5582" xr:uid="{00000000-0005-0000-0000-000054110000}"/>
    <cellStyle name="Comma 3 2 2 2 2 2 2 2 5 2 3 3" xfId="6716" xr:uid="{00000000-0005-0000-0000-000055110000}"/>
    <cellStyle name="Comma 3 2 2 2 2 2 2 2 5 2 4" xfId="3579" xr:uid="{00000000-0005-0000-0000-000056110000}"/>
    <cellStyle name="Comma 3 2 2 2 2 2 2 2 5 3" xfId="3283" xr:uid="{00000000-0005-0000-0000-000057110000}"/>
    <cellStyle name="Comma 3 2 2 2 2 2 2 2 5 4" xfId="3967" xr:uid="{00000000-0005-0000-0000-000058110000}"/>
    <cellStyle name="Comma 3 2 2 2 2 2 2 2 5 4 2" xfId="4831" xr:uid="{00000000-0005-0000-0000-000059110000}"/>
    <cellStyle name="Comma 3 2 2 2 2 2 2 2 5 4 3" xfId="6076" xr:uid="{00000000-0005-0000-0000-00005A110000}"/>
    <cellStyle name="Comma 3 2 2 2 2 2 2 2 5 5" xfId="4832" xr:uid="{00000000-0005-0000-0000-00005B110000}"/>
    <cellStyle name="Comma 3 2 2 2 2 2 2 2 5 6" xfId="3580" xr:uid="{00000000-0005-0000-0000-00005C110000}"/>
    <cellStyle name="Comma 3 2 2 2 2 2 2 2 6" xfId="2564" xr:uid="{00000000-0005-0000-0000-00005D110000}"/>
    <cellStyle name="Comma 3 2 2 2 2 2 2 2 7" xfId="2630" xr:uid="{00000000-0005-0000-0000-00005E110000}"/>
    <cellStyle name="Comma 3 2 2 2 2 2 2 2 7 2" xfId="2811" xr:uid="{00000000-0005-0000-0000-00005F110000}"/>
    <cellStyle name="Comma 3 2 2 2 2 2 2 2 7 2 2" xfId="4906" xr:uid="{00000000-0005-0000-0000-000060110000}"/>
    <cellStyle name="Comma 3 2 2 2 2 2 2 2 7 2 2 2" xfId="4996" xr:uid="{00000000-0005-0000-0000-000061110000}"/>
    <cellStyle name="Comma 3 2 2 2 2 2 2 2 7 2 2 3" xfId="6201" xr:uid="{00000000-0005-0000-0000-000062110000}"/>
    <cellStyle name="Comma 3 2 2 2 2 2 2 2 7 2 3" xfId="5479" xr:uid="{00000000-0005-0000-0000-000063110000}"/>
    <cellStyle name="Comma 3 2 2 2 2 2 2 2 7 2 4" xfId="6121" xr:uid="{00000000-0005-0000-0000-000064110000}"/>
    <cellStyle name="Comma 3 2 2 2 2 2 2 2 7 3" xfId="3971" xr:uid="{00000000-0005-0000-0000-000065110000}"/>
    <cellStyle name="Comma 3 2 2 2 2 2 2 2 7 3 2" xfId="5395" xr:uid="{00000000-0005-0000-0000-000066110000}"/>
    <cellStyle name="Comma 3 2 2 2 2 2 2 2 7 3 3" xfId="6595" xr:uid="{00000000-0005-0000-0000-000067110000}"/>
    <cellStyle name="Comma 3 2 2 2 2 2 2 2 7 4" xfId="3572" xr:uid="{00000000-0005-0000-0000-000068110000}"/>
    <cellStyle name="Comma 3 2 2 2 2 2 2 2 8" xfId="3959" xr:uid="{00000000-0005-0000-0000-000069110000}"/>
    <cellStyle name="Comma 3 2 2 2 2 2 2 2 8 2" xfId="4591" xr:uid="{00000000-0005-0000-0000-00006A110000}"/>
    <cellStyle name="Comma 3 2 2 2 2 2 2 2 8 3" xfId="5895" xr:uid="{00000000-0005-0000-0000-00006B110000}"/>
    <cellStyle name="Comma 3 2 2 2 2 2 2 2 9" xfId="4426" xr:uid="{00000000-0005-0000-0000-00006C110000}"/>
    <cellStyle name="Comma 3 2 2 2 2 2 2 3" xfId="1982" xr:uid="{00000000-0005-0000-0000-00006D110000}"/>
    <cellStyle name="Comma 3 2 2 2 2 2 2 3 2" xfId="2267" xr:uid="{00000000-0005-0000-0000-00006E110000}"/>
    <cellStyle name="Comma 3 2 2 2 2 2 2 3 2 2" xfId="2951" xr:uid="{00000000-0005-0000-0000-00006F110000}"/>
    <cellStyle name="Comma 3 2 2 2 2 2 2 3 2 2 2" xfId="3078" xr:uid="{00000000-0005-0000-0000-000070110000}"/>
    <cellStyle name="Comma 3 2 2 2 2 2 2 3 2 2 2 2" xfId="5132" xr:uid="{00000000-0005-0000-0000-000071110000}"/>
    <cellStyle name="Comma 3 2 2 2 2 2 2 3 2 2 2 2 2" xfId="5258" xr:uid="{00000000-0005-0000-0000-000072110000}"/>
    <cellStyle name="Comma 3 2 2 2 2 2 2 3 2 2 2 2 3" xfId="6463" xr:uid="{00000000-0005-0000-0000-000073110000}"/>
    <cellStyle name="Comma 3 2 2 2 2 2 2 3 2 2 2 3" xfId="5741" xr:uid="{00000000-0005-0000-0000-000074110000}"/>
    <cellStyle name="Comma 3 2 2 2 2 2 2 3 2 2 2 4" xfId="6337" xr:uid="{00000000-0005-0000-0000-000075110000}"/>
    <cellStyle name="Comma 3 2 2 2 2 2 2 3 2 2 3" xfId="3974" xr:uid="{00000000-0005-0000-0000-000076110000}"/>
    <cellStyle name="Comma 3 2 2 2 2 2 2 3 2 2 3 2" xfId="5615" xr:uid="{00000000-0005-0000-0000-000077110000}"/>
    <cellStyle name="Comma 3 2 2 2 2 2 2 3 2 2 3 3" xfId="6748" xr:uid="{00000000-0005-0000-0000-000078110000}"/>
    <cellStyle name="Comma 3 2 2 2 2 2 2 3 2 2 4" xfId="3568" xr:uid="{00000000-0005-0000-0000-000079110000}"/>
    <cellStyle name="Comma 3 2 2 2 2 2 2 3 2 3" xfId="3260" xr:uid="{00000000-0005-0000-0000-00007A110000}"/>
    <cellStyle name="Comma 3 2 2 2 2 2 2 3 2 4" xfId="3973" xr:uid="{00000000-0005-0000-0000-00007B110000}"/>
    <cellStyle name="Comma 3 2 2 2 2 2 2 3 2 4 2" xfId="4807" xr:uid="{00000000-0005-0000-0000-00007C110000}"/>
    <cellStyle name="Comma 3 2 2 2 2 2 2 3 2 4 3" xfId="6052" xr:uid="{00000000-0005-0000-0000-00007D110000}"/>
    <cellStyle name="Comma 3 2 2 2 2 2 2 3 2 5" xfId="4384" xr:uid="{00000000-0005-0000-0000-00007E110000}"/>
    <cellStyle name="Comma 3 2 2 2 2 2 2 3 2 6" xfId="3569" xr:uid="{00000000-0005-0000-0000-00007F110000}"/>
    <cellStyle name="Comma 3 2 2 2 2 2 2 3 3" xfId="2387" xr:uid="{00000000-0005-0000-0000-000080110000}"/>
    <cellStyle name="Comma 3 2 2 2 2 2 2 3 4" xfId="2566" xr:uid="{00000000-0005-0000-0000-000081110000}"/>
    <cellStyle name="Comma 3 2 2 2 2 2 2 3 5" xfId="2628" xr:uid="{00000000-0005-0000-0000-000082110000}"/>
    <cellStyle name="Comma 3 2 2 2 2 2 2 3 5 2" xfId="3133" xr:uid="{00000000-0005-0000-0000-000083110000}"/>
    <cellStyle name="Comma 3 2 2 2 2 2 2 3 5 2 2" xfId="4904" xr:uid="{00000000-0005-0000-0000-000084110000}"/>
    <cellStyle name="Comma 3 2 2 2 2 2 2 3 5 2 2 2" xfId="5312" xr:uid="{00000000-0005-0000-0000-000085110000}"/>
    <cellStyle name="Comma 3 2 2 2 2 2 2 3 5 2 2 3" xfId="6517" xr:uid="{00000000-0005-0000-0000-000086110000}"/>
    <cellStyle name="Comma 3 2 2 2 2 2 2 3 5 2 3" xfId="5795" xr:uid="{00000000-0005-0000-0000-000087110000}"/>
    <cellStyle name="Comma 3 2 2 2 2 2 2 3 5 2 4" xfId="6119" xr:uid="{00000000-0005-0000-0000-000088110000}"/>
    <cellStyle name="Comma 3 2 2 2 2 2 2 3 5 3" xfId="3976" xr:uid="{00000000-0005-0000-0000-000089110000}"/>
    <cellStyle name="Comma 3 2 2 2 2 2 2 3 5 3 2" xfId="5393" xr:uid="{00000000-0005-0000-0000-00008A110000}"/>
    <cellStyle name="Comma 3 2 2 2 2 2 2 3 5 3 3" xfId="6593" xr:uid="{00000000-0005-0000-0000-00008B110000}"/>
    <cellStyle name="Comma 3 2 2 2 2 2 2 3 5 4" xfId="3563" xr:uid="{00000000-0005-0000-0000-00008C110000}"/>
    <cellStyle name="Comma 3 2 2 2 2 2 2 3 6" xfId="3972" xr:uid="{00000000-0005-0000-0000-00008D110000}"/>
    <cellStyle name="Comma 3 2 2 2 2 2 2 3 6 2" xfId="4653" xr:uid="{00000000-0005-0000-0000-00008E110000}"/>
    <cellStyle name="Comma 3 2 2 2 2 2 2 3 6 3" xfId="5927" xr:uid="{00000000-0005-0000-0000-00008F110000}"/>
    <cellStyle name="Comma 3 2 2 2 2 2 2 3 7" xfId="4703" xr:uid="{00000000-0005-0000-0000-000090110000}"/>
    <cellStyle name="Comma 3 2 2 2 2 2 2 3 8" xfId="3571" xr:uid="{00000000-0005-0000-0000-000091110000}"/>
    <cellStyle name="Comma 3 2 2 2 2 2 2 4" xfId="2302" xr:uid="{00000000-0005-0000-0000-000092110000}"/>
    <cellStyle name="Comma 3 2 2 2 2 2 2 5" xfId="2005" xr:uid="{00000000-0005-0000-0000-000093110000}"/>
    <cellStyle name="Comma 3 2 2 2 2 2 2 5 2" xfId="2917" xr:uid="{00000000-0005-0000-0000-000094110000}"/>
    <cellStyle name="Comma 3 2 2 2 2 2 2 5 2 2" xfId="2970" xr:uid="{00000000-0005-0000-0000-000095110000}"/>
    <cellStyle name="Comma 3 2 2 2 2 2 2 5 2 2 2" xfId="5098" xr:uid="{00000000-0005-0000-0000-000096110000}"/>
    <cellStyle name="Comma 3 2 2 2 2 2 2 5 2 2 2 2" xfId="5151" xr:uid="{00000000-0005-0000-0000-000097110000}"/>
    <cellStyle name="Comma 3 2 2 2 2 2 2 5 2 2 2 3" xfId="6356" xr:uid="{00000000-0005-0000-0000-000098110000}"/>
    <cellStyle name="Comma 3 2 2 2 2 2 2 5 2 2 3" xfId="5634" xr:uid="{00000000-0005-0000-0000-000099110000}"/>
    <cellStyle name="Comma 3 2 2 2 2 2 2 5 2 2 4" xfId="6303" xr:uid="{00000000-0005-0000-0000-00009A110000}"/>
    <cellStyle name="Comma 3 2 2 2 2 2 2 5 2 3" xfId="3978" xr:uid="{00000000-0005-0000-0000-00009B110000}"/>
    <cellStyle name="Comma 3 2 2 2 2 2 2 5 2 3 2" xfId="5581" xr:uid="{00000000-0005-0000-0000-00009C110000}"/>
    <cellStyle name="Comma 3 2 2 2 2 2 2 5 2 3 3" xfId="6715" xr:uid="{00000000-0005-0000-0000-00009D110000}"/>
    <cellStyle name="Comma 3 2 2 2 2 2 2 5 2 4" xfId="3561" xr:uid="{00000000-0005-0000-0000-00009E110000}"/>
    <cellStyle name="Comma 3 2 2 2 2 2 2 5 3" xfId="3152" xr:uid="{00000000-0005-0000-0000-00009F110000}"/>
    <cellStyle name="Comma 3 2 2 2 2 2 2 5 4" xfId="3977" xr:uid="{00000000-0005-0000-0000-0000A0110000}"/>
    <cellStyle name="Comma 3 2 2 2 2 2 2 5 4 2" xfId="4672" xr:uid="{00000000-0005-0000-0000-0000A1110000}"/>
    <cellStyle name="Comma 3 2 2 2 2 2 2 5 4 3" xfId="5946" xr:uid="{00000000-0005-0000-0000-0000A2110000}"/>
    <cellStyle name="Comma 3 2 2 2 2 2 2 5 5" xfId="4408" xr:uid="{00000000-0005-0000-0000-0000A3110000}"/>
    <cellStyle name="Comma 3 2 2 2 2 2 2 5 6" xfId="3562" xr:uid="{00000000-0005-0000-0000-0000A4110000}"/>
    <cellStyle name="Comma 3 2 2 2 2 2 2 6" xfId="2563" xr:uid="{00000000-0005-0000-0000-0000A5110000}"/>
    <cellStyle name="Comma 3 2 2 2 2 2 2 7" xfId="2631" xr:uid="{00000000-0005-0000-0000-0000A6110000}"/>
    <cellStyle name="Comma 3 2 2 2 2 2 2 7 2" xfId="2812" xr:uid="{00000000-0005-0000-0000-0000A7110000}"/>
    <cellStyle name="Comma 3 2 2 2 2 2 2 7 2 2" xfId="4907" xr:uid="{00000000-0005-0000-0000-0000A8110000}"/>
    <cellStyle name="Comma 3 2 2 2 2 2 2 7 2 2 2" xfId="4997" xr:uid="{00000000-0005-0000-0000-0000A9110000}"/>
    <cellStyle name="Comma 3 2 2 2 2 2 2 7 2 2 3" xfId="6202" xr:uid="{00000000-0005-0000-0000-0000AA110000}"/>
    <cellStyle name="Comma 3 2 2 2 2 2 2 7 2 3" xfId="5480" xr:uid="{00000000-0005-0000-0000-0000AB110000}"/>
    <cellStyle name="Comma 3 2 2 2 2 2 2 7 2 4" xfId="6122" xr:uid="{00000000-0005-0000-0000-0000AC110000}"/>
    <cellStyle name="Comma 3 2 2 2 2 2 2 7 3" xfId="3980" xr:uid="{00000000-0005-0000-0000-0000AD110000}"/>
    <cellStyle name="Comma 3 2 2 2 2 2 2 7 3 2" xfId="5396" xr:uid="{00000000-0005-0000-0000-0000AE110000}"/>
    <cellStyle name="Comma 3 2 2 2 2 2 2 7 3 3" xfId="6596" xr:uid="{00000000-0005-0000-0000-0000AF110000}"/>
    <cellStyle name="Comma 3 2 2 2 2 2 2 7 4" xfId="3560" xr:uid="{00000000-0005-0000-0000-0000B0110000}"/>
    <cellStyle name="Comma 3 2 2 2 2 2 2 8" xfId="3958" xr:uid="{00000000-0005-0000-0000-0000B1110000}"/>
    <cellStyle name="Comma 3 2 2 2 2 2 2 8 2" xfId="4590" xr:uid="{00000000-0005-0000-0000-0000B2110000}"/>
    <cellStyle name="Comma 3 2 2 2 2 2 2 8 3" xfId="5894" xr:uid="{00000000-0005-0000-0000-0000B3110000}"/>
    <cellStyle name="Comma 3 2 2 2 2 2 2 9" xfId="4427" xr:uid="{00000000-0005-0000-0000-0000B4110000}"/>
    <cellStyle name="Comma 3 2 2 2 2 2 3" xfId="1981" xr:uid="{00000000-0005-0000-0000-0000B5110000}"/>
    <cellStyle name="Comma 3 2 2 2 2 2 3 2" xfId="2173" xr:uid="{00000000-0005-0000-0000-0000B6110000}"/>
    <cellStyle name="Comma 3 2 2 2 2 2 3 2 2" xfId="2950" xr:uid="{00000000-0005-0000-0000-0000B7110000}"/>
    <cellStyle name="Comma 3 2 2 2 2 2 3 2 2 2" xfId="3017" xr:uid="{00000000-0005-0000-0000-0000B8110000}"/>
    <cellStyle name="Comma 3 2 2 2 2 2 3 2 2 2 2" xfId="5131" xr:uid="{00000000-0005-0000-0000-0000B9110000}"/>
    <cellStyle name="Comma 3 2 2 2 2 2 3 2 2 2 2 2" xfId="5197" xr:uid="{00000000-0005-0000-0000-0000BA110000}"/>
    <cellStyle name="Comma 3 2 2 2 2 2 3 2 2 2 2 3" xfId="6402" xr:uid="{00000000-0005-0000-0000-0000BB110000}"/>
    <cellStyle name="Comma 3 2 2 2 2 2 3 2 2 2 3" xfId="5680" xr:uid="{00000000-0005-0000-0000-0000BC110000}"/>
    <cellStyle name="Comma 3 2 2 2 2 2 3 2 2 2 4" xfId="6336" xr:uid="{00000000-0005-0000-0000-0000BD110000}"/>
    <cellStyle name="Comma 3 2 2 2 2 2 3 2 2 3" xfId="3983" xr:uid="{00000000-0005-0000-0000-0000BE110000}"/>
    <cellStyle name="Comma 3 2 2 2 2 2 3 2 2 3 2" xfId="5614" xr:uid="{00000000-0005-0000-0000-0000BF110000}"/>
    <cellStyle name="Comma 3 2 2 2 2 2 3 2 2 3 3" xfId="6747" xr:uid="{00000000-0005-0000-0000-0000C0110000}"/>
    <cellStyle name="Comma 3 2 2 2 2 2 3 2 2 4" xfId="3557" xr:uid="{00000000-0005-0000-0000-0000C1110000}"/>
    <cellStyle name="Comma 3 2 2 2 2 2 3 2 3" xfId="3199" xr:uid="{00000000-0005-0000-0000-0000C2110000}"/>
    <cellStyle name="Comma 3 2 2 2 2 2 3 2 4" xfId="3982" xr:uid="{00000000-0005-0000-0000-0000C3110000}"/>
    <cellStyle name="Comma 3 2 2 2 2 2 3 2 4 2" xfId="4746" xr:uid="{00000000-0005-0000-0000-0000C4110000}"/>
    <cellStyle name="Comma 3 2 2 2 2 2 3 2 4 3" xfId="5991" xr:uid="{00000000-0005-0000-0000-0000C5110000}"/>
    <cellStyle name="Comma 3 2 2 2 2 2 3 2 5" xfId="4397" xr:uid="{00000000-0005-0000-0000-0000C6110000}"/>
    <cellStyle name="Comma 3 2 2 2 2 2 3 2 6" xfId="3558" xr:uid="{00000000-0005-0000-0000-0000C7110000}"/>
    <cellStyle name="Comma 3 2 2 2 2 2 3 3" xfId="2329" xr:uid="{00000000-0005-0000-0000-0000C8110000}"/>
    <cellStyle name="Comma 3 2 2 2 2 2 3 4" xfId="2568" xr:uid="{00000000-0005-0000-0000-0000C9110000}"/>
    <cellStyle name="Comma 3 2 2 2 2 2 3 5" xfId="2627" xr:uid="{00000000-0005-0000-0000-0000CA110000}"/>
    <cellStyle name="Comma 3 2 2 2 2 2 3 5 2" xfId="3132" xr:uid="{00000000-0005-0000-0000-0000CB110000}"/>
    <cellStyle name="Comma 3 2 2 2 2 2 3 5 2 2" xfId="4903" xr:uid="{00000000-0005-0000-0000-0000CC110000}"/>
    <cellStyle name="Comma 3 2 2 2 2 2 3 5 2 2 2" xfId="5311" xr:uid="{00000000-0005-0000-0000-0000CD110000}"/>
    <cellStyle name="Comma 3 2 2 2 2 2 3 5 2 2 3" xfId="6516" xr:uid="{00000000-0005-0000-0000-0000CE110000}"/>
    <cellStyle name="Comma 3 2 2 2 2 2 3 5 2 3" xfId="5794" xr:uid="{00000000-0005-0000-0000-0000CF110000}"/>
    <cellStyle name="Comma 3 2 2 2 2 2 3 5 2 4" xfId="6118" xr:uid="{00000000-0005-0000-0000-0000D0110000}"/>
    <cellStyle name="Comma 3 2 2 2 2 2 3 5 3" xfId="3987" xr:uid="{00000000-0005-0000-0000-0000D1110000}"/>
    <cellStyle name="Comma 3 2 2 2 2 2 3 5 3 2" xfId="5392" xr:uid="{00000000-0005-0000-0000-0000D2110000}"/>
    <cellStyle name="Comma 3 2 2 2 2 2 3 5 3 3" xfId="6592" xr:uid="{00000000-0005-0000-0000-0000D3110000}"/>
    <cellStyle name="Comma 3 2 2 2 2 2 3 5 4" xfId="3553" xr:uid="{00000000-0005-0000-0000-0000D4110000}"/>
    <cellStyle name="Comma 3 2 2 2 2 2 3 6" xfId="3981" xr:uid="{00000000-0005-0000-0000-0000D5110000}"/>
    <cellStyle name="Comma 3 2 2 2 2 2 3 6 2" xfId="4652" xr:uid="{00000000-0005-0000-0000-0000D6110000}"/>
    <cellStyle name="Comma 3 2 2 2 2 2 3 6 3" xfId="5926" xr:uid="{00000000-0005-0000-0000-0000D7110000}"/>
    <cellStyle name="Comma 3 2 2 2 2 2 3 7" xfId="4855" xr:uid="{00000000-0005-0000-0000-0000D8110000}"/>
    <cellStyle name="Comma 3 2 2 2 2 2 3 8" xfId="3559" xr:uid="{00000000-0005-0000-0000-0000D9110000}"/>
    <cellStyle name="Comma 3 2 2 2 2 2 4" xfId="2225" xr:uid="{00000000-0005-0000-0000-0000DA110000}"/>
    <cellStyle name="Comma 3 2 2 2 2 2 5" xfId="2236" xr:uid="{00000000-0005-0000-0000-0000DB110000}"/>
    <cellStyle name="Comma 3 2 2 2 2 2 6" xfId="2006" xr:uid="{00000000-0005-0000-0000-0000DC110000}"/>
    <cellStyle name="Comma 3 2 2 2 2 2 6 2" xfId="2875" xr:uid="{00000000-0005-0000-0000-0000DD110000}"/>
    <cellStyle name="Comma 3 2 2 2 2 2 6 2 2" xfId="2971" xr:uid="{00000000-0005-0000-0000-0000DE110000}"/>
    <cellStyle name="Comma 3 2 2 2 2 2 6 2 2 2" xfId="5056" xr:uid="{00000000-0005-0000-0000-0000DF110000}"/>
    <cellStyle name="Comma 3 2 2 2 2 2 6 2 2 2 2" xfId="5152" xr:uid="{00000000-0005-0000-0000-0000E0110000}"/>
    <cellStyle name="Comma 3 2 2 2 2 2 6 2 2 2 3" xfId="6357" xr:uid="{00000000-0005-0000-0000-0000E1110000}"/>
    <cellStyle name="Comma 3 2 2 2 2 2 6 2 2 3" xfId="5635" xr:uid="{00000000-0005-0000-0000-0000E2110000}"/>
    <cellStyle name="Comma 3 2 2 2 2 2 6 2 2 4" xfId="6261" xr:uid="{00000000-0005-0000-0000-0000E3110000}"/>
    <cellStyle name="Comma 3 2 2 2 2 2 6 2 3" xfId="3989" xr:uid="{00000000-0005-0000-0000-0000E4110000}"/>
    <cellStyle name="Comma 3 2 2 2 2 2 6 2 3 2" xfId="5539" xr:uid="{00000000-0005-0000-0000-0000E5110000}"/>
    <cellStyle name="Comma 3 2 2 2 2 2 6 2 3 3" xfId="6680" xr:uid="{00000000-0005-0000-0000-0000E6110000}"/>
    <cellStyle name="Comma 3 2 2 2 2 2 6 2 4" xfId="3548" xr:uid="{00000000-0005-0000-0000-0000E7110000}"/>
    <cellStyle name="Comma 3 2 2 2 2 2 6 3" xfId="3153" xr:uid="{00000000-0005-0000-0000-0000E8110000}"/>
    <cellStyle name="Comma 3 2 2 2 2 2 6 4" xfId="3988" xr:uid="{00000000-0005-0000-0000-0000E9110000}"/>
    <cellStyle name="Comma 3 2 2 2 2 2 6 4 2" xfId="4673" xr:uid="{00000000-0005-0000-0000-0000EA110000}"/>
    <cellStyle name="Comma 3 2 2 2 2 2 6 4 3" xfId="5947" xr:uid="{00000000-0005-0000-0000-0000EB110000}"/>
    <cellStyle name="Comma 3 2 2 2 2 2 6 5" xfId="4852" xr:uid="{00000000-0005-0000-0000-0000EC110000}"/>
    <cellStyle name="Comma 3 2 2 2 2 2 6 6" xfId="3550" xr:uid="{00000000-0005-0000-0000-0000ED110000}"/>
    <cellStyle name="Comma 3 2 2 2 2 2 7" xfId="2562" xr:uid="{00000000-0005-0000-0000-0000EE110000}"/>
    <cellStyle name="Comma 3 2 2 2 2 2 8" xfId="2632" xr:uid="{00000000-0005-0000-0000-0000EF110000}"/>
    <cellStyle name="Comma 3 2 2 2 2 2 8 2" xfId="2840" xr:uid="{00000000-0005-0000-0000-0000F0110000}"/>
    <cellStyle name="Comma 3 2 2 2 2 2 8 2 2" xfId="4908" xr:uid="{00000000-0005-0000-0000-0000F1110000}"/>
    <cellStyle name="Comma 3 2 2 2 2 2 8 2 2 2" xfId="5025" xr:uid="{00000000-0005-0000-0000-0000F2110000}"/>
    <cellStyle name="Comma 3 2 2 2 2 2 8 2 2 3" xfId="6230" xr:uid="{00000000-0005-0000-0000-0000F3110000}"/>
    <cellStyle name="Comma 3 2 2 2 2 2 8 2 3" xfId="5508" xr:uid="{00000000-0005-0000-0000-0000F4110000}"/>
    <cellStyle name="Comma 3 2 2 2 2 2 8 2 4" xfId="6123" xr:uid="{00000000-0005-0000-0000-0000F5110000}"/>
    <cellStyle name="Comma 3 2 2 2 2 2 8 3" xfId="3992" xr:uid="{00000000-0005-0000-0000-0000F6110000}"/>
    <cellStyle name="Comma 3 2 2 2 2 2 8 3 2" xfId="5397" xr:uid="{00000000-0005-0000-0000-0000F7110000}"/>
    <cellStyle name="Comma 3 2 2 2 2 2 8 3 3" xfId="6597" xr:uid="{00000000-0005-0000-0000-0000F8110000}"/>
    <cellStyle name="Comma 3 2 2 2 2 2 8 4" xfId="3543" xr:uid="{00000000-0005-0000-0000-0000F9110000}"/>
    <cellStyle name="Comma 3 2 2 2 2 2 9" xfId="3957" xr:uid="{00000000-0005-0000-0000-0000FA110000}"/>
    <cellStyle name="Comma 3 2 2 2 2 2 9 2" xfId="4526" xr:uid="{00000000-0005-0000-0000-0000FB110000}"/>
    <cellStyle name="Comma 3 2 2 2 2 2 9 3" xfId="5859" xr:uid="{00000000-0005-0000-0000-0000FC110000}"/>
    <cellStyle name="Comma 3 2 2 2 2 3" xfId="1721" xr:uid="{00000000-0005-0000-0000-0000FD110000}"/>
    <cellStyle name="Comma 3 2 2 2 2 3 10" xfId="3542" xr:uid="{00000000-0005-0000-0000-0000FE110000}"/>
    <cellStyle name="Comma 3 2 2 2 2 3 2" xfId="2172" xr:uid="{00000000-0005-0000-0000-0000FF110000}"/>
    <cellStyle name="Comma 3 2 2 2 2 3 2 2" xfId="2174" xr:uid="{00000000-0005-0000-0000-000000120000}"/>
    <cellStyle name="Comma 3 2 2 2 2 3 2 2 2" xfId="3016" xr:uid="{00000000-0005-0000-0000-000001120000}"/>
    <cellStyle name="Comma 3 2 2 2 2 3 2 2 2 2" xfId="3018" xr:uid="{00000000-0005-0000-0000-000002120000}"/>
    <cellStyle name="Comma 3 2 2 2 2 3 2 2 2 2 2" xfId="5196" xr:uid="{00000000-0005-0000-0000-000003120000}"/>
    <cellStyle name="Comma 3 2 2 2 2 3 2 2 2 2 2 2" xfId="5198" xr:uid="{00000000-0005-0000-0000-000004120000}"/>
    <cellStyle name="Comma 3 2 2 2 2 3 2 2 2 2 2 3" xfId="6403" xr:uid="{00000000-0005-0000-0000-000005120000}"/>
    <cellStyle name="Comma 3 2 2 2 2 3 2 2 2 2 3" xfId="5681" xr:uid="{00000000-0005-0000-0000-000006120000}"/>
    <cellStyle name="Comma 3 2 2 2 2 3 2 2 2 2 4" xfId="6401" xr:uid="{00000000-0005-0000-0000-000007120000}"/>
    <cellStyle name="Comma 3 2 2 2 2 3 2 2 2 3" xfId="3996" xr:uid="{00000000-0005-0000-0000-000008120000}"/>
    <cellStyle name="Comma 3 2 2 2 2 3 2 2 2 3 2" xfId="5679" xr:uid="{00000000-0005-0000-0000-000009120000}"/>
    <cellStyle name="Comma 3 2 2 2 2 3 2 2 2 3 3" xfId="6764" xr:uid="{00000000-0005-0000-0000-00000A120000}"/>
    <cellStyle name="Comma 3 2 2 2 2 3 2 2 2 4" xfId="3536" xr:uid="{00000000-0005-0000-0000-00000B120000}"/>
    <cellStyle name="Comma 3 2 2 2 2 3 2 2 3" xfId="3200" xr:uid="{00000000-0005-0000-0000-00000C120000}"/>
    <cellStyle name="Comma 3 2 2 2 2 3 2 2 4" xfId="3995" xr:uid="{00000000-0005-0000-0000-00000D120000}"/>
    <cellStyle name="Comma 3 2 2 2 2 3 2 2 4 2" xfId="4747" xr:uid="{00000000-0005-0000-0000-00000E120000}"/>
    <cellStyle name="Comma 3 2 2 2 2 3 2 2 4 3" xfId="5992" xr:uid="{00000000-0005-0000-0000-00000F120000}"/>
    <cellStyle name="Comma 3 2 2 2 2 3 2 2 5" xfId="4396" xr:uid="{00000000-0005-0000-0000-000010120000}"/>
    <cellStyle name="Comma 3 2 2 2 2 3 2 2 6" xfId="3537" xr:uid="{00000000-0005-0000-0000-000011120000}"/>
    <cellStyle name="Comma 3 2 2 2 2 3 2 3" xfId="2330" xr:uid="{00000000-0005-0000-0000-000012120000}"/>
    <cellStyle name="Comma 3 2 2 2 2 3 2 4" xfId="2572" xr:uid="{00000000-0005-0000-0000-000013120000}"/>
    <cellStyle name="Comma 3 2 2 2 2 3 2 5" xfId="2623" xr:uid="{00000000-0005-0000-0000-000014120000}"/>
    <cellStyle name="Comma 3 2 2 2 2 3 2 5 2" xfId="3198" xr:uid="{00000000-0005-0000-0000-000015120000}"/>
    <cellStyle name="Comma 3 2 2 2 2 3 2 5 2 2" xfId="4901" xr:uid="{00000000-0005-0000-0000-000016120000}"/>
    <cellStyle name="Comma 3 2 2 2 2 3 2 5 2 2 2" xfId="5328" xr:uid="{00000000-0005-0000-0000-000017120000}"/>
    <cellStyle name="Comma 3 2 2 2 2 3 2 5 2 2 3" xfId="6533" xr:uid="{00000000-0005-0000-0000-000018120000}"/>
    <cellStyle name="Comma 3 2 2 2 2 3 2 5 2 3" xfId="5811" xr:uid="{00000000-0005-0000-0000-000019120000}"/>
    <cellStyle name="Comma 3 2 2 2 2 3 2 5 2 4" xfId="6116" xr:uid="{00000000-0005-0000-0000-00001A120000}"/>
    <cellStyle name="Comma 3 2 2 2 2 3 2 5 3" xfId="3998" xr:uid="{00000000-0005-0000-0000-00001B120000}"/>
    <cellStyle name="Comma 3 2 2 2 2 3 2 5 3 2" xfId="5390" xr:uid="{00000000-0005-0000-0000-00001C120000}"/>
    <cellStyle name="Comma 3 2 2 2 2 3 2 5 3 3" xfId="6590" xr:uid="{00000000-0005-0000-0000-00001D120000}"/>
    <cellStyle name="Comma 3 2 2 2 2 3 2 5 4" xfId="3529" xr:uid="{00000000-0005-0000-0000-00001E120000}"/>
    <cellStyle name="Comma 3 2 2 2 2 3 2 6" xfId="3994" xr:uid="{00000000-0005-0000-0000-00001F120000}"/>
    <cellStyle name="Comma 3 2 2 2 2 3 2 6 2" xfId="4745" xr:uid="{00000000-0005-0000-0000-000020120000}"/>
    <cellStyle name="Comma 3 2 2 2 2 3 2 6 3" xfId="5990" xr:uid="{00000000-0005-0000-0000-000021120000}"/>
    <cellStyle name="Comma 3 2 2 2 2 3 2 7" xfId="4398" xr:uid="{00000000-0005-0000-0000-000022120000}"/>
    <cellStyle name="Comma 3 2 2 2 2 3 2 8" xfId="3539" xr:uid="{00000000-0005-0000-0000-000023120000}"/>
    <cellStyle name="Comma 3 2 2 2 2 3 3" xfId="2226" xr:uid="{00000000-0005-0000-0000-000024120000}"/>
    <cellStyle name="Comma 3 2 2 2 2 3 4" xfId="2156" xr:uid="{00000000-0005-0000-0000-000025120000}"/>
    <cellStyle name="Comma 3 2 2 2 2 3 5" xfId="2328" xr:uid="{00000000-0005-0000-0000-000026120000}"/>
    <cellStyle name="Comma 3 2 2 2 2 3 5 2" xfId="2876" xr:uid="{00000000-0005-0000-0000-000027120000}"/>
    <cellStyle name="Comma 3 2 2 2 2 3 5 2 2" xfId="3087" xr:uid="{00000000-0005-0000-0000-000028120000}"/>
    <cellStyle name="Comma 3 2 2 2 2 3 5 2 2 2" xfId="5057" xr:uid="{00000000-0005-0000-0000-000029120000}"/>
    <cellStyle name="Comma 3 2 2 2 2 3 5 2 2 2 2" xfId="5267" xr:uid="{00000000-0005-0000-0000-00002A120000}"/>
    <cellStyle name="Comma 3 2 2 2 2 3 5 2 2 2 3" xfId="6472" xr:uid="{00000000-0005-0000-0000-00002B120000}"/>
    <cellStyle name="Comma 3 2 2 2 2 3 5 2 2 3" xfId="5750" xr:uid="{00000000-0005-0000-0000-00002C120000}"/>
    <cellStyle name="Comma 3 2 2 2 2 3 5 2 2 4" xfId="6262" xr:uid="{00000000-0005-0000-0000-00002D120000}"/>
    <cellStyle name="Comma 3 2 2 2 2 3 5 2 3" xfId="4000" xr:uid="{00000000-0005-0000-0000-00002E120000}"/>
    <cellStyle name="Comma 3 2 2 2 2 3 5 2 3 2" xfId="5540" xr:uid="{00000000-0005-0000-0000-00002F120000}"/>
    <cellStyle name="Comma 3 2 2 2 2 3 5 2 3 3" xfId="6681" xr:uid="{00000000-0005-0000-0000-000030120000}"/>
    <cellStyle name="Comma 3 2 2 2 2 3 5 2 4" xfId="3526" xr:uid="{00000000-0005-0000-0000-000031120000}"/>
    <cellStyle name="Comma 3 2 2 2 2 3 5 3" xfId="3269" xr:uid="{00000000-0005-0000-0000-000032120000}"/>
    <cellStyle name="Comma 3 2 2 2 2 3 5 4" xfId="3999" xr:uid="{00000000-0005-0000-0000-000033120000}"/>
    <cellStyle name="Comma 3 2 2 2 2 3 5 4 2" xfId="4816" xr:uid="{00000000-0005-0000-0000-000034120000}"/>
    <cellStyle name="Comma 3 2 2 2 2 3 5 4 3" xfId="6061" xr:uid="{00000000-0005-0000-0000-000035120000}"/>
    <cellStyle name="Comma 3 2 2 2 2 3 5 5" xfId="4835" xr:uid="{00000000-0005-0000-0000-000036120000}"/>
    <cellStyle name="Comma 3 2 2 2 2 3 5 6" xfId="3527" xr:uid="{00000000-0005-0000-0000-000037120000}"/>
    <cellStyle name="Comma 3 2 2 2 2 3 6" xfId="2571" xr:uid="{00000000-0005-0000-0000-000038120000}"/>
    <cellStyle name="Comma 3 2 2 2 2 3 7" xfId="2625" xr:uid="{00000000-0005-0000-0000-000039120000}"/>
    <cellStyle name="Comma 3 2 2 2 2 3 7 2" xfId="2839" xr:uid="{00000000-0005-0000-0000-00003A120000}"/>
    <cellStyle name="Comma 3 2 2 2 2 3 7 2 2" xfId="4902" xr:uid="{00000000-0005-0000-0000-00003B120000}"/>
    <cellStyle name="Comma 3 2 2 2 2 3 7 2 2 2" xfId="5024" xr:uid="{00000000-0005-0000-0000-00003C120000}"/>
    <cellStyle name="Comma 3 2 2 2 2 3 7 2 2 3" xfId="6229" xr:uid="{00000000-0005-0000-0000-00003D120000}"/>
    <cellStyle name="Comma 3 2 2 2 2 3 7 2 3" xfId="5507" xr:uid="{00000000-0005-0000-0000-00003E120000}"/>
    <cellStyle name="Comma 3 2 2 2 2 3 7 2 4" xfId="6117" xr:uid="{00000000-0005-0000-0000-00003F120000}"/>
    <cellStyle name="Comma 3 2 2 2 2 3 7 3" xfId="4002" xr:uid="{00000000-0005-0000-0000-000040120000}"/>
    <cellStyle name="Comma 3 2 2 2 2 3 7 3 2" xfId="5391" xr:uid="{00000000-0005-0000-0000-000041120000}"/>
    <cellStyle name="Comma 3 2 2 2 2 3 7 3 3" xfId="6591" xr:uid="{00000000-0005-0000-0000-000042120000}"/>
    <cellStyle name="Comma 3 2 2 2 2 3 7 4" xfId="3519" xr:uid="{00000000-0005-0000-0000-000043120000}"/>
    <cellStyle name="Comma 3 2 2 2 2 3 8" xfId="3993" xr:uid="{00000000-0005-0000-0000-000044120000}"/>
    <cellStyle name="Comma 3 2 2 2 2 3 8 2" xfId="4527" xr:uid="{00000000-0005-0000-0000-000045120000}"/>
    <cellStyle name="Comma 3 2 2 2 2 3 8 3" xfId="5860" xr:uid="{00000000-0005-0000-0000-000046120000}"/>
    <cellStyle name="Comma 3 2 2 2 2 3 9" xfId="4462" xr:uid="{00000000-0005-0000-0000-000047120000}"/>
    <cellStyle name="Comma 3 2 2 2 2 4" xfId="1980" xr:uid="{00000000-0005-0000-0000-000048120000}"/>
    <cellStyle name="Comma 3 2 2 2 2 4 2" xfId="2224" xr:uid="{00000000-0005-0000-0000-000049120000}"/>
    <cellStyle name="Comma 3 2 2 2 2 4 2 2" xfId="2949" xr:uid="{00000000-0005-0000-0000-00004A120000}"/>
    <cellStyle name="Comma 3 2 2 2 2 4 2 2 2" xfId="3062" xr:uid="{00000000-0005-0000-0000-00004B120000}"/>
    <cellStyle name="Comma 3 2 2 2 2 4 2 2 2 2" xfId="5130" xr:uid="{00000000-0005-0000-0000-00004C120000}"/>
    <cellStyle name="Comma 3 2 2 2 2 4 2 2 2 2 2" xfId="5242" xr:uid="{00000000-0005-0000-0000-00004D120000}"/>
    <cellStyle name="Comma 3 2 2 2 2 4 2 2 2 2 3" xfId="6447" xr:uid="{00000000-0005-0000-0000-00004E120000}"/>
    <cellStyle name="Comma 3 2 2 2 2 4 2 2 2 3" xfId="5725" xr:uid="{00000000-0005-0000-0000-00004F120000}"/>
    <cellStyle name="Comma 3 2 2 2 2 4 2 2 2 4" xfId="6335" xr:uid="{00000000-0005-0000-0000-000050120000}"/>
    <cellStyle name="Comma 3 2 2 2 2 4 2 2 3" xfId="4005" xr:uid="{00000000-0005-0000-0000-000051120000}"/>
    <cellStyle name="Comma 3 2 2 2 2 4 2 2 3 2" xfId="5613" xr:uid="{00000000-0005-0000-0000-000052120000}"/>
    <cellStyle name="Comma 3 2 2 2 2 4 2 2 3 3" xfId="6746" xr:uid="{00000000-0005-0000-0000-000053120000}"/>
    <cellStyle name="Comma 3 2 2 2 2 4 2 2 4" xfId="3516" xr:uid="{00000000-0005-0000-0000-000054120000}"/>
    <cellStyle name="Comma 3 2 2 2 2 4 2 3" xfId="3244" xr:uid="{00000000-0005-0000-0000-000055120000}"/>
    <cellStyle name="Comma 3 2 2 2 2 4 2 4" xfId="4004" xr:uid="{00000000-0005-0000-0000-000056120000}"/>
    <cellStyle name="Comma 3 2 2 2 2 4 2 4 2" xfId="4791" xr:uid="{00000000-0005-0000-0000-000057120000}"/>
    <cellStyle name="Comma 3 2 2 2 2 4 2 4 3" xfId="6036" xr:uid="{00000000-0005-0000-0000-000058120000}"/>
    <cellStyle name="Comma 3 2 2 2 2 4 2 5" xfId="4497" xr:uid="{00000000-0005-0000-0000-000059120000}"/>
    <cellStyle name="Comma 3 2 2 2 2 4 2 6" xfId="3517" xr:uid="{00000000-0005-0000-0000-00005A120000}"/>
    <cellStyle name="Comma 3 2 2 2 2 4 3" xfId="2373" xr:uid="{00000000-0005-0000-0000-00005B120000}"/>
    <cellStyle name="Comma 3 2 2 2 2 4 4" xfId="2573" xr:uid="{00000000-0005-0000-0000-00005C120000}"/>
    <cellStyle name="Comma 3 2 2 2 2 4 5" xfId="2619" xr:uid="{00000000-0005-0000-0000-00005D120000}"/>
    <cellStyle name="Comma 3 2 2 2 2 4 5 2" xfId="3131" xr:uid="{00000000-0005-0000-0000-00005E120000}"/>
    <cellStyle name="Comma 3 2 2 2 2 4 5 2 2" xfId="4900" xr:uid="{00000000-0005-0000-0000-00005F120000}"/>
    <cellStyle name="Comma 3 2 2 2 2 4 5 2 2 2" xfId="5310" xr:uid="{00000000-0005-0000-0000-000060120000}"/>
    <cellStyle name="Comma 3 2 2 2 2 4 5 2 2 3" xfId="6515" xr:uid="{00000000-0005-0000-0000-000061120000}"/>
    <cellStyle name="Comma 3 2 2 2 2 4 5 2 3" xfId="5793" xr:uid="{00000000-0005-0000-0000-000062120000}"/>
    <cellStyle name="Comma 3 2 2 2 2 4 5 2 4" xfId="6115" xr:uid="{00000000-0005-0000-0000-000063120000}"/>
    <cellStyle name="Comma 3 2 2 2 2 4 5 3" xfId="4009" xr:uid="{00000000-0005-0000-0000-000064120000}"/>
    <cellStyle name="Comma 3 2 2 2 2 4 5 3 2" xfId="5389" xr:uid="{00000000-0005-0000-0000-000065120000}"/>
    <cellStyle name="Comma 3 2 2 2 2 4 5 3 3" xfId="6589" xr:uid="{00000000-0005-0000-0000-000066120000}"/>
    <cellStyle name="Comma 3 2 2 2 2 4 5 4" xfId="3515" xr:uid="{00000000-0005-0000-0000-000067120000}"/>
    <cellStyle name="Comma 3 2 2 2 2 4 6" xfId="4003" xr:uid="{00000000-0005-0000-0000-000068120000}"/>
    <cellStyle name="Comma 3 2 2 2 2 4 6 2" xfId="4651" xr:uid="{00000000-0005-0000-0000-000069120000}"/>
    <cellStyle name="Comma 3 2 2 2 2 4 6 3" xfId="5925" xr:uid="{00000000-0005-0000-0000-00006A120000}"/>
    <cellStyle name="Comma 3 2 2 2 2 4 7" xfId="4513" xr:uid="{00000000-0005-0000-0000-00006B120000}"/>
    <cellStyle name="Comma 3 2 2 2 2 4 8" xfId="3518" xr:uid="{00000000-0005-0000-0000-00006C120000}"/>
    <cellStyle name="Comma 3 2 2 2 2 5" xfId="2155" xr:uid="{00000000-0005-0000-0000-00006D120000}"/>
    <cellStyle name="Comma 3 2 2 2 2 6" xfId="2007" xr:uid="{00000000-0005-0000-0000-00006E120000}"/>
    <cellStyle name="Comma 3 2 2 2 2 6 2" xfId="2874" xr:uid="{00000000-0005-0000-0000-00006F120000}"/>
    <cellStyle name="Comma 3 2 2 2 2 6 2 2" xfId="2972" xr:uid="{00000000-0005-0000-0000-000070120000}"/>
    <cellStyle name="Comma 3 2 2 2 2 6 2 2 2" xfId="5055" xr:uid="{00000000-0005-0000-0000-000071120000}"/>
    <cellStyle name="Comma 3 2 2 2 2 6 2 2 2 2" xfId="5153" xr:uid="{00000000-0005-0000-0000-000072120000}"/>
    <cellStyle name="Comma 3 2 2 2 2 6 2 2 2 3" xfId="6358" xr:uid="{00000000-0005-0000-0000-000073120000}"/>
    <cellStyle name="Comma 3 2 2 2 2 6 2 2 3" xfId="5636" xr:uid="{00000000-0005-0000-0000-000074120000}"/>
    <cellStyle name="Comma 3 2 2 2 2 6 2 2 4" xfId="6260" xr:uid="{00000000-0005-0000-0000-000075120000}"/>
    <cellStyle name="Comma 3 2 2 2 2 6 2 3" xfId="4012" xr:uid="{00000000-0005-0000-0000-000076120000}"/>
    <cellStyle name="Comma 3 2 2 2 2 6 2 3 2" xfId="5538" xr:uid="{00000000-0005-0000-0000-000077120000}"/>
    <cellStyle name="Comma 3 2 2 2 2 6 2 3 3" xfId="6679" xr:uid="{00000000-0005-0000-0000-000078120000}"/>
    <cellStyle name="Comma 3 2 2 2 2 6 2 4" xfId="3513" xr:uid="{00000000-0005-0000-0000-000079120000}"/>
    <cellStyle name="Comma 3 2 2 2 2 6 3" xfId="3154" xr:uid="{00000000-0005-0000-0000-00007A120000}"/>
    <cellStyle name="Comma 3 2 2 2 2 6 4" xfId="4011" xr:uid="{00000000-0005-0000-0000-00007B120000}"/>
    <cellStyle name="Comma 3 2 2 2 2 6 4 2" xfId="4674" xr:uid="{00000000-0005-0000-0000-00007C120000}"/>
    <cellStyle name="Comma 3 2 2 2 2 6 4 3" xfId="5948" xr:uid="{00000000-0005-0000-0000-00007D120000}"/>
    <cellStyle name="Comma 3 2 2 2 2 6 5" xfId="4707" xr:uid="{00000000-0005-0000-0000-00007E120000}"/>
    <cellStyle name="Comma 3 2 2 2 2 6 6" xfId="3514" xr:uid="{00000000-0005-0000-0000-00007F120000}"/>
    <cellStyle name="Comma 3 2 2 2 2 7" xfId="2561" xr:uid="{00000000-0005-0000-0000-000080120000}"/>
    <cellStyle name="Comma 3 2 2 2 2 8" xfId="2633" xr:uid="{00000000-0005-0000-0000-000081120000}"/>
    <cellStyle name="Comma 3 2 2 2 2 8 2" xfId="2866" xr:uid="{00000000-0005-0000-0000-000082120000}"/>
    <cellStyle name="Comma 3 2 2 2 2 8 2 2" xfId="4909" xr:uid="{00000000-0005-0000-0000-000083120000}"/>
    <cellStyle name="Comma 3 2 2 2 2 8 2 2 2" xfId="5047" xr:uid="{00000000-0005-0000-0000-000084120000}"/>
    <cellStyle name="Comma 3 2 2 2 2 8 2 2 3" xfId="6252" xr:uid="{00000000-0005-0000-0000-000085120000}"/>
    <cellStyle name="Comma 3 2 2 2 2 8 2 3" xfId="5530" xr:uid="{00000000-0005-0000-0000-000086120000}"/>
    <cellStyle name="Comma 3 2 2 2 2 8 2 4" xfId="6124" xr:uid="{00000000-0005-0000-0000-000087120000}"/>
    <cellStyle name="Comma 3 2 2 2 2 8 3" xfId="4015" xr:uid="{00000000-0005-0000-0000-000088120000}"/>
    <cellStyle name="Comma 3 2 2 2 2 8 3 2" xfId="5398" xr:uid="{00000000-0005-0000-0000-000089120000}"/>
    <cellStyle name="Comma 3 2 2 2 2 8 3 3" xfId="6598" xr:uid="{00000000-0005-0000-0000-00008A120000}"/>
    <cellStyle name="Comma 3 2 2 2 2 8 4" xfId="3512" xr:uid="{00000000-0005-0000-0000-00008B120000}"/>
    <cellStyle name="Comma 3 2 2 2 2 9" xfId="3956" xr:uid="{00000000-0005-0000-0000-00008C120000}"/>
    <cellStyle name="Comma 3 2 2 2 2 9 2" xfId="4525" xr:uid="{00000000-0005-0000-0000-00008D120000}"/>
    <cellStyle name="Comma 3 2 2 2 2 9 3" xfId="5858" xr:uid="{00000000-0005-0000-0000-00008E120000}"/>
    <cellStyle name="Comma 3 2 2 2 3" xfId="1831" xr:uid="{00000000-0005-0000-0000-00008F120000}"/>
    <cellStyle name="Comma 3 2 2 2 4" xfId="1835" xr:uid="{00000000-0005-0000-0000-000090120000}"/>
    <cellStyle name="Comma 3 2 2 2 5" xfId="1834" xr:uid="{00000000-0005-0000-0000-000091120000}"/>
    <cellStyle name="Comma 3 2 2 2 6" xfId="1722" xr:uid="{00000000-0005-0000-0000-000092120000}"/>
    <cellStyle name="Comma 3 2 2 2 6 10" xfId="3511" xr:uid="{00000000-0005-0000-0000-000093120000}"/>
    <cellStyle name="Comma 3 2 2 2 6 11" xfId="9058" xr:uid="{00000000-0005-0000-0000-000094120000}"/>
    <cellStyle name="Comma 3 2 2 2 6 2" xfId="1851" xr:uid="{00000000-0005-0000-0000-000095120000}"/>
    <cellStyle name="Comma 3 2 2 2 6 2 10" xfId="3510" xr:uid="{00000000-0005-0000-0000-000096120000}"/>
    <cellStyle name="Comma 3 2 2 2 6 2 2" xfId="2175" xr:uid="{00000000-0005-0000-0000-000097120000}"/>
    <cellStyle name="Comma 3 2 2 2 6 2 2 2" xfId="2201" xr:uid="{00000000-0005-0000-0000-000098120000}"/>
    <cellStyle name="Comma 3 2 2 2 6 2 2 2 2" xfId="3019" xr:uid="{00000000-0005-0000-0000-000099120000}"/>
    <cellStyle name="Comma 3 2 2 2 6 2 2 2 2 2" xfId="3039" xr:uid="{00000000-0005-0000-0000-00009A120000}"/>
    <cellStyle name="Comma 3 2 2 2 6 2 2 2 2 2 2" xfId="5199" xr:uid="{00000000-0005-0000-0000-00009B120000}"/>
    <cellStyle name="Comma 3 2 2 2 6 2 2 2 2 2 2 2" xfId="5219" xr:uid="{00000000-0005-0000-0000-00009C120000}"/>
    <cellStyle name="Comma 3 2 2 2 6 2 2 2 2 2 2 3" xfId="6424" xr:uid="{00000000-0005-0000-0000-00009D120000}"/>
    <cellStyle name="Comma 3 2 2 2 6 2 2 2 2 2 3" xfId="5702" xr:uid="{00000000-0005-0000-0000-00009E120000}"/>
    <cellStyle name="Comma 3 2 2 2 6 2 2 2 2 2 4" xfId="6404" xr:uid="{00000000-0005-0000-0000-00009F120000}"/>
    <cellStyle name="Comma 3 2 2 2 6 2 2 2 2 3" xfId="4020" xr:uid="{00000000-0005-0000-0000-0000A0120000}"/>
    <cellStyle name="Comma 3 2 2 2 6 2 2 2 2 3 2" xfId="5682" xr:uid="{00000000-0005-0000-0000-0000A1120000}"/>
    <cellStyle name="Comma 3 2 2 2 6 2 2 2 2 3 3" xfId="6765" xr:uid="{00000000-0005-0000-0000-0000A2120000}"/>
    <cellStyle name="Comma 3 2 2 2 6 2 2 2 2 4" xfId="3507" xr:uid="{00000000-0005-0000-0000-0000A3120000}"/>
    <cellStyle name="Comma 3 2 2 2 6 2 2 2 3" xfId="3221" xr:uid="{00000000-0005-0000-0000-0000A4120000}"/>
    <cellStyle name="Comma 3 2 2 2 6 2 2 2 4" xfId="4019" xr:uid="{00000000-0005-0000-0000-0000A5120000}"/>
    <cellStyle name="Comma 3 2 2 2 6 2 2 2 4 2" xfId="4768" xr:uid="{00000000-0005-0000-0000-0000A6120000}"/>
    <cellStyle name="Comma 3 2 2 2 6 2 2 2 4 3" xfId="6013" xr:uid="{00000000-0005-0000-0000-0000A7120000}"/>
    <cellStyle name="Comma 3 2 2 2 6 2 2 2 5" xfId="4843" xr:uid="{00000000-0005-0000-0000-0000A8120000}"/>
    <cellStyle name="Comma 3 2 2 2 6 2 2 2 6" xfId="3508" xr:uid="{00000000-0005-0000-0000-0000A9120000}"/>
    <cellStyle name="Comma 3 2 2 2 6 2 2 3" xfId="2350" xr:uid="{00000000-0005-0000-0000-0000AA120000}"/>
    <cellStyle name="Comma 3 2 2 2 6 2 2 4" xfId="2577" xr:uid="{00000000-0005-0000-0000-0000AB120000}"/>
    <cellStyle name="Comma 3 2 2 2 6 2 2 5" xfId="2611" xr:uid="{00000000-0005-0000-0000-0000AC120000}"/>
    <cellStyle name="Comma 3 2 2 2 6 2 2 5 2" xfId="3201" xr:uid="{00000000-0005-0000-0000-0000AD120000}"/>
    <cellStyle name="Comma 3 2 2 2 6 2 2 5 2 2" xfId="4897" xr:uid="{00000000-0005-0000-0000-0000AE120000}"/>
    <cellStyle name="Comma 3 2 2 2 6 2 2 5 2 2 2" xfId="5329" xr:uid="{00000000-0005-0000-0000-0000AF120000}"/>
    <cellStyle name="Comma 3 2 2 2 6 2 2 5 2 2 3" xfId="6534" xr:uid="{00000000-0005-0000-0000-0000B0120000}"/>
    <cellStyle name="Comma 3 2 2 2 6 2 2 5 2 3" xfId="5812" xr:uid="{00000000-0005-0000-0000-0000B1120000}"/>
    <cellStyle name="Comma 3 2 2 2 6 2 2 5 2 4" xfId="6112" xr:uid="{00000000-0005-0000-0000-0000B2120000}"/>
    <cellStyle name="Comma 3 2 2 2 6 2 2 5 3" xfId="4021" xr:uid="{00000000-0005-0000-0000-0000B3120000}"/>
    <cellStyle name="Comma 3 2 2 2 6 2 2 5 3 2" xfId="5386" xr:uid="{00000000-0005-0000-0000-0000B4120000}"/>
    <cellStyle name="Comma 3 2 2 2 6 2 2 5 3 3" xfId="6586" xr:uid="{00000000-0005-0000-0000-0000B5120000}"/>
    <cellStyle name="Comma 3 2 2 2 6 2 2 5 4" xfId="3506" xr:uid="{00000000-0005-0000-0000-0000B6120000}"/>
    <cellStyle name="Comma 3 2 2 2 6 2 2 6" xfId="4018" xr:uid="{00000000-0005-0000-0000-0000B7120000}"/>
    <cellStyle name="Comma 3 2 2 2 6 2 2 6 2" xfId="4748" xr:uid="{00000000-0005-0000-0000-0000B8120000}"/>
    <cellStyle name="Comma 3 2 2 2 6 2 2 6 3" xfId="5993" xr:uid="{00000000-0005-0000-0000-0000B9120000}"/>
    <cellStyle name="Comma 3 2 2 2 6 2 2 7" xfId="4395" xr:uid="{00000000-0005-0000-0000-0000BA120000}"/>
    <cellStyle name="Comma 3 2 2 2 6 2 2 8" xfId="3509" xr:uid="{00000000-0005-0000-0000-0000BB120000}"/>
    <cellStyle name="Comma 3 2 2 2 6 2 3" xfId="2253" xr:uid="{00000000-0005-0000-0000-0000BC120000}"/>
    <cellStyle name="Comma 3 2 2 2 6 2 4" xfId="2288" xr:uid="{00000000-0005-0000-0000-0000BD120000}"/>
    <cellStyle name="Comma 3 2 2 2 6 2 5" xfId="2331" xr:uid="{00000000-0005-0000-0000-0000BE120000}"/>
    <cellStyle name="Comma 3 2 2 2 6 2 5 2" xfId="2903" xr:uid="{00000000-0005-0000-0000-0000BF120000}"/>
    <cellStyle name="Comma 3 2 2 2 6 2 5 2 2" xfId="3088" xr:uid="{00000000-0005-0000-0000-0000C0120000}"/>
    <cellStyle name="Comma 3 2 2 2 6 2 5 2 2 2" xfId="5084" xr:uid="{00000000-0005-0000-0000-0000C1120000}"/>
    <cellStyle name="Comma 3 2 2 2 6 2 5 2 2 2 2" xfId="5268" xr:uid="{00000000-0005-0000-0000-0000C2120000}"/>
    <cellStyle name="Comma 3 2 2 2 6 2 5 2 2 2 3" xfId="6473" xr:uid="{00000000-0005-0000-0000-0000C3120000}"/>
    <cellStyle name="Comma 3 2 2 2 6 2 5 2 2 3" xfId="5751" xr:uid="{00000000-0005-0000-0000-0000C4120000}"/>
    <cellStyle name="Comma 3 2 2 2 6 2 5 2 2 4" xfId="6289" xr:uid="{00000000-0005-0000-0000-0000C5120000}"/>
    <cellStyle name="Comma 3 2 2 2 6 2 5 2 3" xfId="4023" xr:uid="{00000000-0005-0000-0000-0000C6120000}"/>
    <cellStyle name="Comma 3 2 2 2 6 2 5 2 3 2" xfId="5567" xr:uid="{00000000-0005-0000-0000-0000C7120000}"/>
    <cellStyle name="Comma 3 2 2 2 6 2 5 2 3 3" xfId="6701" xr:uid="{00000000-0005-0000-0000-0000C8120000}"/>
    <cellStyle name="Comma 3 2 2 2 6 2 5 2 4" xfId="3504" xr:uid="{00000000-0005-0000-0000-0000C9120000}"/>
    <cellStyle name="Comma 3 2 2 2 6 2 5 3" xfId="3270" xr:uid="{00000000-0005-0000-0000-0000CA120000}"/>
    <cellStyle name="Comma 3 2 2 2 6 2 5 4" xfId="4022" xr:uid="{00000000-0005-0000-0000-0000CB120000}"/>
    <cellStyle name="Comma 3 2 2 2 6 2 5 4 2" xfId="4817" xr:uid="{00000000-0005-0000-0000-0000CC120000}"/>
    <cellStyle name="Comma 3 2 2 2 6 2 5 4 3" xfId="6062" xr:uid="{00000000-0005-0000-0000-0000CD120000}"/>
    <cellStyle name="Comma 3 2 2 2 6 2 5 5" xfId="4560" xr:uid="{00000000-0005-0000-0000-0000CE120000}"/>
    <cellStyle name="Comma 3 2 2 2 6 2 5 6" xfId="3505" xr:uid="{00000000-0005-0000-0000-0000CF120000}"/>
    <cellStyle name="Comma 3 2 2 2 6 2 6" xfId="2576" xr:uid="{00000000-0005-0000-0000-0000D0120000}"/>
    <cellStyle name="Comma 3 2 2 2 6 2 7" xfId="2613" xr:uid="{00000000-0005-0000-0000-0000D1120000}"/>
    <cellStyle name="Comma 3 2 2 2 6 2 7 2" xfId="2826" xr:uid="{00000000-0005-0000-0000-0000D2120000}"/>
    <cellStyle name="Comma 3 2 2 2 6 2 7 2 2" xfId="4898" xr:uid="{00000000-0005-0000-0000-0000D3120000}"/>
    <cellStyle name="Comma 3 2 2 2 6 2 7 2 2 2" xfId="5011" xr:uid="{00000000-0005-0000-0000-0000D4120000}"/>
    <cellStyle name="Comma 3 2 2 2 6 2 7 2 2 3" xfId="6216" xr:uid="{00000000-0005-0000-0000-0000D5120000}"/>
    <cellStyle name="Comma 3 2 2 2 6 2 7 2 3" xfId="5494" xr:uid="{00000000-0005-0000-0000-0000D6120000}"/>
    <cellStyle name="Comma 3 2 2 2 6 2 7 2 4" xfId="6113" xr:uid="{00000000-0005-0000-0000-0000D7120000}"/>
    <cellStyle name="Comma 3 2 2 2 6 2 7 3" xfId="4024" xr:uid="{00000000-0005-0000-0000-0000D8120000}"/>
    <cellStyle name="Comma 3 2 2 2 6 2 7 3 2" xfId="5387" xr:uid="{00000000-0005-0000-0000-0000D9120000}"/>
    <cellStyle name="Comma 3 2 2 2 6 2 7 3 3" xfId="6587" xr:uid="{00000000-0005-0000-0000-0000DA120000}"/>
    <cellStyle name="Comma 3 2 2 2 6 2 7 4" xfId="3503" xr:uid="{00000000-0005-0000-0000-0000DB120000}"/>
    <cellStyle name="Comma 3 2 2 2 6 2 8" xfId="4017" xr:uid="{00000000-0005-0000-0000-0000DC120000}"/>
    <cellStyle name="Comma 3 2 2 2 6 2 8 2" xfId="4576" xr:uid="{00000000-0005-0000-0000-0000DD120000}"/>
    <cellStyle name="Comma 3 2 2 2 6 2 8 3" xfId="5880" xr:uid="{00000000-0005-0000-0000-0000DE120000}"/>
    <cellStyle name="Comma 3 2 2 2 6 2 9" xfId="4441" xr:uid="{00000000-0005-0000-0000-0000DF120000}"/>
    <cellStyle name="Comma 3 2 2 2 6 3" xfId="1983" xr:uid="{00000000-0005-0000-0000-0000E0120000}"/>
    <cellStyle name="Comma 3 2 2 2 6 3 2" xfId="2227" xr:uid="{00000000-0005-0000-0000-0000E1120000}"/>
    <cellStyle name="Comma 3 2 2 2 6 3 2 2" xfId="2952" xr:uid="{00000000-0005-0000-0000-0000E2120000}"/>
    <cellStyle name="Comma 3 2 2 2 6 3 2 2 2" xfId="3063" xr:uid="{00000000-0005-0000-0000-0000E3120000}"/>
    <cellStyle name="Comma 3 2 2 2 6 3 2 2 2 2" xfId="5133" xr:uid="{00000000-0005-0000-0000-0000E4120000}"/>
    <cellStyle name="Comma 3 2 2 2 6 3 2 2 2 2 2" xfId="5243" xr:uid="{00000000-0005-0000-0000-0000E5120000}"/>
    <cellStyle name="Comma 3 2 2 2 6 3 2 2 2 2 3" xfId="6448" xr:uid="{00000000-0005-0000-0000-0000E6120000}"/>
    <cellStyle name="Comma 3 2 2 2 6 3 2 2 2 3" xfId="5726" xr:uid="{00000000-0005-0000-0000-0000E7120000}"/>
    <cellStyle name="Comma 3 2 2 2 6 3 2 2 2 4" xfId="6338" xr:uid="{00000000-0005-0000-0000-0000E8120000}"/>
    <cellStyle name="Comma 3 2 2 2 6 3 2 2 3" xfId="4027" xr:uid="{00000000-0005-0000-0000-0000E9120000}"/>
    <cellStyle name="Comma 3 2 2 2 6 3 2 2 3 2" xfId="5616" xr:uid="{00000000-0005-0000-0000-0000EA120000}"/>
    <cellStyle name="Comma 3 2 2 2 6 3 2 2 3 3" xfId="6749" xr:uid="{00000000-0005-0000-0000-0000EB120000}"/>
    <cellStyle name="Comma 3 2 2 2 6 3 2 2 4" xfId="3500" xr:uid="{00000000-0005-0000-0000-0000EC120000}"/>
    <cellStyle name="Comma 3 2 2 2 6 3 2 3" xfId="3245" xr:uid="{00000000-0005-0000-0000-0000ED120000}"/>
    <cellStyle name="Comma 3 2 2 2 6 3 2 4" xfId="4026" xr:uid="{00000000-0005-0000-0000-0000EE120000}"/>
    <cellStyle name="Comma 3 2 2 2 6 3 2 4 2" xfId="4792" xr:uid="{00000000-0005-0000-0000-0000EF120000}"/>
    <cellStyle name="Comma 3 2 2 2 6 3 2 4 3" xfId="6037" xr:uid="{00000000-0005-0000-0000-0000F0120000}"/>
    <cellStyle name="Comma 3 2 2 2 6 3 2 5" xfId="4720" xr:uid="{00000000-0005-0000-0000-0000F1120000}"/>
    <cellStyle name="Comma 3 2 2 2 6 3 2 6" xfId="3501" xr:uid="{00000000-0005-0000-0000-0000F2120000}"/>
    <cellStyle name="Comma 3 2 2 2 6 3 3" xfId="2374" xr:uid="{00000000-0005-0000-0000-0000F3120000}"/>
    <cellStyle name="Comma 3 2 2 2 6 3 4" xfId="2580" xr:uid="{00000000-0005-0000-0000-0000F4120000}"/>
    <cellStyle name="Comma 3 2 2 2 6 3 5" xfId="2605" xr:uid="{00000000-0005-0000-0000-0000F5120000}"/>
    <cellStyle name="Comma 3 2 2 2 6 3 5 2" xfId="3134" xr:uid="{00000000-0005-0000-0000-0000F6120000}"/>
    <cellStyle name="Comma 3 2 2 2 6 3 5 2 2" xfId="4896" xr:uid="{00000000-0005-0000-0000-0000F7120000}"/>
    <cellStyle name="Comma 3 2 2 2 6 3 5 2 2 2" xfId="5313" xr:uid="{00000000-0005-0000-0000-0000F8120000}"/>
    <cellStyle name="Comma 3 2 2 2 6 3 5 2 2 3" xfId="6518" xr:uid="{00000000-0005-0000-0000-0000F9120000}"/>
    <cellStyle name="Comma 3 2 2 2 6 3 5 2 3" xfId="5796" xr:uid="{00000000-0005-0000-0000-0000FA120000}"/>
    <cellStyle name="Comma 3 2 2 2 6 3 5 2 4" xfId="6111" xr:uid="{00000000-0005-0000-0000-0000FB120000}"/>
    <cellStyle name="Comma 3 2 2 2 6 3 5 3" xfId="4028" xr:uid="{00000000-0005-0000-0000-0000FC120000}"/>
    <cellStyle name="Comma 3 2 2 2 6 3 5 3 2" xfId="5385" xr:uid="{00000000-0005-0000-0000-0000FD120000}"/>
    <cellStyle name="Comma 3 2 2 2 6 3 5 3 3" xfId="6585" xr:uid="{00000000-0005-0000-0000-0000FE120000}"/>
    <cellStyle name="Comma 3 2 2 2 6 3 5 4" xfId="3499" xr:uid="{00000000-0005-0000-0000-0000FF120000}"/>
    <cellStyle name="Comma 3 2 2 2 6 3 6" xfId="4025" xr:uid="{00000000-0005-0000-0000-000000130000}"/>
    <cellStyle name="Comma 3 2 2 2 6 3 6 2" xfId="4654" xr:uid="{00000000-0005-0000-0000-000001130000}"/>
    <cellStyle name="Comma 3 2 2 2 6 3 6 3" xfId="5928" xr:uid="{00000000-0005-0000-0000-000002130000}"/>
    <cellStyle name="Comma 3 2 2 2 6 3 7" xfId="4623" xr:uid="{00000000-0005-0000-0000-000003130000}"/>
    <cellStyle name="Comma 3 2 2 2 6 3 8" xfId="3502" xr:uid="{00000000-0005-0000-0000-000004130000}"/>
    <cellStyle name="Comma 3 2 2 2 6 4" xfId="2157" xr:uid="{00000000-0005-0000-0000-000005130000}"/>
    <cellStyle name="Comma 3 2 2 2 6 5" xfId="2004" xr:uid="{00000000-0005-0000-0000-000006130000}"/>
    <cellStyle name="Comma 3 2 2 2 6 5 2" xfId="2877" xr:uid="{00000000-0005-0000-0000-000007130000}"/>
    <cellStyle name="Comma 3 2 2 2 6 5 2 2" xfId="2969" xr:uid="{00000000-0005-0000-0000-000008130000}"/>
    <cellStyle name="Comma 3 2 2 2 6 5 2 2 2" xfId="5058" xr:uid="{00000000-0005-0000-0000-000009130000}"/>
    <cellStyle name="Comma 3 2 2 2 6 5 2 2 2 2" xfId="5150" xr:uid="{00000000-0005-0000-0000-00000A130000}"/>
    <cellStyle name="Comma 3 2 2 2 6 5 2 2 2 3" xfId="6355" xr:uid="{00000000-0005-0000-0000-00000B130000}"/>
    <cellStyle name="Comma 3 2 2 2 6 5 2 2 3" xfId="5633" xr:uid="{00000000-0005-0000-0000-00000C130000}"/>
    <cellStyle name="Comma 3 2 2 2 6 5 2 2 4" xfId="6263" xr:uid="{00000000-0005-0000-0000-00000D130000}"/>
    <cellStyle name="Comma 3 2 2 2 6 5 2 3" xfId="4030" xr:uid="{00000000-0005-0000-0000-00000E130000}"/>
    <cellStyle name="Comma 3 2 2 2 6 5 2 3 2" xfId="5541" xr:uid="{00000000-0005-0000-0000-00000F130000}"/>
    <cellStyle name="Comma 3 2 2 2 6 5 2 3 3" xfId="6682" xr:uid="{00000000-0005-0000-0000-000010130000}"/>
    <cellStyle name="Comma 3 2 2 2 6 5 2 4" xfId="3497" xr:uid="{00000000-0005-0000-0000-000011130000}"/>
    <cellStyle name="Comma 3 2 2 2 6 5 3" xfId="3151" xr:uid="{00000000-0005-0000-0000-000012130000}"/>
    <cellStyle name="Comma 3 2 2 2 6 5 4" xfId="4029" xr:uid="{00000000-0005-0000-0000-000013130000}"/>
    <cellStyle name="Comma 3 2 2 2 6 5 4 2" xfId="4671" xr:uid="{00000000-0005-0000-0000-000014130000}"/>
    <cellStyle name="Comma 3 2 2 2 6 5 4 3" xfId="5945" xr:uid="{00000000-0005-0000-0000-000015130000}"/>
    <cellStyle name="Comma 3 2 2 2 6 5 5" xfId="4511" xr:uid="{00000000-0005-0000-0000-000016130000}"/>
    <cellStyle name="Comma 3 2 2 2 6 5 6" xfId="3498" xr:uid="{00000000-0005-0000-0000-000017130000}"/>
    <cellStyle name="Comma 3 2 2 2 6 6" xfId="2575" xr:uid="{00000000-0005-0000-0000-000018130000}"/>
    <cellStyle name="Comma 3 2 2 2 6 7" xfId="2615" xr:uid="{00000000-0005-0000-0000-000019130000}"/>
    <cellStyle name="Comma 3 2 2 2 6 7 2" xfId="2838" xr:uid="{00000000-0005-0000-0000-00001A130000}"/>
    <cellStyle name="Comma 3 2 2 2 6 7 2 2" xfId="4899" xr:uid="{00000000-0005-0000-0000-00001B130000}"/>
    <cellStyle name="Comma 3 2 2 2 6 7 2 2 2" xfId="5023" xr:uid="{00000000-0005-0000-0000-00001C130000}"/>
    <cellStyle name="Comma 3 2 2 2 6 7 2 2 3" xfId="6228" xr:uid="{00000000-0005-0000-0000-00001D130000}"/>
    <cellStyle name="Comma 3 2 2 2 6 7 2 3" xfId="5506" xr:uid="{00000000-0005-0000-0000-00001E130000}"/>
    <cellStyle name="Comma 3 2 2 2 6 7 2 4" xfId="6114" xr:uid="{00000000-0005-0000-0000-00001F130000}"/>
    <cellStyle name="Comma 3 2 2 2 6 7 3" xfId="4031" xr:uid="{00000000-0005-0000-0000-000020130000}"/>
    <cellStyle name="Comma 3 2 2 2 6 7 3 2" xfId="5388" xr:uid="{00000000-0005-0000-0000-000021130000}"/>
    <cellStyle name="Comma 3 2 2 2 6 7 3 3" xfId="6588" xr:uid="{00000000-0005-0000-0000-000022130000}"/>
    <cellStyle name="Comma 3 2 2 2 6 7 4" xfId="3496" xr:uid="{00000000-0005-0000-0000-000023130000}"/>
    <cellStyle name="Comma 3 2 2 2 6 8" xfId="4016" xr:uid="{00000000-0005-0000-0000-000024130000}"/>
    <cellStyle name="Comma 3 2 2 2 6 8 2" xfId="4528" xr:uid="{00000000-0005-0000-0000-000025130000}"/>
    <cellStyle name="Comma 3 2 2 2 6 8 3" xfId="5861" xr:uid="{00000000-0005-0000-0000-000026130000}"/>
    <cellStyle name="Comma 3 2 2 2 6 9" xfId="4461" xr:uid="{00000000-0005-0000-0000-000027130000}"/>
    <cellStyle name="Comma 3 2 2 2 7" xfId="1979" xr:uid="{00000000-0005-0000-0000-000028130000}"/>
    <cellStyle name="Comma 3 2 2 2 7 2" xfId="2144" xr:uid="{00000000-0005-0000-0000-000029130000}"/>
    <cellStyle name="Comma 3 2 2 2 7 2 2" xfId="2948" xr:uid="{00000000-0005-0000-0000-00002A130000}"/>
    <cellStyle name="Comma 3 2 2 2 7 2 2 2" xfId="3009" xr:uid="{00000000-0005-0000-0000-00002B130000}"/>
    <cellStyle name="Comma 3 2 2 2 7 2 2 2 2" xfId="5129" xr:uid="{00000000-0005-0000-0000-00002C130000}"/>
    <cellStyle name="Comma 3 2 2 2 7 2 2 2 2 2" xfId="5189" xr:uid="{00000000-0005-0000-0000-00002D130000}"/>
    <cellStyle name="Comma 3 2 2 2 7 2 2 2 2 3" xfId="6394" xr:uid="{00000000-0005-0000-0000-00002E130000}"/>
    <cellStyle name="Comma 3 2 2 2 7 2 2 2 3" xfId="5672" xr:uid="{00000000-0005-0000-0000-00002F130000}"/>
    <cellStyle name="Comma 3 2 2 2 7 2 2 2 4" xfId="6334" xr:uid="{00000000-0005-0000-0000-000030130000}"/>
    <cellStyle name="Comma 3 2 2 2 7 2 2 3" xfId="4034" xr:uid="{00000000-0005-0000-0000-000031130000}"/>
    <cellStyle name="Comma 3 2 2 2 7 2 2 3 2" xfId="5612" xr:uid="{00000000-0005-0000-0000-000032130000}"/>
    <cellStyle name="Comma 3 2 2 2 7 2 2 3 3" xfId="6745" xr:uid="{00000000-0005-0000-0000-000033130000}"/>
    <cellStyle name="Comma 3 2 2 2 7 2 2 4" xfId="3493" xr:uid="{00000000-0005-0000-0000-000034130000}"/>
    <cellStyle name="Comma 3 2 2 2 7 2 3" xfId="3191" xr:uid="{00000000-0005-0000-0000-000035130000}"/>
    <cellStyle name="Comma 3 2 2 2 7 2 4" xfId="4033" xr:uid="{00000000-0005-0000-0000-000036130000}"/>
    <cellStyle name="Comma 3 2 2 2 7 2 4 2" xfId="4737" xr:uid="{00000000-0005-0000-0000-000037130000}"/>
    <cellStyle name="Comma 3 2 2 2 7 2 4 3" xfId="5983" xr:uid="{00000000-0005-0000-0000-000038130000}"/>
    <cellStyle name="Comma 3 2 2 2 7 2 5" xfId="4847" xr:uid="{00000000-0005-0000-0000-000039130000}"/>
    <cellStyle name="Comma 3 2 2 2 7 2 6" xfId="3494" xr:uid="{00000000-0005-0000-0000-00003A130000}"/>
    <cellStyle name="Comma 3 2 2 2 7 3" xfId="2321" xr:uid="{00000000-0005-0000-0000-00003B130000}"/>
    <cellStyle name="Comma 3 2 2 2 7 4" xfId="2581" xr:uid="{00000000-0005-0000-0000-00003C130000}"/>
    <cellStyle name="Comma 3 2 2 2 7 5" xfId="2602" xr:uid="{00000000-0005-0000-0000-00003D130000}"/>
    <cellStyle name="Comma 3 2 2 2 7 5 2" xfId="3130" xr:uid="{00000000-0005-0000-0000-00003E130000}"/>
    <cellStyle name="Comma 3 2 2 2 7 5 2 2" xfId="4895" xr:uid="{00000000-0005-0000-0000-00003F130000}"/>
    <cellStyle name="Comma 3 2 2 2 7 5 2 2 2" xfId="5309" xr:uid="{00000000-0005-0000-0000-000040130000}"/>
    <cellStyle name="Comma 3 2 2 2 7 5 2 2 3" xfId="6514" xr:uid="{00000000-0005-0000-0000-000041130000}"/>
    <cellStyle name="Comma 3 2 2 2 7 5 2 3" xfId="5792" xr:uid="{00000000-0005-0000-0000-000042130000}"/>
    <cellStyle name="Comma 3 2 2 2 7 5 2 4" xfId="6110" xr:uid="{00000000-0005-0000-0000-000043130000}"/>
    <cellStyle name="Comma 3 2 2 2 7 5 3" xfId="4035" xr:uid="{00000000-0005-0000-0000-000044130000}"/>
    <cellStyle name="Comma 3 2 2 2 7 5 3 2" xfId="5384" xr:uid="{00000000-0005-0000-0000-000045130000}"/>
    <cellStyle name="Comma 3 2 2 2 7 5 3 3" xfId="6584" xr:uid="{00000000-0005-0000-0000-000046130000}"/>
    <cellStyle name="Comma 3 2 2 2 7 5 4" xfId="3492" xr:uid="{00000000-0005-0000-0000-000047130000}"/>
    <cellStyle name="Comma 3 2 2 2 7 6" xfId="4032" xr:uid="{00000000-0005-0000-0000-000048130000}"/>
    <cellStyle name="Comma 3 2 2 2 7 6 2" xfId="4650" xr:uid="{00000000-0005-0000-0000-000049130000}"/>
    <cellStyle name="Comma 3 2 2 2 7 6 3" xfId="5924" xr:uid="{00000000-0005-0000-0000-00004A130000}"/>
    <cellStyle name="Comma 3 2 2 2 7 7" xfId="4538" xr:uid="{00000000-0005-0000-0000-00004B130000}"/>
    <cellStyle name="Comma 3 2 2 2 7 8" xfId="3495" xr:uid="{00000000-0005-0000-0000-00004C130000}"/>
    <cellStyle name="Comma 3 2 2 2 8" xfId="2145" xr:uid="{00000000-0005-0000-0000-00004D130000}"/>
    <cellStyle name="Comma 3 2 2 2 9" xfId="2141" xr:uid="{00000000-0005-0000-0000-00004E130000}"/>
    <cellStyle name="Comma 3 2 2 3" xfId="1712" xr:uid="{00000000-0005-0000-0000-00004F130000}"/>
    <cellStyle name="Comma 3 2 2 3 10" xfId="4465" xr:uid="{00000000-0005-0000-0000-000050130000}"/>
    <cellStyle name="Comma 3 2 2 3 11" xfId="3491" xr:uid="{00000000-0005-0000-0000-000051130000}"/>
    <cellStyle name="Comma 3 2 2 3 12" xfId="9059" xr:uid="{00000000-0005-0000-0000-000052130000}"/>
    <cellStyle name="Comma 3 2 2 3 2" xfId="1830" xr:uid="{00000000-0005-0000-0000-000053130000}"/>
    <cellStyle name="Comma 3 2 2 3 2 10" xfId="4448" xr:uid="{00000000-0005-0000-0000-000054130000}"/>
    <cellStyle name="Comma 3 2 2 3 2 11" xfId="3490" xr:uid="{00000000-0005-0000-0000-000055130000}"/>
    <cellStyle name="Comma 3 2 2 3 2 12" xfId="9060" xr:uid="{00000000-0005-0000-0000-000056130000}"/>
    <cellStyle name="Comma 3 2 2 3 2 2" xfId="1866" xr:uid="{00000000-0005-0000-0000-000057130000}"/>
    <cellStyle name="Comma 3 2 2 3 2 2 10" xfId="3489" xr:uid="{00000000-0005-0000-0000-000058130000}"/>
    <cellStyle name="Comma 3 2 2 3 2 2 11" xfId="9061" xr:uid="{00000000-0005-0000-0000-000059130000}"/>
    <cellStyle name="Comma 3 2 2 3 2 2 2" xfId="1874" xr:uid="{00000000-0005-0000-0000-00005A130000}"/>
    <cellStyle name="Comma 3 2 2 3 2 2 2 10" xfId="3488" xr:uid="{00000000-0005-0000-0000-00005B130000}"/>
    <cellStyle name="Comma 3 2 2 3 2 2 2 2" xfId="2214" xr:uid="{00000000-0005-0000-0000-00005C130000}"/>
    <cellStyle name="Comma 3 2 2 3 2 2 2 2 2" xfId="2222" xr:uid="{00000000-0005-0000-0000-00005D130000}"/>
    <cellStyle name="Comma 3 2 2 3 2 2 2 2 2 2" xfId="3052" xr:uid="{00000000-0005-0000-0000-00005E130000}"/>
    <cellStyle name="Comma 3 2 2 3 2 2 2 2 2 2 2" xfId="3060" xr:uid="{00000000-0005-0000-0000-00005F130000}"/>
    <cellStyle name="Comma 3 2 2 3 2 2 2 2 2 2 2 2" xfId="5232" xr:uid="{00000000-0005-0000-0000-000060130000}"/>
    <cellStyle name="Comma 3 2 2 3 2 2 2 2 2 2 2 2 2" xfId="5240" xr:uid="{00000000-0005-0000-0000-000061130000}"/>
    <cellStyle name="Comma 3 2 2 3 2 2 2 2 2 2 2 2 3" xfId="6445" xr:uid="{00000000-0005-0000-0000-000062130000}"/>
    <cellStyle name="Comma 3 2 2 3 2 2 2 2 2 2 2 3" xfId="5723" xr:uid="{00000000-0005-0000-0000-000063130000}"/>
    <cellStyle name="Comma 3 2 2 3 2 2 2 2 2 2 2 4" xfId="6437" xr:uid="{00000000-0005-0000-0000-000064130000}"/>
    <cellStyle name="Comma 3 2 2 3 2 2 2 2 2 2 3" xfId="4042" xr:uid="{00000000-0005-0000-0000-000065130000}"/>
    <cellStyle name="Comma 3 2 2 3 2 2 2 2 2 2 3 2" xfId="5715" xr:uid="{00000000-0005-0000-0000-000066130000}"/>
    <cellStyle name="Comma 3 2 2 3 2 2 2 2 2 2 3 3" xfId="6778" xr:uid="{00000000-0005-0000-0000-000067130000}"/>
    <cellStyle name="Comma 3 2 2 3 2 2 2 2 2 2 4" xfId="3485" xr:uid="{00000000-0005-0000-0000-000068130000}"/>
    <cellStyle name="Comma 3 2 2 3 2 2 2 2 2 3" xfId="3242" xr:uid="{00000000-0005-0000-0000-000069130000}"/>
    <cellStyle name="Comma 3 2 2 3 2 2 2 2 2 4" xfId="4041" xr:uid="{00000000-0005-0000-0000-00006A130000}"/>
    <cellStyle name="Comma 3 2 2 3 2 2 2 2 2 4 2" xfId="4789" xr:uid="{00000000-0005-0000-0000-00006B130000}"/>
    <cellStyle name="Comma 3 2 2 3 2 2 2 2 2 4 3" xfId="6034" xr:uid="{00000000-0005-0000-0000-00006C130000}"/>
    <cellStyle name="Comma 3 2 2 3 2 2 2 2 2 5" xfId="4604" xr:uid="{00000000-0005-0000-0000-00006D130000}"/>
    <cellStyle name="Comma 3 2 2 3 2 2 2 2 2 6" xfId="3486" xr:uid="{00000000-0005-0000-0000-00006E130000}"/>
    <cellStyle name="Comma 3 2 2 3 2 2 2 2 3" xfId="2371" xr:uid="{00000000-0005-0000-0000-00006F130000}"/>
    <cellStyle name="Comma 3 2 2 3 2 2 2 2 4" xfId="2587" xr:uid="{00000000-0005-0000-0000-000070130000}"/>
    <cellStyle name="Comma 3 2 2 3 2 2 2 2 5" xfId="2591" xr:uid="{00000000-0005-0000-0000-000071130000}"/>
    <cellStyle name="Comma 3 2 2 3 2 2 2 2 5 2" xfId="3234" xr:uid="{00000000-0005-0000-0000-000072130000}"/>
    <cellStyle name="Comma 3 2 2 3 2 2 2 2 5 2 2" xfId="4890" xr:uid="{00000000-0005-0000-0000-000073130000}"/>
    <cellStyle name="Comma 3 2 2 3 2 2 2 2 5 2 2 2" xfId="5343" xr:uid="{00000000-0005-0000-0000-000074130000}"/>
    <cellStyle name="Comma 3 2 2 3 2 2 2 2 5 2 2 3" xfId="6548" xr:uid="{00000000-0005-0000-0000-000075130000}"/>
    <cellStyle name="Comma 3 2 2 3 2 2 2 2 5 2 3" xfId="5826" xr:uid="{00000000-0005-0000-0000-000076130000}"/>
    <cellStyle name="Comma 3 2 2 3 2 2 2 2 5 2 4" xfId="6105" xr:uid="{00000000-0005-0000-0000-000077130000}"/>
    <cellStyle name="Comma 3 2 2 3 2 2 2 2 5 3" xfId="4043" xr:uid="{00000000-0005-0000-0000-000078130000}"/>
    <cellStyle name="Comma 3 2 2 3 2 2 2 2 5 3 2" xfId="5379" xr:uid="{00000000-0005-0000-0000-000079130000}"/>
    <cellStyle name="Comma 3 2 2 3 2 2 2 2 5 3 3" xfId="6579" xr:uid="{00000000-0005-0000-0000-00007A130000}"/>
    <cellStyle name="Comma 3 2 2 3 2 2 2 2 5 4" xfId="3484" xr:uid="{00000000-0005-0000-0000-00007B130000}"/>
    <cellStyle name="Comma 3 2 2 3 2 2 2 2 6" xfId="4040" xr:uid="{00000000-0005-0000-0000-00007C130000}"/>
    <cellStyle name="Comma 3 2 2 3 2 2 2 2 6 2" xfId="4781" xr:uid="{00000000-0005-0000-0000-00007D130000}"/>
    <cellStyle name="Comma 3 2 2 3 2 2 2 2 6 3" xfId="6026" xr:uid="{00000000-0005-0000-0000-00007E130000}"/>
    <cellStyle name="Comma 3 2 2 3 2 2 2 2 7" xfId="4840" xr:uid="{00000000-0005-0000-0000-00007F130000}"/>
    <cellStyle name="Comma 3 2 2 3 2 2 2 2 8" xfId="3487" xr:uid="{00000000-0005-0000-0000-000080130000}"/>
    <cellStyle name="Comma 3 2 2 3 2 2 2 3" xfId="2274" xr:uid="{00000000-0005-0000-0000-000081130000}"/>
    <cellStyle name="Comma 3 2 2 3 2 2 2 4" xfId="2309" xr:uid="{00000000-0005-0000-0000-000082130000}"/>
    <cellStyle name="Comma 3 2 2 3 2 2 2 5" xfId="2363" xr:uid="{00000000-0005-0000-0000-000083130000}"/>
    <cellStyle name="Comma 3 2 2 3 2 2 2 5 2" xfId="2924" xr:uid="{00000000-0005-0000-0000-000084130000}"/>
    <cellStyle name="Comma 3 2 2 3 2 2 2 5 2 2" xfId="3100" xr:uid="{00000000-0005-0000-0000-000085130000}"/>
    <cellStyle name="Comma 3 2 2 3 2 2 2 5 2 2 2" xfId="5105" xr:uid="{00000000-0005-0000-0000-000086130000}"/>
    <cellStyle name="Comma 3 2 2 3 2 2 2 5 2 2 2 2" xfId="5280" xr:uid="{00000000-0005-0000-0000-000087130000}"/>
    <cellStyle name="Comma 3 2 2 3 2 2 2 5 2 2 2 3" xfId="6485" xr:uid="{00000000-0005-0000-0000-000088130000}"/>
    <cellStyle name="Comma 3 2 2 3 2 2 2 5 2 2 3" xfId="5763" xr:uid="{00000000-0005-0000-0000-000089130000}"/>
    <cellStyle name="Comma 3 2 2 3 2 2 2 5 2 2 4" xfId="6310" xr:uid="{00000000-0005-0000-0000-00008A130000}"/>
    <cellStyle name="Comma 3 2 2 3 2 2 2 5 2 3" xfId="4045" xr:uid="{00000000-0005-0000-0000-00008B130000}"/>
    <cellStyle name="Comma 3 2 2 3 2 2 2 5 2 3 2" xfId="5588" xr:uid="{00000000-0005-0000-0000-00008C130000}"/>
    <cellStyle name="Comma 3 2 2 3 2 2 2 5 2 3 3" xfId="6722" xr:uid="{00000000-0005-0000-0000-00008D130000}"/>
    <cellStyle name="Comma 3 2 2 3 2 2 2 5 2 4" xfId="3482" xr:uid="{00000000-0005-0000-0000-00008E130000}"/>
    <cellStyle name="Comma 3 2 2 3 2 2 2 5 3" xfId="3282" xr:uid="{00000000-0005-0000-0000-00008F130000}"/>
    <cellStyle name="Comma 3 2 2 3 2 2 2 5 4" xfId="4044" xr:uid="{00000000-0005-0000-0000-000090130000}"/>
    <cellStyle name="Comma 3 2 2 3 2 2 2 5 4 2" xfId="4830" xr:uid="{00000000-0005-0000-0000-000091130000}"/>
    <cellStyle name="Comma 3 2 2 3 2 2 2 5 4 3" xfId="6075" xr:uid="{00000000-0005-0000-0000-000092130000}"/>
    <cellStyle name="Comma 3 2 2 3 2 2 2 5 5" xfId="4380" xr:uid="{00000000-0005-0000-0000-000093130000}"/>
    <cellStyle name="Comma 3 2 2 3 2 2 2 5 6" xfId="3483" xr:uid="{00000000-0005-0000-0000-000094130000}"/>
    <cellStyle name="Comma 3 2 2 3 2 2 2 6" xfId="2586" xr:uid="{00000000-0005-0000-0000-000095130000}"/>
    <cellStyle name="Comma 3 2 2 3 2 2 2 7" xfId="2594" xr:uid="{00000000-0005-0000-0000-000096130000}"/>
    <cellStyle name="Comma 3 2 2 3 2 2 2 7 2" xfId="2805" xr:uid="{00000000-0005-0000-0000-000097130000}"/>
    <cellStyle name="Comma 3 2 2 3 2 2 2 7 2 2" xfId="4891" xr:uid="{00000000-0005-0000-0000-000098130000}"/>
    <cellStyle name="Comma 3 2 2 3 2 2 2 7 2 2 2" xfId="4990" xr:uid="{00000000-0005-0000-0000-000099130000}"/>
    <cellStyle name="Comma 3 2 2 3 2 2 2 7 2 2 3" xfId="6195" xr:uid="{00000000-0005-0000-0000-00009A130000}"/>
    <cellStyle name="Comma 3 2 2 3 2 2 2 7 2 3" xfId="5473" xr:uid="{00000000-0005-0000-0000-00009B130000}"/>
    <cellStyle name="Comma 3 2 2 3 2 2 2 7 2 4" xfId="6106" xr:uid="{00000000-0005-0000-0000-00009C130000}"/>
    <cellStyle name="Comma 3 2 2 3 2 2 2 7 3" xfId="4046" xr:uid="{00000000-0005-0000-0000-00009D130000}"/>
    <cellStyle name="Comma 3 2 2 3 2 2 2 7 3 2" xfId="5380" xr:uid="{00000000-0005-0000-0000-00009E130000}"/>
    <cellStyle name="Comma 3 2 2 3 2 2 2 7 3 3" xfId="6580" xr:uid="{00000000-0005-0000-0000-00009F130000}"/>
    <cellStyle name="Comma 3 2 2 3 2 2 2 7 4" xfId="3481" xr:uid="{00000000-0005-0000-0000-0000A0130000}"/>
    <cellStyle name="Comma 3 2 2 3 2 2 2 8" xfId="4039" xr:uid="{00000000-0005-0000-0000-0000A1130000}"/>
    <cellStyle name="Comma 3 2 2 3 2 2 2 8 2" xfId="4597" xr:uid="{00000000-0005-0000-0000-0000A2130000}"/>
    <cellStyle name="Comma 3 2 2 3 2 2 2 8 3" xfId="5901" xr:uid="{00000000-0005-0000-0000-0000A3130000}"/>
    <cellStyle name="Comma 3 2 2 3 2 2 2 9" xfId="4420" xr:uid="{00000000-0005-0000-0000-0000A4130000}"/>
    <cellStyle name="Comma 3 2 2 3 2 2 3" xfId="1986" xr:uid="{00000000-0005-0000-0000-0000A5130000}"/>
    <cellStyle name="Comma 3 2 2 3 2 2 3 2" xfId="2266" xr:uid="{00000000-0005-0000-0000-0000A6130000}"/>
    <cellStyle name="Comma 3 2 2 3 2 2 3 2 2" xfId="2955" xr:uid="{00000000-0005-0000-0000-0000A7130000}"/>
    <cellStyle name="Comma 3 2 2 3 2 2 3 2 2 2" xfId="3077" xr:uid="{00000000-0005-0000-0000-0000A8130000}"/>
    <cellStyle name="Comma 3 2 2 3 2 2 3 2 2 2 2" xfId="5136" xr:uid="{00000000-0005-0000-0000-0000A9130000}"/>
    <cellStyle name="Comma 3 2 2 3 2 2 3 2 2 2 2 2" xfId="5257" xr:uid="{00000000-0005-0000-0000-0000AA130000}"/>
    <cellStyle name="Comma 3 2 2 3 2 2 3 2 2 2 2 3" xfId="6462" xr:uid="{00000000-0005-0000-0000-0000AB130000}"/>
    <cellStyle name="Comma 3 2 2 3 2 2 3 2 2 2 3" xfId="5740" xr:uid="{00000000-0005-0000-0000-0000AC130000}"/>
    <cellStyle name="Comma 3 2 2 3 2 2 3 2 2 2 4" xfId="6341" xr:uid="{00000000-0005-0000-0000-0000AD130000}"/>
    <cellStyle name="Comma 3 2 2 3 2 2 3 2 2 3" xfId="4049" xr:uid="{00000000-0005-0000-0000-0000AE130000}"/>
    <cellStyle name="Comma 3 2 2 3 2 2 3 2 2 3 2" xfId="5619" xr:uid="{00000000-0005-0000-0000-0000AF130000}"/>
    <cellStyle name="Comma 3 2 2 3 2 2 3 2 2 3 3" xfId="6752" xr:uid="{00000000-0005-0000-0000-0000B0130000}"/>
    <cellStyle name="Comma 3 2 2 3 2 2 3 2 2 4" xfId="3478" xr:uid="{00000000-0005-0000-0000-0000B1130000}"/>
    <cellStyle name="Comma 3 2 2 3 2 2 3 2 3" xfId="3259" xr:uid="{00000000-0005-0000-0000-0000B2130000}"/>
    <cellStyle name="Comma 3 2 2 3 2 2 3 2 4" xfId="4048" xr:uid="{00000000-0005-0000-0000-0000B3130000}"/>
    <cellStyle name="Comma 3 2 2 3 2 2 3 2 4 2" xfId="4806" xr:uid="{00000000-0005-0000-0000-0000B4130000}"/>
    <cellStyle name="Comma 3 2 2 3 2 2 3 2 4 3" xfId="6051" xr:uid="{00000000-0005-0000-0000-0000B5130000}"/>
    <cellStyle name="Comma 3 2 2 3 2 2 3 2 5" xfId="4494" xr:uid="{00000000-0005-0000-0000-0000B6130000}"/>
    <cellStyle name="Comma 3 2 2 3 2 2 3 2 6" xfId="3479" xr:uid="{00000000-0005-0000-0000-0000B7130000}"/>
    <cellStyle name="Comma 3 2 2 3 2 2 3 3" xfId="2386" xr:uid="{00000000-0005-0000-0000-0000B8130000}"/>
    <cellStyle name="Comma 3 2 2 3 2 2 3 4" xfId="2589" xr:uid="{00000000-0005-0000-0000-0000B9130000}"/>
    <cellStyle name="Comma 3 2 2 3 2 2 3 5" xfId="2588" xr:uid="{00000000-0005-0000-0000-0000BA130000}"/>
    <cellStyle name="Comma 3 2 2 3 2 2 3 5 2" xfId="3137" xr:uid="{00000000-0005-0000-0000-0000BB130000}"/>
    <cellStyle name="Comma 3 2 2 3 2 2 3 5 2 2" xfId="4889" xr:uid="{00000000-0005-0000-0000-0000BC130000}"/>
    <cellStyle name="Comma 3 2 2 3 2 2 3 5 2 2 2" xfId="5316" xr:uid="{00000000-0005-0000-0000-0000BD130000}"/>
    <cellStyle name="Comma 3 2 2 3 2 2 3 5 2 2 3" xfId="6521" xr:uid="{00000000-0005-0000-0000-0000BE130000}"/>
    <cellStyle name="Comma 3 2 2 3 2 2 3 5 2 3" xfId="5799" xr:uid="{00000000-0005-0000-0000-0000BF130000}"/>
    <cellStyle name="Comma 3 2 2 3 2 2 3 5 2 4" xfId="6104" xr:uid="{00000000-0005-0000-0000-0000C0130000}"/>
    <cellStyle name="Comma 3 2 2 3 2 2 3 5 3" xfId="4050" xr:uid="{00000000-0005-0000-0000-0000C1130000}"/>
    <cellStyle name="Comma 3 2 2 3 2 2 3 5 3 2" xfId="5378" xr:uid="{00000000-0005-0000-0000-0000C2130000}"/>
    <cellStyle name="Comma 3 2 2 3 2 2 3 5 3 3" xfId="6578" xr:uid="{00000000-0005-0000-0000-0000C3130000}"/>
    <cellStyle name="Comma 3 2 2 3 2 2 3 5 4" xfId="3477" xr:uid="{00000000-0005-0000-0000-0000C4130000}"/>
    <cellStyle name="Comma 3 2 2 3 2 2 3 6" xfId="4047" xr:uid="{00000000-0005-0000-0000-0000C5130000}"/>
    <cellStyle name="Comma 3 2 2 3 2 2 3 6 2" xfId="4657" xr:uid="{00000000-0005-0000-0000-0000C6130000}"/>
    <cellStyle name="Comma 3 2 2 3 2 2 3 6 3" xfId="5931" xr:uid="{00000000-0005-0000-0000-0000C7130000}"/>
    <cellStyle name="Comma 3 2 2 3 2 2 3 7" xfId="4410" xr:uid="{00000000-0005-0000-0000-0000C8130000}"/>
    <cellStyle name="Comma 3 2 2 3 2 2 3 8" xfId="3480" xr:uid="{00000000-0005-0000-0000-0000C9130000}"/>
    <cellStyle name="Comma 3 2 2 3 2 2 4" xfId="2301" xr:uid="{00000000-0005-0000-0000-0000CA130000}"/>
    <cellStyle name="Comma 3 2 2 3 2 2 5" xfId="2001" xr:uid="{00000000-0005-0000-0000-0000CB130000}"/>
    <cellStyle name="Comma 3 2 2 3 2 2 5 2" xfId="2916" xr:uid="{00000000-0005-0000-0000-0000CC130000}"/>
    <cellStyle name="Comma 3 2 2 3 2 2 5 2 2" xfId="2966" xr:uid="{00000000-0005-0000-0000-0000CD130000}"/>
    <cellStyle name="Comma 3 2 2 3 2 2 5 2 2 2" xfId="5097" xr:uid="{00000000-0005-0000-0000-0000CE130000}"/>
    <cellStyle name="Comma 3 2 2 3 2 2 5 2 2 2 2" xfId="5147" xr:uid="{00000000-0005-0000-0000-0000CF130000}"/>
    <cellStyle name="Comma 3 2 2 3 2 2 5 2 2 2 3" xfId="6352" xr:uid="{00000000-0005-0000-0000-0000D0130000}"/>
    <cellStyle name="Comma 3 2 2 3 2 2 5 2 2 3" xfId="5630" xr:uid="{00000000-0005-0000-0000-0000D1130000}"/>
    <cellStyle name="Comma 3 2 2 3 2 2 5 2 2 4" xfId="6302" xr:uid="{00000000-0005-0000-0000-0000D2130000}"/>
    <cellStyle name="Comma 3 2 2 3 2 2 5 2 3" xfId="4052" xr:uid="{00000000-0005-0000-0000-0000D3130000}"/>
    <cellStyle name="Comma 3 2 2 3 2 2 5 2 3 2" xfId="5580" xr:uid="{00000000-0005-0000-0000-0000D4130000}"/>
    <cellStyle name="Comma 3 2 2 3 2 2 5 2 3 3" xfId="6714" xr:uid="{00000000-0005-0000-0000-0000D5130000}"/>
    <cellStyle name="Comma 3 2 2 3 2 2 5 2 4" xfId="3475" xr:uid="{00000000-0005-0000-0000-0000D6130000}"/>
    <cellStyle name="Comma 3 2 2 3 2 2 5 3" xfId="3148" xr:uid="{00000000-0005-0000-0000-0000D7130000}"/>
    <cellStyle name="Comma 3 2 2 3 2 2 5 4" xfId="4051" xr:uid="{00000000-0005-0000-0000-0000D8130000}"/>
    <cellStyle name="Comma 3 2 2 3 2 2 5 4 2" xfId="4668" xr:uid="{00000000-0005-0000-0000-0000D9130000}"/>
    <cellStyle name="Comma 3 2 2 3 2 2 5 4 3" xfId="5942" xr:uid="{00000000-0005-0000-0000-0000DA130000}"/>
    <cellStyle name="Comma 3 2 2 3 2 2 5 5" xfId="4706" xr:uid="{00000000-0005-0000-0000-0000DB130000}"/>
    <cellStyle name="Comma 3 2 2 3 2 2 5 6" xfId="3476" xr:uid="{00000000-0005-0000-0000-0000DC130000}"/>
    <cellStyle name="Comma 3 2 2 3 2 2 6" xfId="2585" xr:uid="{00000000-0005-0000-0000-0000DD130000}"/>
    <cellStyle name="Comma 3 2 2 3 2 2 7" xfId="2595" xr:uid="{00000000-0005-0000-0000-0000DE130000}"/>
    <cellStyle name="Comma 3 2 2 3 2 2 7 2" xfId="2813" xr:uid="{00000000-0005-0000-0000-0000DF130000}"/>
    <cellStyle name="Comma 3 2 2 3 2 2 7 2 2" xfId="4892" xr:uid="{00000000-0005-0000-0000-0000E0130000}"/>
    <cellStyle name="Comma 3 2 2 3 2 2 7 2 2 2" xfId="4998" xr:uid="{00000000-0005-0000-0000-0000E1130000}"/>
    <cellStyle name="Comma 3 2 2 3 2 2 7 2 2 3" xfId="6203" xr:uid="{00000000-0005-0000-0000-0000E2130000}"/>
    <cellStyle name="Comma 3 2 2 3 2 2 7 2 3" xfId="5481" xr:uid="{00000000-0005-0000-0000-0000E3130000}"/>
    <cellStyle name="Comma 3 2 2 3 2 2 7 2 4" xfId="6107" xr:uid="{00000000-0005-0000-0000-0000E4130000}"/>
    <cellStyle name="Comma 3 2 2 3 2 2 7 3" xfId="4053" xr:uid="{00000000-0005-0000-0000-0000E5130000}"/>
    <cellStyle name="Comma 3 2 2 3 2 2 7 3 2" xfId="5381" xr:uid="{00000000-0005-0000-0000-0000E6130000}"/>
    <cellStyle name="Comma 3 2 2 3 2 2 7 3 3" xfId="6581" xr:uid="{00000000-0005-0000-0000-0000E7130000}"/>
    <cellStyle name="Comma 3 2 2 3 2 2 7 4" xfId="3474" xr:uid="{00000000-0005-0000-0000-0000E8130000}"/>
    <cellStyle name="Comma 3 2 2 3 2 2 8" xfId="4038" xr:uid="{00000000-0005-0000-0000-0000E9130000}"/>
    <cellStyle name="Comma 3 2 2 3 2 2 8 2" xfId="4589" xr:uid="{00000000-0005-0000-0000-0000EA130000}"/>
    <cellStyle name="Comma 3 2 2 3 2 2 8 3" xfId="5893" xr:uid="{00000000-0005-0000-0000-0000EB130000}"/>
    <cellStyle name="Comma 3 2 2 3 2 2 9" xfId="4428" xr:uid="{00000000-0005-0000-0000-0000EC130000}"/>
    <cellStyle name="Comma 3 2 2 3 2 3" xfId="1985" xr:uid="{00000000-0005-0000-0000-0000ED130000}"/>
    <cellStyle name="Comma 3 2 2 3 2 3 2" xfId="2194" xr:uid="{00000000-0005-0000-0000-0000EE130000}"/>
    <cellStyle name="Comma 3 2 2 3 2 3 2 2" xfId="2954" xr:uid="{00000000-0005-0000-0000-0000EF130000}"/>
    <cellStyle name="Comma 3 2 2 3 2 3 2 2 2" xfId="3032" xr:uid="{00000000-0005-0000-0000-0000F0130000}"/>
    <cellStyle name="Comma 3 2 2 3 2 3 2 2 2 2" xfId="5135" xr:uid="{00000000-0005-0000-0000-0000F1130000}"/>
    <cellStyle name="Comma 3 2 2 3 2 3 2 2 2 2 2" xfId="5212" xr:uid="{00000000-0005-0000-0000-0000F2130000}"/>
    <cellStyle name="Comma 3 2 2 3 2 3 2 2 2 2 3" xfId="6417" xr:uid="{00000000-0005-0000-0000-0000F3130000}"/>
    <cellStyle name="Comma 3 2 2 3 2 3 2 2 2 3" xfId="5695" xr:uid="{00000000-0005-0000-0000-0000F4130000}"/>
    <cellStyle name="Comma 3 2 2 3 2 3 2 2 2 4" xfId="6340" xr:uid="{00000000-0005-0000-0000-0000F5130000}"/>
    <cellStyle name="Comma 3 2 2 3 2 3 2 2 3" xfId="4056" xr:uid="{00000000-0005-0000-0000-0000F6130000}"/>
    <cellStyle name="Comma 3 2 2 3 2 3 2 2 3 2" xfId="5618" xr:uid="{00000000-0005-0000-0000-0000F7130000}"/>
    <cellStyle name="Comma 3 2 2 3 2 3 2 2 3 3" xfId="6751" xr:uid="{00000000-0005-0000-0000-0000F8130000}"/>
    <cellStyle name="Comma 3 2 2 3 2 3 2 2 4" xfId="3471" xr:uid="{00000000-0005-0000-0000-0000F9130000}"/>
    <cellStyle name="Comma 3 2 2 3 2 3 2 3" xfId="3214" xr:uid="{00000000-0005-0000-0000-0000FA130000}"/>
    <cellStyle name="Comma 3 2 2 3 2 3 2 4" xfId="4055" xr:uid="{00000000-0005-0000-0000-0000FB130000}"/>
    <cellStyle name="Comma 3 2 2 3 2 3 2 4 2" xfId="4761" xr:uid="{00000000-0005-0000-0000-0000FC130000}"/>
    <cellStyle name="Comma 3 2 2 3 2 3 2 4 3" xfId="6006" xr:uid="{00000000-0005-0000-0000-0000FD130000}"/>
    <cellStyle name="Comma 3 2 2 3 2 3 2 5" xfId="4502" xr:uid="{00000000-0005-0000-0000-0000FE130000}"/>
    <cellStyle name="Comma 3 2 2 3 2 3 2 6" xfId="3472" xr:uid="{00000000-0005-0000-0000-0000FF130000}"/>
    <cellStyle name="Comma 3 2 2 3 2 3 3" xfId="2343" xr:uid="{00000000-0005-0000-0000-000000140000}"/>
    <cellStyle name="Comma 3 2 2 3 2 3 4" xfId="2590" xr:uid="{00000000-0005-0000-0000-000001140000}"/>
    <cellStyle name="Comma 3 2 2 3 2 3 5" xfId="2582" xr:uid="{00000000-0005-0000-0000-000002140000}"/>
    <cellStyle name="Comma 3 2 2 3 2 3 5 2" xfId="3136" xr:uid="{00000000-0005-0000-0000-000003140000}"/>
    <cellStyle name="Comma 3 2 2 3 2 3 5 2 2" xfId="4888" xr:uid="{00000000-0005-0000-0000-000004140000}"/>
    <cellStyle name="Comma 3 2 2 3 2 3 5 2 2 2" xfId="5315" xr:uid="{00000000-0005-0000-0000-000005140000}"/>
    <cellStyle name="Comma 3 2 2 3 2 3 5 2 2 3" xfId="6520" xr:uid="{00000000-0005-0000-0000-000006140000}"/>
    <cellStyle name="Comma 3 2 2 3 2 3 5 2 3" xfId="5798" xr:uid="{00000000-0005-0000-0000-000007140000}"/>
    <cellStyle name="Comma 3 2 2 3 2 3 5 2 4" xfId="6103" xr:uid="{00000000-0005-0000-0000-000008140000}"/>
    <cellStyle name="Comma 3 2 2 3 2 3 5 3" xfId="4058" xr:uid="{00000000-0005-0000-0000-000009140000}"/>
    <cellStyle name="Comma 3 2 2 3 2 3 5 3 2" xfId="5377" xr:uid="{00000000-0005-0000-0000-00000A140000}"/>
    <cellStyle name="Comma 3 2 2 3 2 3 5 3 3" xfId="6577" xr:uid="{00000000-0005-0000-0000-00000B140000}"/>
    <cellStyle name="Comma 3 2 2 3 2 3 5 4" xfId="3470" xr:uid="{00000000-0005-0000-0000-00000C140000}"/>
    <cellStyle name="Comma 3 2 2 3 2 3 6" xfId="4054" xr:uid="{00000000-0005-0000-0000-00000D140000}"/>
    <cellStyle name="Comma 3 2 2 3 2 3 6 2" xfId="4656" xr:uid="{00000000-0005-0000-0000-00000E140000}"/>
    <cellStyle name="Comma 3 2 2 3 2 3 6 3" xfId="5930" xr:uid="{00000000-0005-0000-0000-00000F140000}"/>
    <cellStyle name="Comma 3 2 2 3 2 3 7" xfId="4515" xr:uid="{00000000-0005-0000-0000-000010140000}"/>
    <cellStyle name="Comma 3 2 2 3 2 3 8" xfId="3473" xr:uid="{00000000-0005-0000-0000-000011140000}"/>
    <cellStyle name="Comma 3 2 2 3 2 4" xfId="2246" xr:uid="{00000000-0005-0000-0000-000012140000}"/>
    <cellStyle name="Comma 3 2 2 3 2 5" xfId="2281" xr:uid="{00000000-0005-0000-0000-000013140000}"/>
    <cellStyle name="Comma 3 2 2 3 2 6" xfId="2002" xr:uid="{00000000-0005-0000-0000-000014140000}"/>
    <cellStyle name="Comma 3 2 2 3 2 6 2" xfId="2896" xr:uid="{00000000-0005-0000-0000-000015140000}"/>
    <cellStyle name="Comma 3 2 2 3 2 6 2 2" xfId="2967" xr:uid="{00000000-0005-0000-0000-000016140000}"/>
    <cellStyle name="Comma 3 2 2 3 2 6 2 2 2" xfId="5077" xr:uid="{00000000-0005-0000-0000-000017140000}"/>
    <cellStyle name="Comma 3 2 2 3 2 6 2 2 2 2" xfId="5148" xr:uid="{00000000-0005-0000-0000-000018140000}"/>
    <cellStyle name="Comma 3 2 2 3 2 6 2 2 2 3" xfId="6353" xr:uid="{00000000-0005-0000-0000-000019140000}"/>
    <cellStyle name="Comma 3 2 2 3 2 6 2 2 3" xfId="5631" xr:uid="{00000000-0005-0000-0000-00001A140000}"/>
    <cellStyle name="Comma 3 2 2 3 2 6 2 2 4" xfId="6282" xr:uid="{00000000-0005-0000-0000-00001B140000}"/>
    <cellStyle name="Comma 3 2 2 3 2 6 2 3" xfId="4060" xr:uid="{00000000-0005-0000-0000-00001C140000}"/>
    <cellStyle name="Comma 3 2 2 3 2 6 2 3 2" xfId="5560" xr:uid="{00000000-0005-0000-0000-00001D140000}"/>
    <cellStyle name="Comma 3 2 2 3 2 6 2 3 3" xfId="6694" xr:uid="{00000000-0005-0000-0000-00001E140000}"/>
    <cellStyle name="Comma 3 2 2 3 2 6 2 4" xfId="3468" xr:uid="{00000000-0005-0000-0000-00001F140000}"/>
    <cellStyle name="Comma 3 2 2 3 2 6 3" xfId="3149" xr:uid="{00000000-0005-0000-0000-000020140000}"/>
    <cellStyle name="Comma 3 2 2 3 2 6 4" xfId="4059" xr:uid="{00000000-0005-0000-0000-000021140000}"/>
    <cellStyle name="Comma 3 2 2 3 2 6 4 2" xfId="4669" xr:uid="{00000000-0005-0000-0000-000022140000}"/>
    <cellStyle name="Comma 3 2 2 3 2 6 4 3" xfId="5943" xr:uid="{00000000-0005-0000-0000-000023140000}"/>
    <cellStyle name="Comma 3 2 2 3 2 6 5" xfId="4619" xr:uid="{00000000-0005-0000-0000-000024140000}"/>
    <cellStyle name="Comma 3 2 2 3 2 6 6" xfId="3469" xr:uid="{00000000-0005-0000-0000-000025140000}"/>
    <cellStyle name="Comma 3 2 2 3 2 7" xfId="2584" xr:uid="{00000000-0005-0000-0000-000026140000}"/>
    <cellStyle name="Comma 3 2 2 3 2 8" xfId="2597" xr:uid="{00000000-0005-0000-0000-000027140000}"/>
    <cellStyle name="Comma 3 2 2 3 2 8 2" xfId="2833" xr:uid="{00000000-0005-0000-0000-000028140000}"/>
    <cellStyle name="Comma 3 2 2 3 2 8 2 2" xfId="4893" xr:uid="{00000000-0005-0000-0000-000029140000}"/>
    <cellStyle name="Comma 3 2 2 3 2 8 2 2 2" xfId="5018" xr:uid="{00000000-0005-0000-0000-00002A140000}"/>
    <cellStyle name="Comma 3 2 2 3 2 8 2 2 3" xfId="6223" xr:uid="{00000000-0005-0000-0000-00002B140000}"/>
    <cellStyle name="Comma 3 2 2 3 2 8 2 3" xfId="5501" xr:uid="{00000000-0005-0000-0000-00002C140000}"/>
    <cellStyle name="Comma 3 2 2 3 2 8 2 4" xfId="6108" xr:uid="{00000000-0005-0000-0000-00002D140000}"/>
    <cellStyle name="Comma 3 2 2 3 2 8 3" xfId="4063" xr:uid="{00000000-0005-0000-0000-00002E140000}"/>
    <cellStyle name="Comma 3 2 2 3 2 8 3 2" xfId="5382" xr:uid="{00000000-0005-0000-0000-00002F140000}"/>
    <cellStyle name="Comma 3 2 2 3 2 8 3 3" xfId="6582" xr:uid="{00000000-0005-0000-0000-000030140000}"/>
    <cellStyle name="Comma 3 2 2 3 2 8 4" xfId="3467" xr:uid="{00000000-0005-0000-0000-000031140000}"/>
    <cellStyle name="Comma 3 2 2 3 2 9" xfId="4037" xr:uid="{00000000-0005-0000-0000-000032140000}"/>
    <cellStyle name="Comma 3 2 2 3 2 9 2" xfId="4569" xr:uid="{00000000-0005-0000-0000-000033140000}"/>
    <cellStyle name="Comma 3 2 2 3 2 9 3" xfId="5873" xr:uid="{00000000-0005-0000-0000-000034140000}"/>
    <cellStyle name="Comma 3 2 2 3 3" xfId="1850" xr:uid="{00000000-0005-0000-0000-000035140000}"/>
    <cellStyle name="Comma 3 2 2 3 3 10" xfId="3466" xr:uid="{00000000-0005-0000-0000-000036140000}"/>
    <cellStyle name="Comma 3 2 2 3 3 2" xfId="2171" xr:uid="{00000000-0005-0000-0000-000037140000}"/>
    <cellStyle name="Comma 3 2 2 3 3 2 2" xfId="2200" xr:uid="{00000000-0005-0000-0000-000038140000}"/>
    <cellStyle name="Comma 3 2 2 3 3 2 2 2" xfId="3015" xr:uid="{00000000-0005-0000-0000-000039140000}"/>
    <cellStyle name="Comma 3 2 2 3 3 2 2 2 2" xfId="3038" xr:uid="{00000000-0005-0000-0000-00003A140000}"/>
    <cellStyle name="Comma 3 2 2 3 3 2 2 2 2 2" xfId="5195" xr:uid="{00000000-0005-0000-0000-00003B140000}"/>
    <cellStyle name="Comma 3 2 2 3 3 2 2 2 2 2 2" xfId="5218" xr:uid="{00000000-0005-0000-0000-00003C140000}"/>
    <cellStyle name="Comma 3 2 2 3 3 2 2 2 2 2 3" xfId="6423" xr:uid="{00000000-0005-0000-0000-00003D140000}"/>
    <cellStyle name="Comma 3 2 2 3 3 2 2 2 2 3" xfId="5701" xr:uid="{00000000-0005-0000-0000-00003E140000}"/>
    <cellStyle name="Comma 3 2 2 3 3 2 2 2 2 4" xfId="6400" xr:uid="{00000000-0005-0000-0000-00003F140000}"/>
    <cellStyle name="Comma 3 2 2 3 3 2 2 2 3" xfId="4067" xr:uid="{00000000-0005-0000-0000-000040140000}"/>
    <cellStyle name="Comma 3 2 2 3 3 2 2 2 3 2" xfId="5678" xr:uid="{00000000-0005-0000-0000-000041140000}"/>
    <cellStyle name="Comma 3 2 2 3 3 2 2 2 3 3" xfId="6763" xr:uid="{00000000-0005-0000-0000-000042140000}"/>
    <cellStyle name="Comma 3 2 2 3 3 2 2 2 4" xfId="3463" xr:uid="{00000000-0005-0000-0000-000043140000}"/>
    <cellStyle name="Comma 3 2 2 3 3 2 2 3" xfId="3220" xr:uid="{00000000-0005-0000-0000-000044140000}"/>
    <cellStyle name="Comma 3 2 2 3 3 2 2 4" xfId="4066" xr:uid="{00000000-0005-0000-0000-000045140000}"/>
    <cellStyle name="Comma 3 2 2 3 3 2 2 4 2" xfId="4767" xr:uid="{00000000-0005-0000-0000-000046140000}"/>
    <cellStyle name="Comma 3 2 2 3 3 2 2 4 3" xfId="6012" xr:uid="{00000000-0005-0000-0000-000047140000}"/>
    <cellStyle name="Comma 3 2 2 3 3 2 2 5" xfId="4499" xr:uid="{00000000-0005-0000-0000-000048140000}"/>
    <cellStyle name="Comma 3 2 2 3 3 2 2 6" xfId="3464" xr:uid="{00000000-0005-0000-0000-000049140000}"/>
    <cellStyle name="Comma 3 2 2 3 3 2 3" xfId="2349" xr:uid="{00000000-0005-0000-0000-00004A140000}"/>
    <cellStyle name="Comma 3 2 2 3 3 2 4" xfId="2593" xr:uid="{00000000-0005-0000-0000-00004B140000}"/>
    <cellStyle name="Comma 3 2 2 3 3 2 5" xfId="2578" xr:uid="{00000000-0005-0000-0000-00004C140000}"/>
    <cellStyle name="Comma 3 2 2 3 3 2 5 2" xfId="3197" xr:uid="{00000000-0005-0000-0000-00004D140000}"/>
    <cellStyle name="Comma 3 2 2 3 3 2 5 2 2" xfId="4886" xr:uid="{00000000-0005-0000-0000-00004E140000}"/>
    <cellStyle name="Comma 3 2 2 3 3 2 5 2 2 2" xfId="5327" xr:uid="{00000000-0005-0000-0000-00004F140000}"/>
    <cellStyle name="Comma 3 2 2 3 3 2 5 2 2 3" xfId="6532" xr:uid="{00000000-0005-0000-0000-000050140000}"/>
    <cellStyle name="Comma 3 2 2 3 3 2 5 2 3" xfId="5810" xr:uid="{00000000-0005-0000-0000-000051140000}"/>
    <cellStyle name="Comma 3 2 2 3 3 2 5 2 4" xfId="6101" xr:uid="{00000000-0005-0000-0000-000052140000}"/>
    <cellStyle name="Comma 3 2 2 3 3 2 5 3" xfId="4069" xr:uid="{00000000-0005-0000-0000-000053140000}"/>
    <cellStyle name="Comma 3 2 2 3 3 2 5 3 2" xfId="5375" xr:uid="{00000000-0005-0000-0000-000054140000}"/>
    <cellStyle name="Comma 3 2 2 3 3 2 5 3 3" xfId="6575" xr:uid="{00000000-0005-0000-0000-000055140000}"/>
    <cellStyle name="Comma 3 2 2 3 3 2 5 4" xfId="3462" xr:uid="{00000000-0005-0000-0000-000056140000}"/>
    <cellStyle name="Comma 3 2 2 3 3 2 6" xfId="4065" xr:uid="{00000000-0005-0000-0000-000057140000}"/>
    <cellStyle name="Comma 3 2 2 3 3 2 6 2" xfId="4744" xr:uid="{00000000-0005-0000-0000-000058140000}"/>
    <cellStyle name="Comma 3 2 2 3 3 2 6 3" xfId="5989" xr:uid="{00000000-0005-0000-0000-000059140000}"/>
    <cellStyle name="Comma 3 2 2 3 3 2 7" xfId="4504" xr:uid="{00000000-0005-0000-0000-00005A140000}"/>
    <cellStyle name="Comma 3 2 2 3 3 2 8" xfId="3465" xr:uid="{00000000-0005-0000-0000-00005B140000}"/>
    <cellStyle name="Comma 3 2 2 3 3 3" xfId="2252" xr:uid="{00000000-0005-0000-0000-00005C140000}"/>
    <cellStyle name="Comma 3 2 2 3 3 4" xfId="2287" xr:uid="{00000000-0005-0000-0000-00005D140000}"/>
    <cellStyle name="Comma 3 2 2 3 3 5" xfId="2327" xr:uid="{00000000-0005-0000-0000-00005E140000}"/>
    <cellStyle name="Comma 3 2 2 3 3 5 2" xfId="2902" xr:uid="{00000000-0005-0000-0000-00005F140000}"/>
    <cellStyle name="Comma 3 2 2 3 3 5 2 2" xfId="3086" xr:uid="{00000000-0005-0000-0000-000060140000}"/>
    <cellStyle name="Comma 3 2 2 3 3 5 2 2 2" xfId="5083" xr:uid="{00000000-0005-0000-0000-000061140000}"/>
    <cellStyle name="Comma 3 2 2 3 3 5 2 2 2 2" xfId="5266" xr:uid="{00000000-0005-0000-0000-000062140000}"/>
    <cellStyle name="Comma 3 2 2 3 3 5 2 2 2 3" xfId="6471" xr:uid="{00000000-0005-0000-0000-000063140000}"/>
    <cellStyle name="Comma 3 2 2 3 3 5 2 2 3" xfId="5749" xr:uid="{00000000-0005-0000-0000-000064140000}"/>
    <cellStyle name="Comma 3 2 2 3 3 5 2 2 4" xfId="6288" xr:uid="{00000000-0005-0000-0000-000065140000}"/>
    <cellStyle name="Comma 3 2 2 3 3 5 2 3" xfId="4071" xr:uid="{00000000-0005-0000-0000-000066140000}"/>
    <cellStyle name="Comma 3 2 2 3 3 5 2 3 2" xfId="5566" xr:uid="{00000000-0005-0000-0000-000067140000}"/>
    <cellStyle name="Comma 3 2 2 3 3 5 2 3 3" xfId="6700" xr:uid="{00000000-0005-0000-0000-000068140000}"/>
    <cellStyle name="Comma 3 2 2 3 3 5 2 4" xfId="3460" xr:uid="{00000000-0005-0000-0000-000069140000}"/>
    <cellStyle name="Comma 3 2 2 3 3 5 3" xfId="3268" xr:uid="{00000000-0005-0000-0000-00006A140000}"/>
    <cellStyle name="Comma 3 2 2 3 3 5 4" xfId="4070" xr:uid="{00000000-0005-0000-0000-00006B140000}"/>
    <cellStyle name="Comma 3 2 2 3 3 5 4 2" xfId="4815" xr:uid="{00000000-0005-0000-0000-00006C140000}"/>
    <cellStyle name="Comma 3 2 2 3 3 5 4 3" xfId="6060" xr:uid="{00000000-0005-0000-0000-00006D140000}"/>
    <cellStyle name="Comma 3 2 2 3 3 5 5" xfId="4383" xr:uid="{00000000-0005-0000-0000-00006E140000}"/>
    <cellStyle name="Comma 3 2 2 3 3 5 6" xfId="3461" xr:uid="{00000000-0005-0000-0000-00006F140000}"/>
    <cellStyle name="Comma 3 2 2 3 3 6" xfId="2592" xr:uid="{00000000-0005-0000-0000-000070140000}"/>
    <cellStyle name="Comma 3 2 2 3 3 7" xfId="2579" xr:uid="{00000000-0005-0000-0000-000071140000}"/>
    <cellStyle name="Comma 3 2 2 3 3 7 2" xfId="2827" xr:uid="{00000000-0005-0000-0000-000072140000}"/>
    <cellStyle name="Comma 3 2 2 3 3 7 2 2" xfId="4887" xr:uid="{00000000-0005-0000-0000-000073140000}"/>
    <cellStyle name="Comma 3 2 2 3 3 7 2 2 2" xfId="5012" xr:uid="{00000000-0005-0000-0000-000074140000}"/>
    <cellStyle name="Comma 3 2 2 3 3 7 2 2 3" xfId="6217" xr:uid="{00000000-0005-0000-0000-000075140000}"/>
    <cellStyle name="Comma 3 2 2 3 3 7 2 3" xfId="5495" xr:uid="{00000000-0005-0000-0000-000076140000}"/>
    <cellStyle name="Comma 3 2 2 3 3 7 2 4" xfId="6102" xr:uid="{00000000-0005-0000-0000-000077140000}"/>
    <cellStyle name="Comma 3 2 2 3 3 7 3" xfId="4073" xr:uid="{00000000-0005-0000-0000-000078140000}"/>
    <cellStyle name="Comma 3 2 2 3 3 7 3 2" xfId="5376" xr:uid="{00000000-0005-0000-0000-000079140000}"/>
    <cellStyle name="Comma 3 2 2 3 3 7 3 3" xfId="6576" xr:uid="{00000000-0005-0000-0000-00007A140000}"/>
    <cellStyle name="Comma 3 2 2 3 3 7 4" xfId="3459" xr:uid="{00000000-0005-0000-0000-00007B140000}"/>
    <cellStyle name="Comma 3 2 2 3 3 8" xfId="4064" xr:uid="{00000000-0005-0000-0000-00007C140000}"/>
    <cellStyle name="Comma 3 2 2 3 3 8 2" xfId="4575" xr:uid="{00000000-0005-0000-0000-00007D140000}"/>
    <cellStyle name="Comma 3 2 2 3 3 8 3" xfId="5879" xr:uid="{00000000-0005-0000-0000-00007E140000}"/>
    <cellStyle name="Comma 3 2 2 3 3 9" xfId="4442" xr:uid="{00000000-0005-0000-0000-00007F140000}"/>
    <cellStyle name="Comma 3 2 2 3 4" xfId="1984" xr:uid="{00000000-0005-0000-0000-000080140000}"/>
    <cellStyle name="Comma 3 2 2 3 4 2" xfId="2223" xr:uid="{00000000-0005-0000-0000-000081140000}"/>
    <cellStyle name="Comma 3 2 2 3 4 2 2" xfId="2953" xr:uid="{00000000-0005-0000-0000-000082140000}"/>
    <cellStyle name="Comma 3 2 2 3 4 2 2 2" xfId="3061" xr:uid="{00000000-0005-0000-0000-000083140000}"/>
    <cellStyle name="Comma 3 2 2 3 4 2 2 2 2" xfId="5134" xr:uid="{00000000-0005-0000-0000-000084140000}"/>
    <cellStyle name="Comma 3 2 2 3 4 2 2 2 2 2" xfId="5241" xr:uid="{00000000-0005-0000-0000-000085140000}"/>
    <cellStyle name="Comma 3 2 2 3 4 2 2 2 2 3" xfId="6446" xr:uid="{00000000-0005-0000-0000-000086140000}"/>
    <cellStyle name="Comma 3 2 2 3 4 2 2 2 3" xfId="5724" xr:uid="{00000000-0005-0000-0000-000087140000}"/>
    <cellStyle name="Comma 3 2 2 3 4 2 2 2 4" xfId="6339" xr:uid="{00000000-0005-0000-0000-000088140000}"/>
    <cellStyle name="Comma 3 2 2 3 4 2 2 3" xfId="4076" xr:uid="{00000000-0005-0000-0000-000089140000}"/>
    <cellStyle name="Comma 3 2 2 3 4 2 2 3 2" xfId="5617" xr:uid="{00000000-0005-0000-0000-00008A140000}"/>
    <cellStyle name="Comma 3 2 2 3 4 2 2 3 3" xfId="6750" xr:uid="{00000000-0005-0000-0000-00008B140000}"/>
    <cellStyle name="Comma 3 2 2 3 4 2 2 4" xfId="3456" xr:uid="{00000000-0005-0000-0000-00008C140000}"/>
    <cellStyle name="Comma 3 2 2 3 4 2 3" xfId="3243" xr:uid="{00000000-0005-0000-0000-00008D140000}"/>
    <cellStyle name="Comma 3 2 2 3 4 2 4" xfId="4075" xr:uid="{00000000-0005-0000-0000-00008E140000}"/>
    <cellStyle name="Comma 3 2 2 3 4 2 4 2" xfId="4790" xr:uid="{00000000-0005-0000-0000-00008F140000}"/>
    <cellStyle name="Comma 3 2 2 3 4 2 4 3" xfId="6035" xr:uid="{00000000-0005-0000-0000-000090140000}"/>
    <cellStyle name="Comma 3 2 2 3 4 2 5" xfId="4554" xr:uid="{00000000-0005-0000-0000-000091140000}"/>
    <cellStyle name="Comma 3 2 2 3 4 2 6" xfId="3457" xr:uid="{00000000-0005-0000-0000-000092140000}"/>
    <cellStyle name="Comma 3 2 2 3 4 3" xfId="2372" xr:uid="{00000000-0005-0000-0000-000093140000}"/>
    <cellStyle name="Comma 3 2 2 3 4 4" xfId="2596" xr:uid="{00000000-0005-0000-0000-000094140000}"/>
    <cellStyle name="Comma 3 2 2 3 4 5" xfId="2574" xr:uid="{00000000-0005-0000-0000-000095140000}"/>
    <cellStyle name="Comma 3 2 2 3 4 5 2" xfId="3135" xr:uid="{00000000-0005-0000-0000-000096140000}"/>
    <cellStyle name="Comma 3 2 2 3 4 5 2 2" xfId="4885" xr:uid="{00000000-0005-0000-0000-000097140000}"/>
    <cellStyle name="Comma 3 2 2 3 4 5 2 2 2" xfId="5314" xr:uid="{00000000-0005-0000-0000-000098140000}"/>
    <cellStyle name="Comma 3 2 2 3 4 5 2 2 3" xfId="6519" xr:uid="{00000000-0005-0000-0000-000099140000}"/>
    <cellStyle name="Comma 3 2 2 3 4 5 2 3" xfId="5797" xr:uid="{00000000-0005-0000-0000-00009A140000}"/>
    <cellStyle name="Comma 3 2 2 3 4 5 2 4" xfId="6100" xr:uid="{00000000-0005-0000-0000-00009B140000}"/>
    <cellStyle name="Comma 3 2 2 3 4 5 3" xfId="4080" xr:uid="{00000000-0005-0000-0000-00009C140000}"/>
    <cellStyle name="Comma 3 2 2 3 4 5 3 2" xfId="5374" xr:uid="{00000000-0005-0000-0000-00009D140000}"/>
    <cellStyle name="Comma 3 2 2 3 4 5 3 3" xfId="6574" xr:uid="{00000000-0005-0000-0000-00009E140000}"/>
    <cellStyle name="Comma 3 2 2 3 4 5 4" xfId="3455" xr:uid="{00000000-0005-0000-0000-00009F140000}"/>
    <cellStyle name="Comma 3 2 2 3 4 6" xfId="4074" xr:uid="{00000000-0005-0000-0000-0000A0140000}"/>
    <cellStyle name="Comma 3 2 2 3 4 6 2" xfId="4655" xr:uid="{00000000-0005-0000-0000-0000A1140000}"/>
    <cellStyle name="Comma 3 2 2 3 4 6 3" xfId="5929" xr:uid="{00000000-0005-0000-0000-0000A2140000}"/>
    <cellStyle name="Comma 3 2 2 3 4 7" xfId="4490" xr:uid="{00000000-0005-0000-0000-0000A3140000}"/>
    <cellStyle name="Comma 3 2 2 3 4 8" xfId="3458" xr:uid="{00000000-0005-0000-0000-0000A4140000}"/>
    <cellStyle name="Comma 3 2 2 3 5" xfId="2164" xr:uid="{00000000-0005-0000-0000-0000A5140000}"/>
    <cellStyle name="Comma 3 2 2 3 6" xfId="2003" xr:uid="{00000000-0005-0000-0000-0000A6140000}"/>
    <cellStyle name="Comma 3 2 2 3 6 2" xfId="2873" xr:uid="{00000000-0005-0000-0000-0000A7140000}"/>
    <cellStyle name="Comma 3 2 2 3 6 2 2" xfId="2968" xr:uid="{00000000-0005-0000-0000-0000A8140000}"/>
    <cellStyle name="Comma 3 2 2 3 6 2 2 2" xfId="5054" xr:uid="{00000000-0005-0000-0000-0000A9140000}"/>
    <cellStyle name="Comma 3 2 2 3 6 2 2 2 2" xfId="5149" xr:uid="{00000000-0005-0000-0000-0000AA140000}"/>
    <cellStyle name="Comma 3 2 2 3 6 2 2 2 3" xfId="6354" xr:uid="{00000000-0005-0000-0000-0000AB140000}"/>
    <cellStyle name="Comma 3 2 2 3 6 2 2 3" xfId="5632" xr:uid="{00000000-0005-0000-0000-0000AC140000}"/>
    <cellStyle name="Comma 3 2 2 3 6 2 2 4" xfId="6259" xr:uid="{00000000-0005-0000-0000-0000AD140000}"/>
    <cellStyle name="Comma 3 2 2 3 6 2 3" xfId="4082" xr:uid="{00000000-0005-0000-0000-0000AE140000}"/>
    <cellStyle name="Comma 3 2 2 3 6 2 3 2" xfId="5537" xr:uid="{00000000-0005-0000-0000-0000AF140000}"/>
    <cellStyle name="Comma 3 2 2 3 6 2 3 3" xfId="6678" xr:uid="{00000000-0005-0000-0000-0000B0140000}"/>
    <cellStyle name="Comma 3 2 2 3 6 2 4" xfId="3453" xr:uid="{00000000-0005-0000-0000-0000B1140000}"/>
    <cellStyle name="Comma 3 2 2 3 6 3" xfId="3150" xr:uid="{00000000-0005-0000-0000-0000B2140000}"/>
    <cellStyle name="Comma 3 2 2 3 6 4" xfId="4081" xr:uid="{00000000-0005-0000-0000-0000B3140000}"/>
    <cellStyle name="Comma 3 2 2 3 6 4 2" xfId="4670" xr:uid="{00000000-0005-0000-0000-0000B4140000}"/>
    <cellStyle name="Comma 3 2 2 3 6 4 3" xfId="5944" xr:uid="{00000000-0005-0000-0000-0000B5140000}"/>
    <cellStyle name="Comma 3 2 2 3 6 5" xfId="4540" xr:uid="{00000000-0005-0000-0000-0000B6140000}"/>
    <cellStyle name="Comma 3 2 2 3 6 6" xfId="3454" xr:uid="{00000000-0005-0000-0000-0000B7140000}"/>
    <cellStyle name="Comma 3 2 2 3 7" xfId="2583" xr:uid="{00000000-0005-0000-0000-0000B8140000}"/>
    <cellStyle name="Comma 3 2 2 3 8" xfId="2598" xr:uid="{00000000-0005-0000-0000-0000B9140000}"/>
    <cellStyle name="Comma 3 2 2 3 8 2" xfId="2885" xr:uid="{00000000-0005-0000-0000-0000BA140000}"/>
    <cellStyle name="Comma 3 2 2 3 8 2 2" xfId="4894" xr:uid="{00000000-0005-0000-0000-0000BB140000}"/>
    <cellStyle name="Comma 3 2 2 3 8 2 2 2" xfId="5066" xr:uid="{00000000-0005-0000-0000-0000BC140000}"/>
    <cellStyle name="Comma 3 2 2 3 8 2 2 3" xfId="6271" xr:uid="{00000000-0005-0000-0000-0000BD140000}"/>
    <cellStyle name="Comma 3 2 2 3 8 2 3" xfId="5549" xr:uid="{00000000-0005-0000-0000-0000BE140000}"/>
    <cellStyle name="Comma 3 2 2 3 8 2 4" xfId="6109" xr:uid="{00000000-0005-0000-0000-0000BF140000}"/>
    <cellStyle name="Comma 3 2 2 3 8 3" xfId="4084" xr:uid="{00000000-0005-0000-0000-0000C0140000}"/>
    <cellStyle name="Comma 3 2 2 3 8 3 2" xfId="5383" xr:uid="{00000000-0005-0000-0000-0000C1140000}"/>
    <cellStyle name="Comma 3 2 2 3 8 3 3" xfId="6583" xr:uid="{00000000-0005-0000-0000-0000C2140000}"/>
    <cellStyle name="Comma 3 2 2 3 8 4" xfId="3452" xr:uid="{00000000-0005-0000-0000-0000C3140000}"/>
    <cellStyle name="Comma 3 2 2 3 9" xfId="4036" xr:uid="{00000000-0005-0000-0000-0000C4140000}"/>
    <cellStyle name="Comma 3 2 2 3 9 2" xfId="4524" xr:uid="{00000000-0005-0000-0000-0000C5140000}"/>
    <cellStyle name="Comma 3 2 2 3 9 3" xfId="5857" xr:uid="{00000000-0005-0000-0000-0000C6140000}"/>
    <cellStyle name="Comma 3 2 2 4" xfId="1836" xr:uid="{00000000-0005-0000-0000-0000C7140000}"/>
    <cellStyle name="Comma 3 2 2 5" xfId="1833" xr:uid="{00000000-0005-0000-0000-0000C8140000}"/>
    <cellStyle name="Comma 3 2 2 6" xfId="1723" xr:uid="{00000000-0005-0000-0000-0000C9140000}"/>
    <cellStyle name="Comma 3 2 2 6 10" xfId="3451" xr:uid="{00000000-0005-0000-0000-0000CA140000}"/>
    <cellStyle name="Comma 3 2 2 6 11" xfId="9062" xr:uid="{00000000-0005-0000-0000-0000CB140000}"/>
    <cellStyle name="Comma 3 2 2 6 2" xfId="1852" xr:uid="{00000000-0005-0000-0000-0000CC140000}"/>
    <cellStyle name="Comma 3 2 2 6 2 10" xfId="3450" xr:uid="{00000000-0005-0000-0000-0000CD140000}"/>
    <cellStyle name="Comma 3 2 2 6 2 2" xfId="2176" xr:uid="{00000000-0005-0000-0000-0000CE140000}"/>
    <cellStyle name="Comma 3 2 2 6 2 2 2" xfId="2202" xr:uid="{00000000-0005-0000-0000-0000CF140000}"/>
    <cellStyle name="Comma 3 2 2 6 2 2 2 2" xfId="3020" xr:uid="{00000000-0005-0000-0000-0000D0140000}"/>
    <cellStyle name="Comma 3 2 2 6 2 2 2 2 2" xfId="3040" xr:uid="{00000000-0005-0000-0000-0000D1140000}"/>
    <cellStyle name="Comma 3 2 2 6 2 2 2 2 2 2" xfId="5200" xr:uid="{00000000-0005-0000-0000-0000D2140000}"/>
    <cellStyle name="Comma 3 2 2 6 2 2 2 2 2 2 2" xfId="5220" xr:uid="{00000000-0005-0000-0000-0000D3140000}"/>
    <cellStyle name="Comma 3 2 2 6 2 2 2 2 2 2 3" xfId="6425" xr:uid="{00000000-0005-0000-0000-0000D4140000}"/>
    <cellStyle name="Comma 3 2 2 6 2 2 2 2 2 3" xfId="5703" xr:uid="{00000000-0005-0000-0000-0000D5140000}"/>
    <cellStyle name="Comma 3 2 2 6 2 2 2 2 2 4" xfId="6405" xr:uid="{00000000-0005-0000-0000-0000D6140000}"/>
    <cellStyle name="Comma 3 2 2 6 2 2 2 2 3" xfId="4090" xr:uid="{00000000-0005-0000-0000-0000D7140000}"/>
    <cellStyle name="Comma 3 2 2 6 2 2 2 2 3 2" xfId="5683" xr:uid="{00000000-0005-0000-0000-0000D8140000}"/>
    <cellStyle name="Comma 3 2 2 6 2 2 2 2 3 3" xfId="6766" xr:uid="{00000000-0005-0000-0000-0000D9140000}"/>
    <cellStyle name="Comma 3 2 2 6 2 2 2 2 4" xfId="3447" xr:uid="{00000000-0005-0000-0000-0000DA140000}"/>
    <cellStyle name="Comma 3 2 2 6 2 2 2 3" xfId="3222" xr:uid="{00000000-0005-0000-0000-0000DB140000}"/>
    <cellStyle name="Comma 3 2 2 6 2 2 2 4" xfId="4089" xr:uid="{00000000-0005-0000-0000-0000DC140000}"/>
    <cellStyle name="Comma 3 2 2 6 2 2 2 4 2" xfId="4769" xr:uid="{00000000-0005-0000-0000-0000DD140000}"/>
    <cellStyle name="Comma 3 2 2 6 2 2 2 4 3" xfId="6014" xr:uid="{00000000-0005-0000-0000-0000DE140000}"/>
    <cellStyle name="Comma 3 2 2 6 2 2 2 5" xfId="4715" xr:uid="{00000000-0005-0000-0000-0000DF140000}"/>
    <cellStyle name="Comma 3 2 2 6 2 2 2 6" xfId="3448" xr:uid="{00000000-0005-0000-0000-0000E0140000}"/>
    <cellStyle name="Comma 3 2 2 6 2 2 3" xfId="2351" xr:uid="{00000000-0005-0000-0000-0000E1140000}"/>
    <cellStyle name="Comma 3 2 2 6 2 2 4" xfId="2601" xr:uid="{00000000-0005-0000-0000-0000E2140000}"/>
    <cellStyle name="Comma 3 2 2 6 2 2 5" xfId="2567" xr:uid="{00000000-0005-0000-0000-0000E3140000}"/>
    <cellStyle name="Comma 3 2 2 6 2 2 5 2" xfId="3202" xr:uid="{00000000-0005-0000-0000-0000E4140000}"/>
    <cellStyle name="Comma 3 2 2 6 2 2 5 2 2" xfId="4882" xr:uid="{00000000-0005-0000-0000-0000E5140000}"/>
    <cellStyle name="Comma 3 2 2 6 2 2 5 2 2 2" xfId="5330" xr:uid="{00000000-0005-0000-0000-0000E6140000}"/>
    <cellStyle name="Comma 3 2 2 6 2 2 5 2 2 3" xfId="6535" xr:uid="{00000000-0005-0000-0000-0000E7140000}"/>
    <cellStyle name="Comma 3 2 2 6 2 2 5 2 3" xfId="5813" xr:uid="{00000000-0005-0000-0000-0000E8140000}"/>
    <cellStyle name="Comma 3 2 2 6 2 2 5 2 4" xfId="6097" xr:uid="{00000000-0005-0000-0000-0000E9140000}"/>
    <cellStyle name="Comma 3 2 2 6 2 2 5 3" xfId="4092" xr:uid="{00000000-0005-0000-0000-0000EA140000}"/>
    <cellStyle name="Comma 3 2 2 6 2 2 5 3 2" xfId="5371" xr:uid="{00000000-0005-0000-0000-0000EB140000}"/>
    <cellStyle name="Comma 3 2 2 6 2 2 5 3 3" xfId="6571" xr:uid="{00000000-0005-0000-0000-0000EC140000}"/>
    <cellStyle name="Comma 3 2 2 6 2 2 5 4" xfId="3446" xr:uid="{00000000-0005-0000-0000-0000ED140000}"/>
    <cellStyle name="Comma 3 2 2 6 2 2 6" xfId="4088" xr:uid="{00000000-0005-0000-0000-0000EE140000}"/>
    <cellStyle name="Comma 3 2 2 6 2 2 6 2" xfId="4749" xr:uid="{00000000-0005-0000-0000-0000EF140000}"/>
    <cellStyle name="Comma 3 2 2 6 2 2 6 3" xfId="5994" xr:uid="{00000000-0005-0000-0000-0000F0140000}"/>
    <cellStyle name="Comma 3 2 2 6 2 2 7" xfId="4394" xr:uid="{00000000-0005-0000-0000-0000F1140000}"/>
    <cellStyle name="Comma 3 2 2 6 2 2 8" xfId="3449" xr:uid="{00000000-0005-0000-0000-0000F2140000}"/>
    <cellStyle name="Comma 3 2 2 6 2 3" xfId="2254" xr:uid="{00000000-0005-0000-0000-0000F3140000}"/>
    <cellStyle name="Comma 3 2 2 6 2 4" xfId="2289" xr:uid="{00000000-0005-0000-0000-0000F4140000}"/>
    <cellStyle name="Comma 3 2 2 6 2 5" xfId="2332" xr:uid="{00000000-0005-0000-0000-0000F5140000}"/>
    <cellStyle name="Comma 3 2 2 6 2 5 2" xfId="2904" xr:uid="{00000000-0005-0000-0000-0000F6140000}"/>
    <cellStyle name="Comma 3 2 2 6 2 5 2 2" xfId="3089" xr:uid="{00000000-0005-0000-0000-0000F7140000}"/>
    <cellStyle name="Comma 3 2 2 6 2 5 2 2 2" xfId="5085" xr:uid="{00000000-0005-0000-0000-0000F8140000}"/>
    <cellStyle name="Comma 3 2 2 6 2 5 2 2 2 2" xfId="5269" xr:uid="{00000000-0005-0000-0000-0000F9140000}"/>
    <cellStyle name="Comma 3 2 2 6 2 5 2 2 2 3" xfId="6474" xr:uid="{00000000-0005-0000-0000-0000FA140000}"/>
    <cellStyle name="Comma 3 2 2 6 2 5 2 2 3" xfId="5752" xr:uid="{00000000-0005-0000-0000-0000FB140000}"/>
    <cellStyle name="Comma 3 2 2 6 2 5 2 2 4" xfId="6290" xr:uid="{00000000-0005-0000-0000-0000FC140000}"/>
    <cellStyle name="Comma 3 2 2 6 2 5 2 3" xfId="4095" xr:uid="{00000000-0005-0000-0000-0000FD140000}"/>
    <cellStyle name="Comma 3 2 2 6 2 5 2 3 2" xfId="5568" xr:uid="{00000000-0005-0000-0000-0000FE140000}"/>
    <cellStyle name="Comma 3 2 2 6 2 5 2 3 3" xfId="6702" xr:uid="{00000000-0005-0000-0000-0000FF140000}"/>
    <cellStyle name="Comma 3 2 2 6 2 5 2 4" xfId="3444" xr:uid="{00000000-0005-0000-0000-000000150000}"/>
    <cellStyle name="Comma 3 2 2 6 2 5 3" xfId="3271" xr:uid="{00000000-0005-0000-0000-000001150000}"/>
    <cellStyle name="Comma 3 2 2 6 2 5 4" xfId="4094" xr:uid="{00000000-0005-0000-0000-000002150000}"/>
    <cellStyle name="Comma 3 2 2 6 2 5 4 2" xfId="4818" xr:uid="{00000000-0005-0000-0000-000003150000}"/>
    <cellStyle name="Comma 3 2 2 6 2 5 4 3" xfId="6063" xr:uid="{00000000-0005-0000-0000-000004150000}"/>
    <cellStyle name="Comma 3 2 2 6 2 5 5" xfId="4492" xr:uid="{00000000-0005-0000-0000-000005150000}"/>
    <cellStyle name="Comma 3 2 2 6 2 5 6" xfId="3445" xr:uid="{00000000-0005-0000-0000-000006150000}"/>
    <cellStyle name="Comma 3 2 2 6 2 6" xfId="2600" xr:uid="{00000000-0005-0000-0000-000007150000}"/>
    <cellStyle name="Comma 3 2 2 6 2 7" xfId="2569" xr:uid="{00000000-0005-0000-0000-000008150000}"/>
    <cellStyle name="Comma 3 2 2 6 2 7 2" xfId="2825" xr:uid="{00000000-0005-0000-0000-000009150000}"/>
    <cellStyle name="Comma 3 2 2 6 2 7 2 2" xfId="4883" xr:uid="{00000000-0005-0000-0000-00000A150000}"/>
    <cellStyle name="Comma 3 2 2 6 2 7 2 2 2" xfId="5010" xr:uid="{00000000-0005-0000-0000-00000B150000}"/>
    <cellStyle name="Comma 3 2 2 6 2 7 2 2 3" xfId="6215" xr:uid="{00000000-0005-0000-0000-00000C150000}"/>
    <cellStyle name="Comma 3 2 2 6 2 7 2 3" xfId="5493" xr:uid="{00000000-0005-0000-0000-00000D150000}"/>
    <cellStyle name="Comma 3 2 2 6 2 7 2 4" xfId="6098" xr:uid="{00000000-0005-0000-0000-00000E150000}"/>
    <cellStyle name="Comma 3 2 2 6 2 7 3" xfId="4098" xr:uid="{00000000-0005-0000-0000-00000F150000}"/>
    <cellStyle name="Comma 3 2 2 6 2 7 3 2" xfId="5372" xr:uid="{00000000-0005-0000-0000-000010150000}"/>
    <cellStyle name="Comma 3 2 2 6 2 7 3 3" xfId="6572" xr:uid="{00000000-0005-0000-0000-000011150000}"/>
    <cellStyle name="Comma 3 2 2 6 2 7 4" xfId="3443" xr:uid="{00000000-0005-0000-0000-000012150000}"/>
    <cellStyle name="Comma 3 2 2 6 2 8" xfId="4087" xr:uid="{00000000-0005-0000-0000-000013150000}"/>
    <cellStyle name="Comma 3 2 2 6 2 8 2" xfId="4577" xr:uid="{00000000-0005-0000-0000-000014150000}"/>
    <cellStyle name="Comma 3 2 2 6 2 8 3" xfId="5881" xr:uid="{00000000-0005-0000-0000-000015150000}"/>
    <cellStyle name="Comma 3 2 2 6 2 9" xfId="4440" xr:uid="{00000000-0005-0000-0000-000016150000}"/>
    <cellStyle name="Comma 3 2 2 6 3" xfId="1987" xr:uid="{00000000-0005-0000-0000-000017150000}"/>
    <cellStyle name="Comma 3 2 2 6 3 2" xfId="2228" xr:uid="{00000000-0005-0000-0000-000018150000}"/>
    <cellStyle name="Comma 3 2 2 6 3 2 2" xfId="2956" xr:uid="{00000000-0005-0000-0000-000019150000}"/>
    <cellStyle name="Comma 3 2 2 6 3 2 2 2" xfId="3064" xr:uid="{00000000-0005-0000-0000-00001A150000}"/>
    <cellStyle name="Comma 3 2 2 6 3 2 2 2 2" xfId="5137" xr:uid="{00000000-0005-0000-0000-00001B150000}"/>
    <cellStyle name="Comma 3 2 2 6 3 2 2 2 2 2" xfId="5244" xr:uid="{00000000-0005-0000-0000-00001C150000}"/>
    <cellStyle name="Comma 3 2 2 6 3 2 2 2 2 3" xfId="6449" xr:uid="{00000000-0005-0000-0000-00001D150000}"/>
    <cellStyle name="Comma 3 2 2 6 3 2 2 2 3" xfId="5727" xr:uid="{00000000-0005-0000-0000-00001E150000}"/>
    <cellStyle name="Comma 3 2 2 6 3 2 2 2 4" xfId="6342" xr:uid="{00000000-0005-0000-0000-00001F150000}"/>
    <cellStyle name="Comma 3 2 2 6 3 2 2 3" xfId="4101" xr:uid="{00000000-0005-0000-0000-000020150000}"/>
    <cellStyle name="Comma 3 2 2 6 3 2 2 3 2" xfId="5620" xr:uid="{00000000-0005-0000-0000-000021150000}"/>
    <cellStyle name="Comma 3 2 2 6 3 2 2 3 3" xfId="6753" xr:uid="{00000000-0005-0000-0000-000022150000}"/>
    <cellStyle name="Comma 3 2 2 6 3 2 2 4" xfId="3440" xr:uid="{00000000-0005-0000-0000-000023150000}"/>
    <cellStyle name="Comma 3 2 2 6 3 2 3" xfId="3246" xr:uid="{00000000-0005-0000-0000-000024150000}"/>
    <cellStyle name="Comma 3 2 2 6 3 2 4" xfId="4100" xr:uid="{00000000-0005-0000-0000-000025150000}"/>
    <cellStyle name="Comma 3 2 2 6 3 2 4 2" xfId="4793" xr:uid="{00000000-0005-0000-0000-000026150000}"/>
    <cellStyle name="Comma 3 2 2 6 3 2 4 3" xfId="6038" xr:uid="{00000000-0005-0000-0000-000027150000}"/>
    <cellStyle name="Comma 3 2 2 6 3 2 5" xfId="4603" xr:uid="{00000000-0005-0000-0000-000028150000}"/>
    <cellStyle name="Comma 3 2 2 6 3 2 6" xfId="3441" xr:uid="{00000000-0005-0000-0000-000029150000}"/>
    <cellStyle name="Comma 3 2 2 6 3 3" xfId="2375" xr:uid="{00000000-0005-0000-0000-00002A150000}"/>
    <cellStyle name="Comma 3 2 2 6 3 4" xfId="2603" xr:uid="{00000000-0005-0000-0000-00002B150000}"/>
    <cellStyle name="Comma 3 2 2 6 3 5" xfId="2557" xr:uid="{00000000-0005-0000-0000-00002C150000}"/>
    <cellStyle name="Comma 3 2 2 6 3 5 2" xfId="3138" xr:uid="{00000000-0005-0000-0000-00002D150000}"/>
    <cellStyle name="Comma 3 2 2 6 3 5 2 2" xfId="4881" xr:uid="{00000000-0005-0000-0000-00002E150000}"/>
    <cellStyle name="Comma 3 2 2 6 3 5 2 2 2" xfId="5317" xr:uid="{00000000-0005-0000-0000-00002F150000}"/>
    <cellStyle name="Comma 3 2 2 6 3 5 2 2 3" xfId="6522" xr:uid="{00000000-0005-0000-0000-000030150000}"/>
    <cellStyle name="Comma 3 2 2 6 3 5 2 3" xfId="5800" xr:uid="{00000000-0005-0000-0000-000031150000}"/>
    <cellStyle name="Comma 3 2 2 6 3 5 2 4" xfId="6096" xr:uid="{00000000-0005-0000-0000-000032150000}"/>
    <cellStyle name="Comma 3 2 2 6 3 5 3" xfId="4103" xr:uid="{00000000-0005-0000-0000-000033150000}"/>
    <cellStyle name="Comma 3 2 2 6 3 5 3 2" xfId="5370" xr:uid="{00000000-0005-0000-0000-000034150000}"/>
    <cellStyle name="Comma 3 2 2 6 3 5 3 3" xfId="6570" xr:uid="{00000000-0005-0000-0000-000035150000}"/>
    <cellStyle name="Comma 3 2 2 6 3 5 4" xfId="3439" xr:uid="{00000000-0005-0000-0000-000036150000}"/>
    <cellStyle name="Comma 3 2 2 6 3 6" xfId="4099" xr:uid="{00000000-0005-0000-0000-000037150000}"/>
    <cellStyle name="Comma 3 2 2 6 3 6 2" xfId="4658" xr:uid="{00000000-0005-0000-0000-000038150000}"/>
    <cellStyle name="Comma 3 2 2 6 3 6 3" xfId="5932" xr:uid="{00000000-0005-0000-0000-000039150000}"/>
    <cellStyle name="Comma 3 2 2 6 3 7" xfId="4854" xr:uid="{00000000-0005-0000-0000-00003A150000}"/>
    <cellStyle name="Comma 3 2 2 6 3 8" xfId="3442" xr:uid="{00000000-0005-0000-0000-00003B150000}"/>
    <cellStyle name="Comma 3 2 2 6 4" xfId="2237" xr:uid="{00000000-0005-0000-0000-00003C150000}"/>
    <cellStyle name="Comma 3 2 2 6 5" xfId="2000" xr:uid="{00000000-0005-0000-0000-00003D150000}"/>
    <cellStyle name="Comma 3 2 2 6 5 2" xfId="2878" xr:uid="{00000000-0005-0000-0000-00003E150000}"/>
    <cellStyle name="Comma 3 2 2 6 5 2 2" xfId="2965" xr:uid="{00000000-0005-0000-0000-00003F150000}"/>
    <cellStyle name="Comma 3 2 2 6 5 2 2 2" xfId="5059" xr:uid="{00000000-0005-0000-0000-000040150000}"/>
    <cellStyle name="Comma 3 2 2 6 5 2 2 2 2" xfId="5146" xr:uid="{00000000-0005-0000-0000-000041150000}"/>
    <cellStyle name="Comma 3 2 2 6 5 2 2 2 3" xfId="6351" xr:uid="{00000000-0005-0000-0000-000042150000}"/>
    <cellStyle name="Comma 3 2 2 6 5 2 2 3" xfId="5629" xr:uid="{00000000-0005-0000-0000-000043150000}"/>
    <cellStyle name="Comma 3 2 2 6 5 2 2 4" xfId="6264" xr:uid="{00000000-0005-0000-0000-000044150000}"/>
    <cellStyle name="Comma 3 2 2 6 5 2 3" xfId="4106" xr:uid="{00000000-0005-0000-0000-000045150000}"/>
    <cellStyle name="Comma 3 2 2 6 5 2 3 2" xfId="5542" xr:uid="{00000000-0005-0000-0000-000046150000}"/>
    <cellStyle name="Comma 3 2 2 6 5 2 3 3" xfId="6683" xr:uid="{00000000-0005-0000-0000-000047150000}"/>
    <cellStyle name="Comma 3 2 2 6 5 2 4" xfId="3437" xr:uid="{00000000-0005-0000-0000-000048150000}"/>
    <cellStyle name="Comma 3 2 2 6 5 3" xfId="3147" xr:uid="{00000000-0005-0000-0000-000049150000}"/>
    <cellStyle name="Comma 3 2 2 6 5 4" xfId="4105" xr:uid="{00000000-0005-0000-0000-00004A150000}"/>
    <cellStyle name="Comma 3 2 2 6 5 4 2" xfId="4667" xr:uid="{00000000-0005-0000-0000-00004B150000}"/>
    <cellStyle name="Comma 3 2 2 6 5 4 3" xfId="5941" xr:uid="{00000000-0005-0000-0000-00004C150000}"/>
    <cellStyle name="Comma 3 2 2 6 5 5" xfId="4853" xr:uid="{00000000-0005-0000-0000-00004D150000}"/>
    <cellStyle name="Comma 3 2 2 6 5 6" xfId="3438" xr:uid="{00000000-0005-0000-0000-00004E150000}"/>
    <cellStyle name="Comma 3 2 2 6 6" xfId="2599" xr:uid="{00000000-0005-0000-0000-00004F150000}"/>
    <cellStyle name="Comma 3 2 2 6 7" xfId="2570" xr:uid="{00000000-0005-0000-0000-000050150000}"/>
    <cellStyle name="Comma 3 2 2 6 7 2" xfId="2886" xr:uid="{00000000-0005-0000-0000-000051150000}"/>
    <cellStyle name="Comma 3 2 2 6 7 2 2" xfId="4884" xr:uid="{00000000-0005-0000-0000-000052150000}"/>
    <cellStyle name="Comma 3 2 2 6 7 2 2 2" xfId="5067" xr:uid="{00000000-0005-0000-0000-000053150000}"/>
    <cellStyle name="Comma 3 2 2 6 7 2 2 3" xfId="6272" xr:uid="{00000000-0005-0000-0000-000054150000}"/>
    <cellStyle name="Comma 3 2 2 6 7 2 3" xfId="5550" xr:uid="{00000000-0005-0000-0000-000055150000}"/>
    <cellStyle name="Comma 3 2 2 6 7 2 4" xfId="6099" xr:uid="{00000000-0005-0000-0000-000056150000}"/>
    <cellStyle name="Comma 3 2 2 6 7 3" xfId="4108" xr:uid="{00000000-0005-0000-0000-000057150000}"/>
    <cellStyle name="Comma 3 2 2 6 7 3 2" xfId="5373" xr:uid="{00000000-0005-0000-0000-000058150000}"/>
    <cellStyle name="Comma 3 2 2 6 7 3 3" xfId="6573" xr:uid="{00000000-0005-0000-0000-000059150000}"/>
    <cellStyle name="Comma 3 2 2 6 7 4" xfId="3436" xr:uid="{00000000-0005-0000-0000-00005A150000}"/>
    <cellStyle name="Comma 3 2 2 6 8" xfId="4086" xr:uid="{00000000-0005-0000-0000-00005B150000}"/>
    <cellStyle name="Comma 3 2 2 6 8 2" xfId="4529" xr:uid="{00000000-0005-0000-0000-00005C150000}"/>
    <cellStyle name="Comma 3 2 2 6 8 3" xfId="5862" xr:uid="{00000000-0005-0000-0000-00005D150000}"/>
    <cellStyle name="Comma 3 2 2 6 9" xfId="4460" xr:uid="{00000000-0005-0000-0000-00005E150000}"/>
    <cellStyle name="Comma 3 2 2 7" xfId="1978" xr:uid="{00000000-0005-0000-0000-00005F150000}"/>
    <cellStyle name="Comma 3 2 2 7 2" xfId="2143" xr:uid="{00000000-0005-0000-0000-000060150000}"/>
    <cellStyle name="Comma 3 2 2 7 2 2" xfId="2947" xr:uid="{00000000-0005-0000-0000-000061150000}"/>
    <cellStyle name="Comma 3 2 2 7 2 2 2" xfId="3008" xr:uid="{00000000-0005-0000-0000-000062150000}"/>
    <cellStyle name="Comma 3 2 2 7 2 2 2 2" xfId="5128" xr:uid="{00000000-0005-0000-0000-000063150000}"/>
    <cellStyle name="Comma 3 2 2 7 2 2 2 2 2" xfId="5188" xr:uid="{00000000-0005-0000-0000-000064150000}"/>
    <cellStyle name="Comma 3 2 2 7 2 2 2 2 3" xfId="6393" xr:uid="{00000000-0005-0000-0000-000065150000}"/>
    <cellStyle name="Comma 3 2 2 7 2 2 2 3" xfId="5671" xr:uid="{00000000-0005-0000-0000-000066150000}"/>
    <cellStyle name="Comma 3 2 2 7 2 2 2 4" xfId="6333" xr:uid="{00000000-0005-0000-0000-000067150000}"/>
    <cellStyle name="Comma 3 2 2 7 2 2 3" xfId="4111" xr:uid="{00000000-0005-0000-0000-000068150000}"/>
    <cellStyle name="Comma 3 2 2 7 2 2 3 2" xfId="5611" xr:uid="{00000000-0005-0000-0000-000069150000}"/>
    <cellStyle name="Comma 3 2 2 7 2 2 3 3" xfId="6744" xr:uid="{00000000-0005-0000-0000-00006A150000}"/>
    <cellStyle name="Comma 3 2 2 7 2 2 4" xfId="3433" xr:uid="{00000000-0005-0000-0000-00006B150000}"/>
    <cellStyle name="Comma 3 2 2 7 2 3" xfId="3190" xr:uid="{00000000-0005-0000-0000-00006C150000}"/>
    <cellStyle name="Comma 3 2 2 7 2 4" xfId="4110" xr:uid="{00000000-0005-0000-0000-00006D150000}"/>
    <cellStyle name="Comma 3 2 2 7 2 4 2" xfId="4736" xr:uid="{00000000-0005-0000-0000-00006E150000}"/>
    <cellStyle name="Comma 3 2 2 7 2 4 3" xfId="5982" xr:uid="{00000000-0005-0000-0000-00006F150000}"/>
    <cellStyle name="Comma 3 2 2 7 2 5" xfId="4400" xr:uid="{00000000-0005-0000-0000-000070150000}"/>
    <cellStyle name="Comma 3 2 2 7 2 6" xfId="3434" xr:uid="{00000000-0005-0000-0000-000071150000}"/>
    <cellStyle name="Comma 3 2 2 7 3" xfId="2320" xr:uid="{00000000-0005-0000-0000-000072150000}"/>
    <cellStyle name="Comma 3 2 2 7 4" xfId="2604" xr:uid="{00000000-0005-0000-0000-000073150000}"/>
    <cellStyle name="Comma 3 2 2 7 5" xfId="2556" xr:uid="{00000000-0005-0000-0000-000074150000}"/>
    <cellStyle name="Comma 3 2 2 7 5 2" xfId="3129" xr:uid="{00000000-0005-0000-0000-000075150000}"/>
    <cellStyle name="Comma 3 2 2 7 5 2 2" xfId="4880" xr:uid="{00000000-0005-0000-0000-000076150000}"/>
    <cellStyle name="Comma 3 2 2 7 5 2 2 2" xfId="5308" xr:uid="{00000000-0005-0000-0000-000077150000}"/>
    <cellStyle name="Comma 3 2 2 7 5 2 2 3" xfId="6513" xr:uid="{00000000-0005-0000-0000-000078150000}"/>
    <cellStyle name="Comma 3 2 2 7 5 2 3" xfId="5791" xr:uid="{00000000-0005-0000-0000-000079150000}"/>
    <cellStyle name="Comma 3 2 2 7 5 2 4" xfId="6095" xr:uid="{00000000-0005-0000-0000-00007A150000}"/>
    <cellStyle name="Comma 3 2 2 7 5 3" xfId="4113" xr:uid="{00000000-0005-0000-0000-00007B150000}"/>
    <cellStyle name="Comma 3 2 2 7 5 3 2" xfId="5369" xr:uid="{00000000-0005-0000-0000-00007C150000}"/>
    <cellStyle name="Comma 3 2 2 7 5 3 3" xfId="6569" xr:uid="{00000000-0005-0000-0000-00007D150000}"/>
    <cellStyle name="Comma 3 2 2 7 5 4" xfId="3432" xr:uid="{00000000-0005-0000-0000-00007E150000}"/>
    <cellStyle name="Comma 3 2 2 7 6" xfId="4109" xr:uid="{00000000-0005-0000-0000-00007F150000}"/>
    <cellStyle name="Comma 3 2 2 7 6 2" xfId="4649" xr:uid="{00000000-0005-0000-0000-000080150000}"/>
    <cellStyle name="Comma 3 2 2 7 6 3" xfId="5923" xr:uid="{00000000-0005-0000-0000-000081150000}"/>
    <cellStyle name="Comma 3 2 2 7 7" xfId="4621" xr:uid="{00000000-0005-0000-0000-000082150000}"/>
    <cellStyle name="Comma 3 2 2 7 8" xfId="3435" xr:uid="{00000000-0005-0000-0000-000083150000}"/>
    <cellStyle name="Comma 3 2 2 8" xfId="2146" xr:uid="{00000000-0005-0000-0000-000084150000}"/>
    <cellStyle name="Comma 3 2 2 9" xfId="2140" xr:uid="{00000000-0005-0000-0000-000085150000}"/>
    <cellStyle name="Comma 3 2 3" xfId="1711" xr:uid="{00000000-0005-0000-0000-000086150000}"/>
    <cellStyle name="Comma 3 2 3 10" xfId="4466" xr:uid="{00000000-0005-0000-0000-000087150000}"/>
    <cellStyle name="Comma 3 2 3 11" xfId="3431" xr:uid="{00000000-0005-0000-0000-000088150000}"/>
    <cellStyle name="Comma 3 2 3 12" xfId="9063" xr:uid="{00000000-0005-0000-0000-000089150000}"/>
    <cellStyle name="Comma 3 2 3 2" xfId="1829" xr:uid="{00000000-0005-0000-0000-00008A150000}"/>
    <cellStyle name="Comma 3 2 3 2 10" xfId="4449" xr:uid="{00000000-0005-0000-0000-00008B150000}"/>
    <cellStyle name="Comma 3 2 3 2 11" xfId="3430" xr:uid="{00000000-0005-0000-0000-00008C150000}"/>
    <cellStyle name="Comma 3 2 3 2 12" xfId="9064" xr:uid="{00000000-0005-0000-0000-00008D150000}"/>
    <cellStyle name="Comma 3 2 3 2 2" xfId="1865" xr:uid="{00000000-0005-0000-0000-00008E150000}"/>
    <cellStyle name="Comma 3 2 3 2 2 10" xfId="3429" xr:uid="{00000000-0005-0000-0000-00008F150000}"/>
    <cellStyle name="Comma 3 2 3 2 2 11" xfId="9065" xr:uid="{00000000-0005-0000-0000-000090150000}"/>
    <cellStyle name="Comma 3 2 3 2 2 2" xfId="1873" xr:uid="{00000000-0005-0000-0000-000091150000}"/>
    <cellStyle name="Comma 3 2 3 2 2 2 10" xfId="3428" xr:uid="{00000000-0005-0000-0000-000092150000}"/>
    <cellStyle name="Comma 3 2 3 2 2 2 2" xfId="2213" xr:uid="{00000000-0005-0000-0000-000093150000}"/>
    <cellStyle name="Comma 3 2 3 2 2 2 2 2" xfId="2221" xr:uid="{00000000-0005-0000-0000-000094150000}"/>
    <cellStyle name="Comma 3 2 3 2 2 2 2 2 2" xfId="3051" xr:uid="{00000000-0005-0000-0000-000095150000}"/>
    <cellStyle name="Comma 3 2 3 2 2 2 2 2 2 2" xfId="3059" xr:uid="{00000000-0005-0000-0000-000096150000}"/>
    <cellStyle name="Comma 3 2 3 2 2 2 2 2 2 2 2" xfId="5231" xr:uid="{00000000-0005-0000-0000-000097150000}"/>
    <cellStyle name="Comma 3 2 3 2 2 2 2 2 2 2 2 2" xfId="5239" xr:uid="{00000000-0005-0000-0000-000098150000}"/>
    <cellStyle name="Comma 3 2 3 2 2 2 2 2 2 2 2 3" xfId="6444" xr:uid="{00000000-0005-0000-0000-000099150000}"/>
    <cellStyle name="Comma 3 2 3 2 2 2 2 2 2 2 3" xfId="5722" xr:uid="{00000000-0005-0000-0000-00009A150000}"/>
    <cellStyle name="Comma 3 2 3 2 2 2 2 2 2 2 4" xfId="6436" xr:uid="{00000000-0005-0000-0000-00009B150000}"/>
    <cellStyle name="Comma 3 2 3 2 2 2 2 2 2 3" xfId="4120" xr:uid="{00000000-0005-0000-0000-00009C150000}"/>
    <cellStyle name="Comma 3 2 3 2 2 2 2 2 2 3 2" xfId="5714" xr:uid="{00000000-0005-0000-0000-00009D150000}"/>
    <cellStyle name="Comma 3 2 3 2 2 2 2 2 2 3 3" xfId="6777" xr:uid="{00000000-0005-0000-0000-00009E150000}"/>
    <cellStyle name="Comma 3 2 3 2 2 2 2 2 2 4" xfId="3425" xr:uid="{00000000-0005-0000-0000-00009F150000}"/>
    <cellStyle name="Comma 3 2 3 2 2 2 2 2 3" xfId="3241" xr:uid="{00000000-0005-0000-0000-0000A0150000}"/>
    <cellStyle name="Comma 3 2 3 2 2 2 2 2 4" xfId="4119" xr:uid="{00000000-0005-0000-0000-0000A1150000}"/>
    <cellStyle name="Comma 3 2 3 2 2 2 2 2 4 2" xfId="4788" xr:uid="{00000000-0005-0000-0000-0000A2150000}"/>
    <cellStyle name="Comma 3 2 3 2 2 2 2 2 4 3" xfId="6033" xr:uid="{00000000-0005-0000-0000-0000A3150000}"/>
    <cellStyle name="Comma 3 2 3 2 2 2 2 2 5" xfId="4719" xr:uid="{00000000-0005-0000-0000-0000A4150000}"/>
    <cellStyle name="Comma 3 2 3 2 2 2 2 2 6" xfId="3426" xr:uid="{00000000-0005-0000-0000-0000A5150000}"/>
    <cellStyle name="Comma 3 2 3 2 2 2 2 3" xfId="2370" xr:uid="{00000000-0005-0000-0000-0000A6150000}"/>
    <cellStyle name="Comma 3 2 3 2 2 2 2 4" xfId="2610" xr:uid="{00000000-0005-0000-0000-0000A7150000}"/>
    <cellStyle name="Comma 3 2 3 2 2 2 2 5" xfId="2550" xr:uid="{00000000-0005-0000-0000-0000A8150000}"/>
    <cellStyle name="Comma 3 2 3 2 2 2 2 5 2" xfId="3233" xr:uid="{00000000-0005-0000-0000-0000A9150000}"/>
    <cellStyle name="Comma 3 2 3 2 2 2 2 5 2 2" xfId="4875" xr:uid="{00000000-0005-0000-0000-0000AA150000}"/>
    <cellStyle name="Comma 3 2 3 2 2 2 2 5 2 2 2" xfId="5342" xr:uid="{00000000-0005-0000-0000-0000AB150000}"/>
    <cellStyle name="Comma 3 2 3 2 2 2 2 5 2 2 3" xfId="6547" xr:uid="{00000000-0005-0000-0000-0000AC150000}"/>
    <cellStyle name="Comma 3 2 3 2 2 2 2 5 2 3" xfId="5825" xr:uid="{00000000-0005-0000-0000-0000AD150000}"/>
    <cellStyle name="Comma 3 2 3 2 2 2 2 5 2 4" xfId="6090" xr:uid="{00000000-0005-0000-0000-0000AE150000}"/>
    <cellStyle name="Comma 3 2 3 2 2 2 2 5 3" xfId="4124" xr:uid="{00000000-0005-0000-0000-0000AF150000}"/>
    <cellStyle name="Comma 3 2 3 2 2 2 2 5 3 2" xfId="5364" xr:uid="{00000000-0005-0000-0000-0000B0150000}"/>
    <cellStyle name="Comma 3 2 3 2 2 2 2 5 3 3" xfId="6564" xr:uid="{00000000-0005-0000-0000-0000B1150000}"/>
    <cellStyle name="Comma 3 2 3 2 2 2 2 5 4" xfId="3424" xr:uid="{00000000-0005-0000-0000-0000B2150000}"/>
    <cellStyle name="Comma 3 2 3 2 2 2 2 6" xfId="4118" xr:uid="{00000000-0005-0000-0000-0000B3150000}"/>
    <cellStyle name="Comma 3 2 3 2 2 2 2 6 2" xfId="4780" xr:uid="{00000000-0005-0000-0000-0000B4150000}"/>
    <cellStyle name="Comma 3 2 3 2 2 2 2 6 3" xfId="6025" xr:uid="{00000000-0005-0000-0000-0000B5150000}"/>
    <cellStyle name="Comma 3 2 3 2 2 2 2 7" xfId="4388" xr:uid="{00000000-0005-0000-0000-0000B6150000}"/>
    <cellStyle name="Comma 3 2 3 2 2 2 2 8" xfId="3427" xr:uid="{00000000-0005-0000-0000-0000B7150000}"/>
    <cellStyle name="Comma 3 2 3 2 2 2 3" xfId="2273" xr:uid="{00000000-0005-0000-0000-0000B8150000}"/>
    <cellStyle name="Comma 3 2 3 2 2 2 4" xfId="2308" xr:uid="{00000000-0005-0000-0000-0000B9150000}"/>
    <cellStyle name="Comma 3 2 3 2 2 2 5" xfId="2362" xr:uid="{00000000-0005-0000-0000-0000BA150000}"/>
    <cellStyle name="Comma 3 2 3 2 2 2 5 2" xfId="2923" xr:uid="{00000000-0005-0000-0000-0000BB150000}"/>
    <cellStyle name="Comma 3 2 3 2 2 2 5 2 2" xfId="3099" xr:uid="{00000000-0005-0000-0000-0000BC150000}"/>
    <cellStyle name="Comma 3 2 3 2 2 2 5 2 2 2" xfId="5104" xr:uid="{00000000-0005-0000-0000-0000BD150000}"/>
    <cellStyle name="Comma 3 2 3 2 2 2 5 2 2 2 2" xfId="5279" xr:uid="{00000000-0005-0000-0000-0000BE150000}"/>
    <cellStyle name="Comma 3 2 3 2 2 2 5 2 2 2 3" xfId="6484" xr:uid="{00000000-0005-0000-0000-0000BF150000}"/>
    <cellStyle name="Comma 3 2 3 2 2 2 5 2 2 3" xfId="5762" xr:uid="{00000000-0005-0000-0000-0000C0150000}"/>
    <cellStyle name="Comma 3 2 3 2 2 2 5 2 2 4" xfId="6309" xr:uid="{00000000-0005-0000-0000-0000C1150000}"/>
    <cellStyle name="Comma 3 2 3 2 2 2 5 2 3" xfId="4128" xr:uid="{00000000-0005-0000-0000-0000C2150000}"/>
    <cellStyle name="Comma 3 2 3 2 2 2 5 2 3 2" xfId="5587" xr:uid="{00000000-0005-0000-0000-0000C3150000}"/>
    <cellStyle name="Comma 3 2 3 2 2 2 5 2 3 3" xfId="6721" xr:uid="{00000000-0005-0000-0000-0000C4150000}"/>
    <cellStyle name="Comma 3 2 3 2 2 2 5 2 4" xfId="3422" xr:uid="{00000000-0005-0000-0000-0000C5150000}"/>
    <cellStyle name="Comma 3 2 3 2 2 2 5 3" xfId="3281" xr:uid="{00000000-0005-0000-0000-0000C6150000}"/>
    <cellStyle name="Comma 3 2 3 2 2 2 5 4" xfId="4127" xr:uid="{00000000-0005-0000-0000-0000C7150000}"/>
    <cellStyle name="Comma 3 2 3 2 2 2 5 4 2" xfId="4829" xr:uid="{00000000-0005-0000-0000-0000C8150000}"/>
    <cellStyle name="Comma 3 2 3 2 2 2 5 4 3" xfId="6074" xr:uid="{00000000-0005-0000-0000-0000C9150000}"/>
    <cellStyle name="Comma 3 2 3 2 2 2 5 5" xfId="4491" xr:uid="{00000000-0005-0000-0000-0000CA150000}"/>
    <cellStyle name="Comma 3 2 3 2 2 2 5 6" xfId="3423" xr:uid="{00000000-0005-0000-0000-0000CB150000}"/>
    <cellStyle name="Comma 3 2 3 2 2 2 6" xfId="2609" xr:uid="{00000000-0005-0000-0000-0000CC150000}"/>
    <cellStyle name="Comma 3 2 3 2 2 2 7" xfId="2551" xr:uid="{00000000-0005-0000-0000-0000CD150000}"/>
    <cellStyle name="Comma 3 2 3 2 2 2 7 2" xfId="2806" xr:uid="{00000000-0005-0000-0000-0000CE150000}"/>
    <cellStyle name="Comma 3 2 3 2 2 2 7 2 2" xfId="4876" xr:uid="{00000000-0005-0000-0000-0000CF150000}"/>
    <cellStyle name="Comma 3 2 3 2 2 2 7 2 2 2" xfId="4991" xr:uid="{00000000-0005-0000-0000-0000D0150000}"/>
    <cellStyle name="Comma 3 2 3 2 2 2 7 2 2 3" xfId="6196" xr:uid="{00000000-0005-0000-0000-0000D1150000}"/>
    <cellStyle name="Comma 3 2 3 2 2 2 7 2 3" xfId="5474" xr:uid="{00000000-0005-0000-0000-0000D2150000}"/>
    <cellStyle name="Comma 3 2 3 2 2 2 7 2 4" xfId="6091" xr:uid="{00000000-0005-0000-0000-0000D3150000}"/>
    <cellStyle name="Comma 3 2 3 2 2 2 7 3" xfId="4129" xr:uid="{00000000-0005-0000-0000-0000D4150000}"/>
    <cellStyle name="Comma 3 2 3 2 2 2 7 3 2" xfId="5365" xr:uid="{00000000-0005-0000-0000-0000D5150000}"/>
    <cellStyle name="Comma 3 2 3 2 2 2 7 3 3" xfId="6565" xr:uid="{00000000-0005-0000-0000-0000D6150000}"/>
    <cellStyle name="Comma 3 2 3 2 2 2 7 4" xfId="3421" xr:uid="{00000000-0005-0000-0000-0000D7150000}"/>
    <cellStyle name="Comma 3 2 3 2 2 2 8" xfId="4117" xr:uid="{00000000-0005-0000-0000-0000D8150000}"/>
    <cellStyle name="Comma 3 2 3 2 2 2 8 2" xfId="4596" xr:uid="{00000000-0005-0000-0000-0000D9150000}"/>
    <cellStyle name="Comma 3 2 3 2 2 2 8 3" xfId="5900" xr:uid="{00000000-0005-0000-0000-0000DA150000}"/>
    <cellStyle name="Comma 3 2 3 2 2 2 9" xfId="4421" xr:uid="{00000000-0005-0000-0000-0000DB150000}"/>
    <cellStyle name="Comma 3 2 3 2 2 3" xfId="1990" xr:uid="{00000000-0005-0000-0000-0000DC150000}"/>
    <cellStyle name="Comma 3 2 3 2 2 3 2" xfId="2265" xr:uid="{00000000-0005-0000-0000-0000DD150000}"/>
    <cellStyle name="Comma 3 2 3 2 2 3 2 2" xfId="2959" xr:uid="{00000000-0005-0000-0000-0000DE150000}"/>
    <cellStyle name="Comma 3 2 3 2 2 3 2 2 2" xfId="3076" xr:uid="{00000000-0005-0000-0000-0000DF150000}"/>
    <cellStyle name="Comma 3 2 3 2 2 3 2 2 2 2" xfId="5140" xr:uid="{00000000-0005-0000-0000-0000E0150000}"/>
    <cellStyle name="Comma 3 2 3 2 2 3 2 2 2 2 2" xfId="5256" xr:uid="{00000000-0005-0000-0000-0000E1150000}"/>
    <cellStyle name="Comma 3 2 3 2 2 3 2 2 2 2 3" xfId="6461" xr:uid="{00000000-0005-0000-0000-0000E2150000}"/>
    <cellStyle name="Comma 3 2 3 2 2 3 2 2 2 3" xfId="5739" xr:uid="{00000000-0005-0000-0000-0000E3150000}"/>
    <cellStyle name="Comma 3 2 3 2 2 3 2 2 2 4" xfId="6345" xr:uid="{00000000-0005-0000-0000-0000E4150000}"/>
    <cellStyle name="Comma 3 2 3 2 2 3 2 2 3" xfId="4132" xr:uid="{00000000-0005-0000-0000-0000E5150000}"/>
    <cellStyle name="Comma 3 2 3 2 2 3 2 2 3 2" xfId="5623" xr:uid="{00000000-0005-0000-0000-0000E6150000}"/>
    <cellStyle name="Comma 3 2 3 2 2 3 2 2 3 3" xfId="6756" xr:uid="{00000000-0005-0000-0000-0000E7150000}"/>
    <cellStyle name="Comma 3 2 3 2 2 3 2 2 4" xfId="3418" xr:uid="{00000000-0005-0000-0000-0000E8150000}"/>
    <cellStyle name="Comma 3 2 3 2 2 3 2 3" xfId="3258" xr:uid="{00000000-0005-0000-0000-0000E9150000}"/>
    <cellStyle name="Comma 3 2 3 2 2 3 2 4" xfId="4131" xr:uid="{00000000-0005-0000-0000-0000EA150000}"/>
    <cellStyle name="Comma 3 2 3 2 2 3 2 4 2" xfId="4805" xr:uid="{00000000-0005-0000-0000-0000EB150000}"/>
    <cellStyle name="Comma 3 2 3 2 2 3 2 4 3" xfId="6050" xr:uid="{00000000-0005-0000-0000-0000EC150000}"/>
    <cellStyle name="Comma 3 2 3 2 2 3 2 5" xfId="4557" xr:uid="{00000000-0005-0000-0000-0000ED150000}"/>
    <cellStyle name="Comma 3 2 3 2 2 3 2 6" xfId="3419" xr:uid="{00000000-0005-0000-0000-0000EE150000}"/>
    <cellStyle name="Comma 3 2 3 2 2 3 3" xfId="2385" xr:uid="{00000000-0005-0000-0000-0000EF150000}"/>
    <cellStyle name="Comma 3 2 3 2 2 3 4" xfId="2612" xr:uid="{00000000-0005-0000-0000-0000F0150000}"/>
    <cellStyle name="Comma 3 2 3 2 2 3 5" xfId="2549" xr:uid="{00000000-0005-0000-0000-0000F1150000}"/>
    <cellStyle name="Comma 3 2 3 2 2 3 5 2" xfId="3141" xr:uid="{00000000-0005-0000-0000-0000F2150000}"/>
    <cellStyle name="Comma 3 2 3 2 2 3 5 2 2" xfId="4874" xr:uid="{00000000-0005-0000-0000-0000F3150000}"/>
    <cellStyle name="Comma 3 2 3 2 2 3 5 2 2 2" xfId="5320" xr:uid="{00000000-0005-0000-0000-0000F4150000}"/>
    <cellStyle name="Comma 3 2 3 2 2 3 5 2 2 3" xfId="6525" xr:uid="{00000000-0005-0000-0000-0000F5150000}"/>
    <cellStyle name="Comma 3 2 3 2 2 3 5 2 3" xfId="5803" xr:uid="{00000000-0005-0000-0000-0000F6150000}"/>
    <cellStyle name="Comma 3 2 3 2 2 3 5 2 4" xfId="6089" xr:uid="{00000000-0005-0000-0000-0000F7150000}"/>
    <cellStyle name="Comma 3 2 3 2 2 3 5 3" xfId="4135" xr:uid="{00000000-0005-0000-0000-0000F8150000}"/>
    <cellStyle name="Comma 3 2 3 2 2 3 5 3 2" xfId="5363" xr:uid="{00000000-0005-0000-0000-0000F9150000}"/>
    <cellStyle name="Comma 3 2 3 2 2 3 5 3 3" xfId="6563" xr:uid="{00000000-0005-0000-0000-0000FA150000}"/>
    <cellStyle name="Comma 3 2 3 2 2 3 5 4" xfId="3417" xr:uid="{00000000-0005-0000-0000-0000FB150000}"/>
    <cellStyle name="Comma 3 2 3 2 2 3 6" xfId="4130" xr:uid="{00000000-0005-0000-0000-0000FC150000}"/>
    <cellStyle name="Comma 3 2 3 2 2 3 6 2" xfId="4661" xr:uid="{00000000-0005-0000-0000-0000FD150000}"/>
    <cellStyle name="Comma 3 2 3 2 2 3 6 3" xfId="5935" xr:uid="{00000000-0005-0000-0000-0000FE150000}"/>
    <cellStyle name="Comma 3 2 3 2 2 3 7" xfId="4537" xr:uid="{00000000-0005-0000-0000-0000FF150000}"/>
    <cellStyle name="Comma 3 2 3 2 2 3 8" xfId="3420" xr:uid="{00000000-0005-0000-0000-000000160000}"/>
    <cellStyle name="Comma 3 2 3 2 2 4" xfId="2300" xr:uid="{00000000-0005-0000-0000-000001160000}"/>
    <cellStyle name="Comma 3 2 3 2 2 5" xfId="1997" xr:uid="{00000000-0005-0000-0000-000002160000}"/>
    <cellStyle name="Comma 3 2 3 2 2 5 2" xfId="2915" xr:uid="{00000000-0005-0000-0000-000003160000}"/>
    <cellStyle name="Comma 3 2 3 2 2 5 2 2" xfId="2962" xr:uid="{00000000-0005-0000-0000-000004160000}"/>
    <cellStyle name="Comma 3 2 3 2 2 5 2 2 2" xfId="5096" xr:uid="{00000000-0005-0000-0000-000005160000}"/>
    <cellStyle name="Comma 3 2 3 2 2 5 2 2 2 2" xfId="5143" xr:uid="{00000000-0005-0000-0000-000006160000}"/>
    <cellStyle name="Comma 3 2 3 2 2 5 2 2 2 3" xfId="6348" xr:uid="{00000000-0005-0000-0000-000007160000}"/>
    <cellStyle name="Comma 3 2 3 2 2 5 2 2 3" xfId="5626" xr:uid="{00000000-0005-0000-0000-000008160000}"/>
    <cellStyle name="Comma 3 2 3 2 2 5 2 2 4" xfId="6301" xr:uid="{00000000-0005-0000-0000-000009160000}"/>
    <cellStyle name="Comma 3 2 3 2 2 5 2 3" xfId="4137" xr:uid="{00000000-0005-0000-0000-00000A160000}"/>
    <cellStyle name="Comma 3 2 3 2 2 5 2 3 2" xfId="5579" xr:uid="{00000000-0005-0000-0000-00000B160000}"/>
    <cellStyle name="Comma 3 2 3 2 2 5 2 3 3" xfId="6713" xr:uid="{00000000-0005-0000-0000-00000C160000}"/>
    <cellStyle name="Comma 3 2 3 2 2 5 2 4" xfId="3415" xr:uid="{00000000-0005-0000-0000-00000D160000}"/>
    <cellStyle name="Comma 3 2 3 2 2 5 3" xfId="3144" xr:uid="{00000000-0005-0000-0000-00000E160000}"/>
    <cellStyle name="Comma 3 2 3 2 2 5 4" xfId="4136" xr:uid="{00000000-0005-0000-0000-00000F160000}"/>
    <cellStyle name="Comma 3 2 3 2 2 5 4 2" xfId="4664" xr:uid="{00000000-0005-0000-0000-000010160000}"/>
    <cellStyle name="Comma 3 2 3 2 2 5 4 3" xfId="5938" xr:uid="{00000000-0005-0000-0000-000011160000}"/>
    <cellStyle name="Comma 3 2 3 2 2 5 5" xfId="4539" xr:uid="{00000000-0005-0000-0000-000012160000}"/>
    <cellStyle name="Comma 3 2 3 2 2 5 6" xfId="3416" xr:uid="{00000000-0005-0000-0000-000013160000}"/>
    <cellStyle name="Comma 3 2 3 2 2 6" xfId="2608" xr:uid="{00000000-0005-0000-0000-000014160000}"/>
    <cellStyle name="Comma 3 2 3 2 2 7" xfId="2553" xr:uid="{00000000-0005-0000-0000-000015160000}"/>
    <cellStyle name="Comma 3 2 3 2 2 7 2" xfId="2814" xr:uid="{00000000-0005-0000-0000-000016160000}"/>
    <cellStyle name="Comma 3 2 3 2 2 7 2 2" xfId="4877" xr:uid="{00000000-0005-0000-0000-000017160000}"/>
    <cellStyle name="Comma 3 2 3 2 2 7 2 2 2" xfId="4999" xr:uid="{00000000-0005-0000-0000-000018160000}"/>
    <cellStyle name="Comma 3 2 3 2 2 7 2 2 3" xfId="6204" xr:uid="{00000000-0005-0000-0000-000019160000}"/>
    <cellStyle name="Comma 3 2 3 2 2 7 2 3" xfId="5482" xr:uid="{00000000-0005-0000-0000-00001A160000}"/>
    <cellStyle name="Comma 3 2 3 2 2 7 2 4" xfId="6092" xr:uid="{00000000-0005-0000-0000-00001B160000}"/>
    <cellStyle name="Comma 3 2 3 2 2 7 3" xfId="4138" xr:uid="{00000000-0005-0000-0000-00001C160000}"/>
    <cellStyle name="Comma 3 2 3 2 2 7 3 2" xfId="5366" xr:uid="{00000000-0005-0000-0000-00001D160000}"/>
    <cellStyle name="Comma 3 2 3 2 2 7 3 3" xfId="6566" xr:uid="{00000000-0005-0000-0000-00001E160000}"/>
    <cellStyle name="Comma 3 2 3 2 2 7 4" xfId="3414" xr:uid="{00000000-0005-0000-0000-00001F160000}"/>
    <cellStyle name="Comma 3 2 3 2 2 8" xfId="4116" xr:uid="{00000000-0005-0000-0000-000020160000}"/>
    <cellStyle name="Comma 3 2 3 2 2 8 2" xfId="4588" xr:uid="{00000000-0005-0000-0000-000021160000}"/>
    <cellStyle name="Comma 3 2 3 2 2 8 3" xfId="5892" xr:uid="{00000000-0005-0000-0000-000022160000}"/>
    <cellStyle name="Comma 3 2 3 2 2 9" xfId="4429" xr:uid="{00000000-0005-0000-0000-000023160000}"/>
    <cellStyle name="Comma 3 2 3 2 3" xfId="1989" xr:uid="{00000000-0005-0000-0000-000024160000}"/>
    <cellStyle name="Comma 3 2 3 2 3 2" xfId="2193" xr:uid="{00000000-0005-0000-0000-000025160000}"/>
    <cellStyle name="Comma 3 2 3 2 3 2 2" xfId="2958" xr:uid="{00000000-0005-0000-0000-000026160000}"/>
    <cellStyle name="Comma 3 2 3 2 3 2 2 2" xfId="3031" xr:uid="{00000000-0005-0000-0000-000027160000}"/>
    <cellStyle name="Comma 3 2 3 2 3 2 2 2 2" xfId="5139" xr:uid="{00000000-0005-0000-0000-000028160000}"/>
    <cellStyle name="Comma 3 2 3 2 3 2 2 2 2 2" xfId="5211" xr:uid="{00000000-0005-0000-0000-000029160000}"/>
    <cellStyle name="Comma 3 2 3 2 3 2 2 2 2 3" xfId="6416" xr:uid="{00000000-0005-0000-0000-00002A160000}"/>
    <cellStyle name="Comma 3 2 3 2 3 2 2 2 3" xfId="5694" xr:uid="{00000000-0005-0000-0000-00002B160000}"/>
    <cellStyle name="Comma 3 2 3 2 3 2 2 2 4" xfId="6344" xr:uid="{00000000-0005-0000-0000-00002C160000}"/>
    <cellStyle name="Comma 3 2 3 2 3 2 2 3" xfId="4141" xr:uid="{00000000-0005-0000-0000-00002D160000}"/>
    <cellStyle name="Comma 3 2 3 2 3 2 2 3 2" xfId="5622" xr:uid="{00000000-0005-0000-0000-00002E160000}"/>
    <cellStyle name="Comma 3 2 3 2 3 2 2 3 3" xfId="6755" xr:uid="{00000000-0005-0000-0000-00002F160000}"/>
    <cellStyle name="Comma 3 2 3 2 3 2 2 4" xfId="3411" xr:uid="{00000000-0005-0000-0000-000030160000}"/>
    <cellStyle name="Comma 3 2 3 2 3 2 3" xfId="3213" xr:uid="{00000000-0005-0000-0000-000031160000}"/>
    <cellStyle name="Comma 3 2 3 2 3 2 4" xfId="4140" xr:uid="{00000000-0005-0000-0000-000032160000}"/>
    <cellStyle name="Comma 3 2 3 2 3 2 4 2" xfId="4760" xr:uid="{00000000-0005-0000-0000-000033160000}"/>
    <cellStyle name="Comma 3 2 3 2 3 2 4 3" xfId="6005" xr:uid="{00000000-0005-0000-0000-000034160000}"/>
    <cellStyle name="Comma 3 2 3 2 3 2 5" xfId="4549" xr:uid="{00000000-0005-0000-0000-000035160000}"/>
    <cellStyle name="Comma 3 2 3 2 3 2 6" xfId="3412" xr:uid="{00000000-0005-0000-0000-000036160000}"/>
    <cellStyle name="Comma 3 2 3 2 3 3" xfId="2342" xr:uid="{00000000-0005-0000-0000-000037160000}"/>
    <cellStyle name="Comma 3 2 3 2 3 4" xfId="2614" xr:uid="{00000000-0005-0000-0000-000038160000}"/>
    <cellStyle name="Comma 3 2 3 2 3 5" xfId="2548" xr:uid="{00000000-0005-0000-0000-000039160000}"/>
    <cellStyle name="Comma 3 2 3 2 3 5 2" xfId="3140" xr:uid="{00000000-0005-0000-0000-00003A160000}"/>
    <cellStyle name="Comma 3 2 3 2 3 5 2 2" xfId="4873" xr:uid="{00000000-0005-0000-0000-00003B160000}"/>
    <cellStyle name="Comma 3 2 3 2 3 5 2 2 2" xfId="5319" xr:uid="{00000000-0005-0000-0000-00003C160000}"/>
    <cellStyle name="Comma 3 2 3 2 3 5 2 2 3" xfId="6524" xr:uid="{00000000-0005-0000-0000-00003D160000}"/>
    <cellStyle name="Comma 3 2 3 2 3 5 2 3" xfId="5802" xr:uid="{00000000-0005-0000-0000-00003E160000}"/>
    <cellStyle name="Comma 3 2 3 2 3 5 2 4" xfId="6088" xr:uid="{00000000-0005-0000-0000-00003F160000}"/>
    <cellStyle name="Comma 3 2 3 2 3 5 3" xfId="4145" xr:uid="{00000000-0005-0000-0000-000040160000}"/>
    <cellStyle name="Comma 3 2 3 2 3 5 3 2" xfId="5362" xr:uid="{00000000-0005-0000-0000-000041160000}"/>
    <cellStyle name="Comma 3 2 3 2 3 5 3 3" xfId="6562" xr:uid="{00000000-0005-0000-0000-000042160000}"/>
    <cellStyle name="Comma 3 2 3 2 3 5 4" xfId="3410" xr:uid="{00000000-0005-0000-0000-000043160000}"/>
    <cellStyle name="Comma 3 2 3 2 3 6" xfId="4139" xr:uid="{00000000-0005-0000-0000-000044160000}"/>
    <cellStyle name="Comma 3 2 3 2 3 6 2" xfId="4660" xr:uid="{00000000-0005-0000-0000-000045160000}"/>
    <cellStyle name="Comma 3 2 3 2 3 6 3" xfId="5934" xr:uid="{00000000-0005-0000-0000-000046160000}"/>
    <cellStyle name="Comma 3 2 3 2 3 7" xfId="4622" xr:uid="{00000000-0005-0000-0000-000047160000}"/>
    <cellStyle name="Comma 3 2 3 2 3 8" xfId="3413" xr:uid="{00000000-0005-0000-0000-000048160000}"/>
    <cellStyle name="Comma 3 2 3 2 4" xfId="2245" xr:uid="{00000000-0005-0000-0000-000049160000}"/>
    <cellStyle name="Comma 3 2 3 2 5" xfId="2280" xr:uid="{00000000-0005-0000-0000-00004A160000}"/>
    <cellStyle name="Comma 3 2 3 2 6" xfId="1998" xr:uid="{00000000-0005-0000-0000-00004B160000}"/>
    <cellStyle name="Comma 3 2 3 2 6 2" xfId="2895" xr:uid="{00000000-0005-0000-0000-00004C160000}"/>
    <cellStyle name="Comma 3 2 3 2 6 2 2" xfId="2963" xr:uid="{00000000-0005-0000-0000-00004D160000}"/>
    <cellStyle name="Comma 3 2 3 2 6 2 2 2" xfId="5076" xr:uid="{00000000-0005-0000-0000-00004E160000}"/>
    <cellStyle name="Comma 3 2 3 2 6 2 2 2 2" xfId="5144" xr:uid="{00000000-0005-0000-0000-00004F160000}"/>
    <cellStyle name="Comma 3 2 3 2 6 2 2 2 3" xfId="6349" xr:uid="{00000000-0005-0000-0000-000050160000}"/>
    <cellStyle name="Comma 3 2 3 2 6 2 2 3" xfId="5627" xr:uid="{00000000-0005-0000-0000-000051160000}"/>
    <cellStyle name="Comma 3 2 3 2 6 2 2 4" xfId="6281" xr:uid="{00000000-0005-0000-0000-000052160000}"/>
    <cellStyle name="Comma 3 2 3 2 6 2 3" xfId="4148" xr:uid="{00000000-0005-0000-0000-000053160000}"/>
    <cellStyle name="Comma 3 2 3 2 6 2 3 2" xfId="5559" xr:uid="{00000000-0005-0000-0000-000054160000}"/>
    <cellStyle name="Comma 3 2 3 2 6 2 3 3" xfId="6693" xr:uid="{00000000-0005-0000-0000-000055160000}"/>
    <cellStyle name="Comma 3 2 3 2 6 2 4" xfId="3408" xr:uid="{00000000-0005-0000-0000-000056160000}"/>
    <cellStyle name="Comma 3 2 3 2 6 3" xfId="3145" xr:uid="{00000000-0005-0000-0000-000057160000}"/>
    <cellStyle name="Comma 3 2 3 2 6 4" xfId="4147" xr:uid="{00000000-0005-0000-0000-000058160000}"/>
    <cellStyle name="Comma 3 2 3 2 6 4 2" xfId="4665" xr:uid="{00000000-0005-0000-0000-000059160000}"/>
    <cellStyle name="Comma 3 2 3 2 6 4 3" xfId="5939" xr:uid="{00000000-0005-0000-0000-00005A160000}"/>
    <cellStyle name="Comma 3 2 3 2 6 5" xfId="4512" xr:uid="{00000000-0005-0000-0000-00005B160000}"/>
    <cellStyle name="Comma 3 2 3 2 6 6" xfId="3409" xr:uid="{00000000-0005-0000-0000-00005C160000}"/>
    <cellStyle name="Comma 3 2 3 2 7" xfId="2607" xr:uid="{00000000-0005-0000-0000-00005D160000}"/>
    <cellStyle name="Comma 3 2 3 2 8" xfId="2554" xr:uid="{00000000-0005-0000-0000-00005E160000}"/>
    <cellStyle name="Comma 3 2 3 2 8 2" xfId="2834" xr:uid="{00000000-0005-0000-0000-00005F160000}"/>
    <cellStyle name="Comma 3 2 3 2 8 2 2" xfId="4878" xr:uid="{00000000-0005-0000-0000-000060160000}"/>
    <cellStyle name="Comma 3 2 3 2 8 2 2 2" xfId="5019" xr:uid="{00000000-0005-0000-0000-000061160000}"/>
    <cellStyle name="Comma 3 2 3 2 8 2 2 3" xfId="6224" xr:uid="{00000000-0005-0000-0000-000062160000}"/>
    <cellStyle name="Comma 3 2 3 2 8 2 3" xfId="5502" xr:uid="{00000000-0005-0000-0000-000063160000}"/>
    <cellStyle name="Comma 3 2 3 2 8 2 4" xfId="6093" xr:uid="{00000000-0005-0000-0000-000064160000}"/>
    <cellStyle name="Comma 3 2 3 2 8 3" xfId="4150" xr:uid="{00000000-0005-0000-0000-000065160000}"/>
    <cellStyle name="Comma 3 2 3 2 8 3 2" xfId="5367" xr:uid="{00000000-0005-0000-0000-000066160000}"/>
    <cellStyle name="Comma 3 2 3 2 8 3 3" xfId="6567" xr:uid="{00000000-0005-0000-0000-000067160000}"/>
    <cellStyle name="Comma 3 2 3 2 8 4" xfId="3407" xr:uid="{00000000-0005-0000-0000-000068160000}"/>
    <cellStyle name="Comma 3 2 3 2 9" xfId="4115" xr:uid="{00000000-0005-0000-0000-000069160000}"/>
    <cellStyle name="Comma 3 2 3 2 9 2" xfId="4568" xr:uid="{00000000-0005-0000-0000-00006A160000}"/>
    <cellStyle name="Comma 3 2 3 2 9 3" xfId="5872" xr:uid="{00000000-0005-0000-0000-00006B160000}"/>
    <cellStyle name="Comma 3 2 3 3" xfId="1849" xr:uid="{00000000-0005-0000-0000-00006C160000}"/>
    <cellStyle name="Comma 3 2 3 3 10" xfId="3406" xr:uid="{00000000-0005-0000-0000-00006D160000}"/>
    <cellStyle name="Comma 3 2 3 3 2" xfId="2170" xr:uid="{00000000-0005-0000-0000-00006E160000}"/>
    <cellStyle name="Comma 3 2 3 3 2 2" xfId="2199" xr:uid="{00000000-0005-0000-0000-00006F160000}"/>
    <cellStyle name="Comma 3 2 3 3 2 2 2" xfId="3014" xr:uid="{00000000-0005-0000-0000-000070160000}"/>
    <cellStyle name="Comma 3 2 3 3 2 2 2 2" xfId="3037" xr:uid="{00000000-0005-0000-0000-000071160000}"/>
    <cellStyle name="Comma 3 2 3 3 2 2 2 2 2" xfId="5194" xr:uid="{00000000-0005-0000-0000-000072160000}"/>
    <cellStyle name="Comma 3 2 3 3 2 2 2 2 2 2" xfId="5217" xr:uid="{00000000-0005-0000-0000-000073160000}"/>
    <cellStyle name="Comma 3 2 3 3 2 2 2 2 2 3" xfId="6422" xr:uid="{00000000-0005-0000-0000-000074160000}"/>
    <cellStyle name="Comma 3 2 3 3 2 2 2 2 3" xfId="5700" xr:uid="{00000000-0005-0000-0000-000075160000}"/>
    <cellStyle name="Comma 3 2 3 3 2 2 2 2 4" xfId="6399" xr:uid="{00000000-0005-0000-0000-000076160000}"/>
    <cellStyle name="Comma 3 2 3 3 2 2 2 3" xfId="4154" xr:uid="{00000000-0005-0000-0000-000077160000}"/>
    <cellStyle name="Comma 3 2 3 3 2 2 2 3 2" xfId="5677" xr:uid="{00000000-0005-0000-0000-000078160000}"/>
    <cellStyle name="Comma 3 2 3 3 2 2 2 3 3" xfId="6762" xr:uid="{00000000-0005-0000-0000-000079160000}"/>
    <cellStyle name="Comma 3 2 3 3 2 2 2 4" xfId="3403" xr:uid="{00000000-0005-0000-0000-00007A160000}"/>
    <cellStyle name="Comma 3 2 3 3 2 2 3" xfId="3219" xr:uid="{00000000-0005-0000-0000-00007B160000}"/>
    <cellStyle name="Comma 3 2 3 3 2 2 4" xfId="4153" xr:uid="{00000000-0005-0000-0000-00007C160000}"/>
    <cellStyle name="Comma 3 2 3 3 2 2 4 2" xfId="4766" xr:uid="{00000000-0005-0000-0000-00007D160000}"/>
    <cellStyle name="Comma 3 2 3 3 2 2 4 3" xfId="6011" xr:uid="{00000000-0005-0000-0000-00007E160000}"/>
    <cellStyle name="Comma 3 2 3 3 2 2 5" xfId="4552" xr:uid="{00000000-0005-0000-0000-00007F160000}"/>
    <cellStyle name="Comma 3 2 3 3 2 2 6" xfId="3404" xr:uid="{00000000-0005-0000-0000-000080160000}"/>
    <cellStyle name="Comma 3 2 3 3 2 3" xfId="2348" xr:uid="{00000000-0005-0000-0000-000081160000}"/>
    <cellStyle name="Comma 3 2 3 3 2 4" xfId="2617" xr:uid="{00000000-0005-0000-0000-000082160000}"/>
    <cellStyle name="Comma 3 2 3 3 2 5" xfId="2545" xr:uid="{00000000-0005-0000-0000-000083160000}"/>
    <cellStyle name="Comma 3 2 3 3 2 5 2" xfId="3196" xr:uid="{00000000-0005-0000-0000-000084160000}"/>
    <cellStyle name="Comma 3 2 3 3 2 5 2 2" xfId="4871" xr:uid="{00000000-0005-0000-0000-000085160000}"/>
    <cellStyle name="Comma 3 2 3 3 2 5 2 2 2" xfId="5326" xr:uid="{00000000-0005-0000-0000-000086160000}"/>
    <cellStyle name="Comma 3 2 3 3 2 5 2 2 3" xfId="6531" xr:uid="{00000000-0005-0000-0000-000087160000}"/>
    <cellStyle name="Comma 3 2 3 3 2 5 2 3" xfId="5809" xr:uid="{00000000-0005-0000-0000-000088160000}"/>
    <cellStyle name="Comma 3 2 3 3 2 5 2 4" xfId="6086" xr:uid="{00000000-0005-0000-0000-000089160000}"/>
    <cellStyle name="Comma 3 2 3 3 2 5 3" xfId="4157" xr:uid="{00000000-0005-0000-0000-00008A160000}"/>
    <cellStyle name="Comma 3 2 3 3 2 5 3 2" xfId="5360" xr:uid="{00000000-0005-0000-0000-00008B160000}"/>
    <cellStyle name="Comma 3 2 3 3 2 5 3 3" xfId="6560" xr:uid="{00000000-0005-0000-0000-00008C160000}"/>
    <cellStyle name="Comma 3 2 3 3 2 5 4" xfId="3402" xr:uid="{00000000-0005-0000-0000-00008D160000}"/>
    <cellStyle name="Comma 3 2 3 3 2 6" xfId="4152" xr:uid="{00000000-0005-0000-0000-00008E160000}"/>
    <cellStyle name="Comma 3 2 3 3 2 6 2" xfId="4743" xr:uid="{00000000-0005-0000-0000-00008F160000}"/>
    <cellStyle name="Comma 3 2 3 3 2 6 3" xfId="5988" xr:uid="{00000000-0005-0000-0000-000090160000}"/>
    <cellStyle name="Comma 3 2 3 3 2 7" xfId="4547" xr:uid="{00000000-0005-0000-0000-000091160000}"/>
    <cellStyle name="Comma 3 2 3 3 2 8" xfId="3405" xr:uid="{00000000-0005-0000-0000-000092160000}"/>
    <cellStyle name="Comma 3 2 3 3 3" xfId="2251" xr:uid="{00000000-0005-0000-0000-000093160000}"/>
    <cellStyle name="Comma 3 2 3 3 4" xfId="2286" xr:uid="{00000000-0005-0000-0000-000094160000}"/>
    <cellStyle name="Comma 3 2 3 3 5" xfId="2326" xr:uid="{00000000-0005-0000-0000-000095160000}"/>
    <cellStyle name="Comma 3 2 3 3 5 2" xfId="2901" xr:uid="{00000000-0005-0000-0000-000096160000}"/>
    <cellStyle name="Comma 3 2 3 3 5 2 2" xfId="3085" xr:uid="{00000000-0005-0000-0000-000097160000}"/>
    <cellStyle name="Comma 3 2 3 3 5 2 2 2" xfId="5082" xr:uid="{00000000-0005-0000-0000-000098160000}"/>
    <cellStyle name="Comma 3 2 3 3 5 2 2 2 2" xfId="5265" xr:uid="{00000000-0005-0000-0000-000099160000}"/>
    <cellStyle name="Comma 3 2 3 3 5 2 2 2 3" xfId="6470" xr:uid="{00000000-0005-0000-0000-00009A160000}"/>
    <cellStyle name="Comma 3 2 3 3 5 2 2 3" xfId="5748" xr:uid="{00000000-0005-0000-0000-00009B160000}"/>
    <cellStyle name="Comma 3 2 3 3 5 2 2 4" xfId="6287" xr:uid="{00000000-0005-0000-0000-00009C160000}"/>
    <cellStyle name="Comma 3 2 3 3 5 2 3" xfId="4159" xr:uid="{00000000-0005-0000-0000-00009D160000}"/>
    <cellStyle name="Comma 3 2 3 3 5 2 3 2" xfId="5565" xr:uid="{00000000-0005-0000-0000-00009E160000}"/>
    <cellStyle name="Comma 3 2 3 3 5 2 3 3" xfId="6699" xr:uid="{00000000-0005-0000-0000-00009F160000}"/>
    <cellStyle name="Comma 3 2 3 3 5 2 4" xfId="3400" xr:uid="{00000000-0005-0000-0000-0000A0160000}"/>
    <cellStyle name="Comma 3 2 3 3 5 3" xfId="3267" xr:uid="{00000000-0005-0000-0000-0000A1160000}"/>
    <cellStyle name="Comma 3 2 3 3 5 4" xfId="4158" xr:uid="{00000000-0005-0000-0000-0000A2160000}"/>
    <cellStyle name="Comma 3 2 3 3 5 4 2" xfId="4814" xr:uid="{00000000-0005-0000-0000-0000A3160000}"/>
    <cellStyle name="Comma 3 2 3 3 5 4 3" xfId="6059" xr:uid="{00000000-0005-0000-0000-0000A4160000}"/>
    <cellStyle name="Comma 3 2 3 3 5 5" xfId="4493" xr:uid="{00000000-0005-0000-0000-0000A5160000}"/>
    <cellStyle name="Comma 3 2 3 3 5 6" xfId="3401" xr:uid="{00000000-0005-0000-0000-0000A6160000}"/>
    <cellStyle name="Comma 3 2 3 3 6" xfId="2616" xr:uid="{00000000-0005-0000-0000-0000A7160000}"/>
    <cellStyle name="Comma 3 2 3 3 7" xfId="2546" xr:uid="{00000000-0005-0000-0000-0000A8160000}"/>
    <cellStyle name="Comma 3 2 3 3 7 2" xfId="2828" xr:uid="{00000000-0005-0000-0000-0000A9160000}"/>
    <cellStyle name="Comma 3 2 3 3 7 2 2" xfId="4872" xr:uid="{00000000-0005-0000-0000-0000AA160000}"/>
    <cellStyle name="Comma 3 2 3 3 7 2 2 2" xfId="5013" xr:uid="{00000000-0005-0000-0000-0000AB160000}"/>
    <cellStyle name="Comma 3 2 3 3 7 2 2 3" xfId="6218" xr:uid="{00000000-0005-0000-0000-0000AC160000}"/>
    <cellStyle name="Comma 3 2 3 3 7 2 3" xfId="5496" xr:uid="{00000000-0005-0000-0000-0000AD160000}"/>
    <cellStyle name="Comma 3 2 3 3 7 2 4" xfId="6087" xr:uid="{00000000-0005-0000-0000-0000AE160000}"/>
    <cellStyle name="Comma 3 2 3 3 7 3" xfId="4161" xr:uid="{00000000-0005-0000-0000-0000AF160000}"/>
    <cellStyle name="Comma 3 2 3 3 7 3 2" xfId="5361" xr:uid="{00000000-0005-0000-0000-0000B0160000}"/>
    <cellStyle name="Comma 3 2 3 3 7 3 3" xfId="6561" xr:uid="{00000000-0005-0000-0000-0000B1160000}"/>
    <cellStyle name="Comma 3 2 3 3 7 4" xfId="3399" xr:uid="{00000000-0005-0000-0000-0000B2160000}"/>
    <cellStyle name="Comma 3 2 3 3 8" xfId="4151" xr:uid="{00000000-0005-0000-0000-0000B3160000}"/>
    <cellStyle name="Comma 3 2 3 3 8 2" xfId="4574" xr:uid="{00000000-0005-0000-0000-0000B4160000}"/>
    <cellStyle name="Comma 3 2 3 3 8 3" xfId="5878" xr:uid="{00000000-0005-0000-0000-0000B5160000}"/>
    <cellStyle name="Comma 3 2 3 3 9" xfId="4443" xr:uid="{00000000-0005-0000-0000-0000B6160000}"/>
    <cellStyle name="Comma 3 2 3 4" xfId="1988" xr:uid="{00000000-0005-0000-0000-0000B7160000}"/>
    <cellStyle name="Comma 3 2 3 4 2" xfId="2119" xr:uid="{00000000-0005-0000-0000-0000B8160000}"/>
    <cellStyle name="Comma 3 2 3 4 2 2" xfId="2957" xr:uid="{00000000-0005-0000-0000-0000B9160000}"/>
    <cellStyle name="Comma 3 2 3 4 2 2 2" xfId="2998" xr:uid="{00000000-0005-0000-0000-0000BA160000}"/>
    <cellStyle name="Comma 3 2 3 4 2 2 2 2" xfId="5138" xr:uid="{00000000-0005-0000-0000-0000BB160000}"/>
    <cellStyle name="Comma 3 2 3 4 2 2 2 2 2" xfId="5178" xr:uid="{00000000-0005-0000-0000-0000BC160000}"/>
    <cellStyle name="Comma 3 2 3 4 2 2 2 2 3" xfId="6383" xr:uid="{00000000-0005-0000-0000-0000BD160000}"/>
    <cellStyle name="Comma 3 2 3 4 2 2 2 3" xfId="5661" xr:uid="{00000000-0005-0000-0000-0000BE160000}"/>
    <cellStyle name="Comma 3 2 3 4 2 2 2 4" xfId="6343" xr:uid="{00000000-0005-0000-0000-0000BF160000}"/>
    <cellStyle name="Comma 3 2 3 4 2 2 3" xfId="4164" xr:uid="{00000000-0005-0000-0000-0000C0160000}"/>
    <cellStyle name="Comma 3 2 3 4 2 2 3 2" xfId="5621" xr:uid="{00000000-0005-0000-0000-0000C1160000}"/>
    <cellStyle name="Comma 3 2 3 4 2 2 3 3" xfId="6754" xr:uid="{00000000-0005-0000-0000-0000C2160000}"/>
    <cellStyle name="Comma 3 2 3 4 2 2 4" xfId="3396" xr:uid="{00000000-0005-0000-0000-0000C3160000}"/>
    <cellStyle name="Comma 3 2 3 4 2 3" xfId="3180" xr:uid="{00000000-0005-0000-0000-0000C4160000}"/>
    <cellStyle name="Comma 3 2 3 4 2 4" xfId="4163" xr:uid="{00000000-0005-0000-0000-0000C5160000}"/>
    <cellStyle name="Comma 3 2 3 4 2 4 2" xfId="4726" xr:uid="{00000000-0005-0000-0000-0000C6160000}"/>
    <cellStyle name="Comma 3 2 3 4 2 4 3" xfId="5972" xr:uid="{00000000-0005-0000-0000-0000C7160000}"/>
    <cellStyle name="Comma 3 2 3 4 2 5" xfId="4403" xr:uid="{00000000-0005-0000-0000-0000C8160000}"/>
    <cellStyle name="Comma 3 2 3 4 2 6" xfId="3397" xr:uid="{00000000-0005-0000-0000-0000C9160000}"/>
    <cellStyle name="Comma 3 2 3 4 3" xfId="2310" xr:uid="{00000000-0005-0000-0000-0000CA160000}"/>
    <cellStyle name="Comma 3 2 3 4 4" xfId="2618" xr:uid="{00000000-0005-0000-0000-0000CB160000}"/>
    <cellStyle name="Comma 3 2 3 4 5" xfId="2544" xr:uid="{00000000-0005-0000-0000-0000CC160000}"/>
    <cellStyle name="Comma 3 2 3 4 5 2" xfId="3139" xr:uid="{00000000-0005-0000-0000-0000CD160000}"/>
    <cellStyle name="Comma 3 2 3 4 5 2 2" xfId="4870" xr:uid="{00000000-0005-0000-0000-0000CE160000}"/>
    <cellStyle name="Comma 3 2 3 4 5 2 2 2" xfId="5318" xr:uid="{00000000-0005-0000-0000-0000CF160000}"/>
    <cellStyle name="Comma 3 2 3 4 5 2 2 3" xfId="6523" xr:uid="{00000000-0005-0000-0000-0000D0160000}"/>
    <cellStyle name="Comma 3 2 3 4 5 2 3" xfId="5801" xr:uid="{00000000-0005-0000-0000-0000D1160000}"/>
    <cellStyle name="Comma 3 2 3 4 5 2 4" xfId="6085" xr:uid="{00000000-0005-0000-0000-0000D2160000}"/>
    <cellStyle name="Comma 3 2 3 4 5 3" xfId="4168" xr:uid="{00000000-0005-0000-0000-0000D3160000}"/>
    <cellStyle name="Comma 3 2 3 4 5 3 2" xfId="5359" xr:uid="{00000000-0005-0000-0000-0000D4160000}"/>
    <cellStyle name="Comma 3 2 3 4 5 3 3" xfId="6559" xr:uid="{00000000-0005-0000-0000-0000D5160000}"/>
    <cellStyle name="Comma 3 2 3 4 5 4" xfId="3395" xr:uid="{00000000-0005-0000-0000-0000D6160000}"/>
    <cellStyle name="Comma 3 2 3 4 6" xfId="4162" xr:uid="{00000000-0005-0000-0000-0000D7160000}"/>
    <cellStyle name="Comma 3 2 3 4 6 2" xfId="4659" xr:uid="{00000000-0005-0000-0000-0000D8160000}"/>
    <cellStyle name="Comma 3 2 3 4 6 3" xfId="5933" xr:uid="{00000000-0005-0000-0000-0000D9160000}"/>
    <cellStyle name="Comma 3 2 3 4 7" xfId="4704" xr:uid="{00000000-0005-0000-0000-0000DA160000}"/>
    <cellStyle name="Comma 3 2 3 4 8" xfId="3398" xr:uid="{00000000-0005-0000-0000-0000DB160000}"/>
    <cellStyle name="Comma 3 2 3 5" xfId="2235" xr:uid="{00000000-0005-0000-0000-0000DC160000}"/>
    <cellStyle name="Comma 3 2 3 6" xfId="1999" xr:uid="{00000000-0005-0000-0000-0000DD160000}"/>
    <cellStyle name="Comma 3 2 3 6 2" xfId="2872" xr:uid="{00000000-0005-0000-0000-0000DE160000}"/>
    <cellStyle name="Comma 3 2 3 6 2 2" xfId="2964" xr:uid="{00000000-0005-0000-0000-0000DF160000}"/>
    <cellStyle name="Comma 3 2 3 6 2 2 2" xfId="5053" xr:uid="{00000000-0005-0000-0000-0000E0160000}"/>
    <cellStyle name="Comma 3 2 3 6 2 2 2 2" xfId="5145" xr:uid="{00000000-0005-0000-0000-0000E1160000}"/>
    <cellStyle name="Comma 3 2 3 6 2 2 2 3" xfId="6350" xr:uid="{00000000-0005-0000-0000-0000E2160000}"/>
    <cellStyle name="Comma 3 2 3 6 2 2 3" xfId="5628" xr:uid="{00000000-0005-0000-0000-0000E3160000}"/>
    <cellStyle name="Comma 3 2 3 6 2 2 4" xfId="6258" xr:uid="{00000000-0005-0000-0000-0000E4160000}"/>
    <cellStyle name="Comma 3 2 3 6 2 3" xfId="4170" xr:uid="{00000000-0005-0000-0000-0000E5160000}"/>
    <cellStyle name="Comma 3 2 3 6 2 3 2" xfId="5536" xr:uid="{00000000-0005-0000-0000-0000E6160000}"/>
    <cellStyle name="Comma 3 2 3 6 2 3 3" xfId="6677" xr:uid="{00000000-0005-0000-0000-0000E7160000}"/>
    <cellStyle name="Comma 3 2 3 6 2 4" xfId="3393" xr:uid="{00000000-0005-0000-0000-0000E8160000}"/>
    <cellStyle name="Comma 3 2 3 6 3" xfId="3146" xr:uid="{00000000-0005-0000-0000-0000E9160000}"/>
    <cellStyle name="Comma 3 2 3 6 4" xfId="4169" xr:uid="{00000000-0005-0000-0000-0000EA160000}"/>
    <cellStyle name="Comma 3 2 3 6 4 2" xfId="4666" xr:uid="{00000000-0005-0000-0000-0000EB160000}"/>
    <cellStyle name="Comma 3 2 3 6 4 3" xfId="5940" xr:uid="{00000000-0005-0000-0000-0000EC160000}"/>
    <cellStyle name="Comma 3 2 3 6 5" xfId="4409" xr:uid="{00000000-0005-0000-0000-0000ED160000}"/>
    <cellStyle name="Comma 3 2 3 6 6" xfId="3394" xr:uid="{00000000-0005-0000-0000-0000EE160000}"/>
    <cellStyle name="Comma 3 2 3 7" xfId="2606" xr:uid="{00000000-0005-0000-0000-0000EF160000}"/>
    <cellStyle name="Comma 3 2 3 8" xfId="2555" xr:uid="{00000000-0005-0000-0000-0000F0160000}"/>
    <cellStyle name="Comma 3 2 3 8 2" xfId="2865" xr:uid="{00000000-0005-0000-0000-0000F1160000}"/>
    <cellStyle name="Comma 3 2 3 8 2 2" xfId="4879" xr:uid="{00000000-0005-0000-0000-0000F2160000}"/>
    <cellStyle name="Comma 3 2 3 8 2 2 2" xfId="5046" xr:uid="{00000000-0005-0000-0000-0000F3160000}"/>
    <cellStyle name="Comma 3 2 3 8 2 2 3" xfId="6251" xr:uid="{00000000-0005-0000-0000-0000F4160000}"/>
    <cellStyle name="Comma 3 2 3 8 2 3" xfId="5529" xr:uid="{00000000-0005-0000-0000-0000F5160000}"/>
    <cellStyle name="Comma 3 2 3 8 2 4" xfId="6094" xr:uid="{00000000-0005-0000-0000-0000F6160000}"/>
    <cellStyle name="Comma 3 2 3 8 3" xfId="4172" xr:uid="{00000000-0005-0000-0000-0000F7160000}"/>
    <cellStyle name="Comma 3 2 3 8 3 2" xfId="5368" xr:uid="{00000000-0005-0000-0000-0000F8160000}"/>
    <cellStyle name="Comma 3 2 3 8 3 3" xfId="6568" xr:uid="{00000000-0005-0000-0000-0000F9160000}"/>
    <cellStyle name="Comma 3 2 3 8 4" xfId="3392" xr:uid="{00000000-0005-0000-0000-0000FA160000}"/>
    <cellStyle name="Comma 3 2 3 9" xfId="4114" xr:uid="{00000000-0005-0000-0000-0000FB160000}"/>
    <cellStyle name="Comma 3 2 3 9 2" xfId="4523" xr:uid="{00000000-0005-0000-0000-0000FC160000}"/>
    <cellStyle name="Comma 3 2 3 9 3" xfId="5856" xr:uid="{00000000-0005-0000-0000-0000FD160000}"/>
    <cellStyle name="Comma 3 2 4" xfId="1837" xr:uid="{00000000-0005-0000-0000-0000FE160000}"/>
    <cellStyle name="Comma 3 2 5" xfId="1832" xr:uid="{00000000-0005-0000-0000-0000FF160000}"/>
    <cellStyle name="Comma 3 2 6" xfId="1724" xr:uid="{00000000-0005-0000-0000-000000170000}"/>
    <cellStyle name="Comma 3 2 6 10" xfId="3391" xr:uid="{00000000-0005-0000-0000-000001170000}"/>
    <cellStyle name="Comma 3 2 6 11" xfId="9066" xr:uid="{00000000-0005-0000-0000-000002170000}"/>
    <cellStyle name="Comma 3 2 6 2" xfId="1853" xr:uid="{00000000-0005-0000-0000-000003170000}"/>
    <cellStyle name="Comma 3 2 6 2 10" xfId="3390" xr:uid="{00000000-0005-0000-0000-000004170000}"/>
    <cellStyle name="Comma 3 2 6 2 2" xfId="2177" xr:uid="{00000000-0005-0000-0000-000005170000}"/>
    <cellStyle name="Comma 3 2 6 2 2 2" xfId="2203" xr:uid="{00000000-0005-0000-0000-000006170000}"/>
    <cellStyle name="Comma 3 2 6 2 2 2 2" xfId="3021" xr:uid="{00000000-0005-0000-0000-000007170000}"/>
    <cellStyle name="Comma 3 2 6 2 2 2 2 2" xfId="3041" xr:uid="{00000000-0005-0000-0000-000008170000}"/>
    <cellStyle name="Comma 3 2 6 2 2 2 2 2 2" xfId="5201" xr:uid="{00000000-0005-0000-0000-000009170000}"/>
    <cellStyle name="Comma 3 2 6 2 2 2 2 2 2 2" xfId="5221" xr:uid="{00000000-0005-0000-0000-00000A170000}"/>
    <cellStyle name="Comma 3 2 6 2 2 2 2 2 2 3" xfId="6426" xr:uid="{00000000-0005-0000-0000-00000B170000}"/>
    <cellStyle name="Comma 3 2 6 2 2 2 2 2 3" xfId="5704" xr:uid="{00000000-0005-0000-0000-00000C170000}"/>
    <cellStyle name="Comma 3 2 6 2 2 2 2 2 4" xfId="6406" xr:uid="{00000000-0005-0000-0000-00000D170000}"/>
    <cellStyle name="Comma 3 2 6 2 2 2 2 3" xfId="4178" xr:uid="{00000000-0005-0000-0000-00000E170000}"/>
    <cellStyle name="Comma 3 2 6 2 2 2 2 3 2" xfId="5684" xr:uid="{00000000-0005-0000-0000-00000F170000}"/>
    <cellStyle name="Comma 3 2 6 2 2 2 2 3 3" xfId="6767" xr:uid="{00000000-0005-0000-0000-000010170000}"/>
    <cellStyle name="Comma 3 2 6 2 2 2 2 4" xfId="3387" xr:uid="{00000000-0005-0000-0000-000011170000}"/>
    <cellStyle name="Comma 3 2 6 2 2 2 3" xfId="3223" xr:uid="{00000000-0005-0000-0000-000012170000}"/>
    <cellStyle name="Comma 3 2 6 2 2 2 4" xfId="4177" xr:uid="{00000000-0005-0000-0000-000013170000}"/>
    <cellStyle name="Comma 3 2 6 2 2 2 4 2" xfId="4770" xr:uid="{00000000-0005-0000-0000-000014170000}"/>
    <cellStyle name="Comma 3 2 6 2 2 2 4 3" xfId="6015" xr:uid="{00000000-0005-0000-0000-000015170000}"/>
    <cellStyle name="Comma 3 2 6 2 2 2 5" xfId="4608" xr:uid="{00000000-0005-0000-0000-000016170000}"/>
    <cellStyle name="Comma 3 2 6 2 2 2 6" xfId="3388" xr:uid="{00000000-0005-0000-0000-000017170000}"/>
    <cellStyle name="Comma 3 2 6 2 2 3" xfId="2352" xr:uid="{00000000-0005-0000-0000-000018170000}"/>
    <cellStyle name="Comma 3 2 6 2 2 4" xfId="2622" xr:uid="{00000000-0005-0000-0000-000019170000}"/>
    <cellStyle name="Comma 3 2 6 2 2 5" xfId="2541" xr:uid="{00000000-0005-0000-0000-00001A170000}"/>
    <cellStyle name="Comma 3 2 6 2 2 5 2" xfId="3203" xr:uid="{00000000-0005-0000-0000-00001B170000}"/>
    <cellStyle name="Comma 3 2 6 2 2 5 2 2" xfId="4867" xr:uid="{00000000-0005-0000-0000-00001C170000}"/>
    <cellStyle name="Comma 3 2 6 2 2 5 2 2 2" xfId="5331" xr:uid="{00000000-0005-0000-0000-00001D170000}"/>
    <cellStyle name="Comma 3 2 6 2 2 5 2 2 3" xfId="6536" xr:uid="{00000000-0005-0000-0000-00001E170000}"/>
    <cellStyle name="Comma 3 2 6 2 2 5 2 3" xfId="5814" xr:uid="{00000000-0005-0000-0000-00001F170000}"/>
    <cellStyle name="Comma 3 2 6 2 2 5 2 4" xfId="6082" xr:uid="{00000000-0005-0000-0000-000020170000}"/>
    <cellStyle name="Comma 3 2 6 2 2 5 3" xfId="4180" xr:uid="{00000000-0005-0000-0000-000021170000}"/>
    <cellStyle name="Comma 3 2 6 2 2 5 3 2" xfId="5356" xr:uid="{00000000-0005-0000-0000-000022170000}"/>
    <cellStyle name="Comma 3 2 6 2 2 5 3 3" xfId="6556" xr:uid="{00000000-0005-0000-0000-000023170000}"/>
    <cellStyle name="Comma 3 2 6 2 2 5 4" xfId="3386" xr:uid="{00000000-0005-0000-0000-000024170000}"/>
    <cellStyle name="Comma 3 2 6 2 2 6" xfId="4176" xr:uid="{00000000-0005-0000-0000-000025170000}"/>
    <cellStyle name="Comma 3 2 6 2 2 6 2" xfId="4750" xr:uid="{00000000-0005-0000-0000-000026170000}"/>
    <cellStyle name="Comma 3 2 6 2 2 6 3" xfId="5995" xr:uid="{00000000-0005-0000-0000-000027170000}"/>
    <cellStyle name="Comma 3 2 6 2 2 7" xfId="4393" xr:uid="{00000000-0005-0000-0000-000028170000}"/>
    <cellStyle name="Comma 3 2 6 2 2 8" xfId="3389" xr:uid="{00000000-0005-0000-0000-000029170000}"/>
    <cellStyle name="Comma 3 2 6 2 3" xfId="2255" xr:uid="{00000000-0005-0000-0000-00002A170000}"/>
    <cellStyle name="Comma 3 2 6 2 4" xfId="2290" xr:uid="{00000000-0005-0000-0000-00002B170000}"/>
    <cellStyle name="Comma 3 2 6 2 5" xfId="2333" xr:uid="{00000000-0005-0000-0000-00002C170000}"/>
    <cellStyle name="Comma 3 2 6 2 5 2" xfId="2905" xr:uid="{00000000-0005-0000-0000-00002D170000}"/>
    <cellStyle name="Comma 3 2 6 2 5 2 2" xfId="3090" xr:uid="{00000000-0005-0000-0000-00002E170000}"/>
    <cellStyle name="Comma 3 2 6 2 5 2 2 2" xfId="5086" xr:uid="{00000000-0005-0000-0000-00002F170000}"/>
    <cellStyle name="Comma 3 2 6 2 5 2 2 2 2" xfId="5270" xr:uid="{00000000-0005-0000-0000-000030170000}"/>
    <cellStyle name="Comma 3 2 6 2 5 2 2 2 3" xfId="6475" xr:uid="{00000000-0005-0000-0000-000031170000}"/>
    <cellStyle name="Comma 3 2 6 2 5 2 2 3" xfId="5753" xr:uid="{00000000-0005-0000-0000-000032170000}"/>
    <cellStyle name="Comma 3 2 6 2 5 2 2 4" xfId="6291" xr:uid="{00000000-0005-0000-0000-000033170000}"/>
    <cellStyle name="Comma 3 2 6 2 5 2 3" xfId="4182" xr:uid="{00000000-0005-0000-0000-000034170000}"/>
    <cellStyle name="Comma 3 2 6 2 5 2 3 2" xfId="5569" xr:uid="{00000000-0005-0000-0000-000035170000}"/>
    <cellStyle name="Comma 3 2 6 2 5 2 3 3" xfId="6703" xr:uid="{00000000-0005-0000-0000-000036170000}"/>
    <cellStyle name="Comma 3 2 6 2 5 2 4" xfId="3384" xr:uid="{00000000-0005-0000-0000-000037170000}"/>
    <cellStyle name="Comma 3 2 6 2 5 3" xfId="3272" xr:uid="{00000000-0005-0000-0000-000038170000}"/>
    <cellStyle name="Comma 3 2 6 2 5 4" xfId="4181" xr:uid="{00000000-0005-0000-0000-000039170000}"/>
    <cellStyle name="Comma 3 2 6 2 5 4 2" xfId="4819" xr:uid="{00000000-0005-0000-0000-00003A170000}"/>
    <cellStyle name="Comma 3 2 6 2 5 4 3" xfId="6064" xr:uid="{00000000-0005-0000-0000-00003B170000}"/>
    <cellStyle name="Comma 3 2 6 2 5 5" xfId="4382" xr:uid="{00000000-0005-0000-0000-00003C170000}"/>
    <cellStyle name="Comma 3 2 6 2 5 6" xfId="3385" xr:uid="{00000000-0005-0000-0000-00003D170000}"/>
    <cellStyle name="Comma 3 2 6 2 6" xfId="2621" xr:uid="{00000000-0005-0000-0000-00003E170000}"/>
    <cellStyle name="Comma 3 2 6 2 7" xfId="2542" xr:uid="{00000000-0005-0000-0000-00003F170000}"/>
    <cellStyle name="Comma 3 2 6 2 7 2" xfId="2824" xr:uid="{00000000-0005-0000-0000-000040170000}"/>
    <cellStyle name="Comma 3 2 6 2 7 2 2" xfId="4868" xr:uid="{00000000-0005-0000-0000-000041170000}"/>
    <cellStyle name="Comma 3 2 6 2 7 2 2 2" xfId="5009" xr:uid="{00000000-0005-0000-0000-000042170000}"/>
    <cellStyle name="Comma 3 2 6 2 7 2 2 3" xfId="6214" xr:uid="{00000000-0005-0000-0000-000043170000}"/>
    <cellStyle name="Comma 3 2 6 2 7 2 3" xfId="5492" xr:uid="{00000000-0005-0000-0000-000044170000}"/>
    <cellStyle name="Comma 3 2 6 2 7 2 4" xfId="6083" xr:uid="{00000000-0005-0000-0000-000045170000}"/>
    <cellStyle name="Comma 3 2 6 2 7 3" xfId="4185" xr:uid="{00000000-0005-0000-0000-000046170000}"/>
    <cellStyle name="Comma 3 2 6 2 7 3 2" xfId="5357" xr:uid="{00000000-0005-0000-0000-000047170000}"/>
    <cellStyle name="Comma 3 2 6 2 7 3 3" xfId="6557" xr:uid="{00000000-0005-0000-0000-000048170000}"/>
    <cellStyle name="Comma 3 2 6 2 7 4" xfId="3383" xr:uid="{00000000-0005-0000-0000-000049170000}"/>
    <cellStyle name="Comma 3 2 6 2 8" xfId="4175" xr:uid="{00000000-0005-0000-0000-00004A170000}"/>
    <cellStyle name="Comma 3 2 6 2 8 2" xfId="4578" xr:uid="{00000000-0005-0000-0000-00004B170000}"/>
    <cellStyle name="Comma 3 2 6 2 8 3" xfId="5882" xr:uid="{00000000-0005-0000-0000-00004C170000}"/>
    <cellStyle name="Comma 3 2 6 2 9" xfId="4439" xr:uid="{00000000-0005-0000-0000-00004D170000}"/>
    <cellStyle name="Comma 3 2 6 3" xfId="1991" xr:uid="{00000000-0005-0000-0000-00004E170000}"/>
    <cellStyle name="Comma 3 2 6 3 2" xfId="2229" xr:uid="{00000000-0005-0000-0000-00004F170000}"/>
    <cellStyle name="Comma 3 2 6 3 2 2" xfId="2960" xr:uid="{00000000-0005-0000-0000-000050170000}"/>
    <cellStyle name="Comma 3 2 6 3 2 2 2" xfId="3065" xr:uid="{00000000-0005-0000-0000-000051170000}"/>
    <cellStyle name="Comma 3 2 6 3 2 2 2 2" xfId="5141" xr:uid="{00000000-0005-0000-0000-000052170000}"/>
    <cellStyle name="Comma 3 2 6 3 2 2 2 2 2" xfId="5245" xr:uid="{00000000-0005-0000-0000-000053170000}"/>
    <cellStyle name="Comma 3 2 6 3 2 2 2 2 3" xfId="6450" xr:uid="{00000000-0005-0000-0000-000054170000}"/>
    <cellStyle name="Comma 3 2 6 3 2 2 2 3" xfId="5728" xr:uid="{00000000-0005-0000-0000-000055170000}"/>
    <cellStyle name="Comma 3 2 6 3 2 2 2 4" xfId="6346" xr:uid="{00000000-0005-0000-0000-000056170000}"/>
    <cellStyle name="Comma 3 2 6 3 2 2 3" xfId="4188" xr:uid="{00000000-0005-0000-0000-000057170000}"/>
    <cellStyle name="Comma 3 2 6 3 2 2 3 2" xfId="5624" xr:uid="{00000000-0005-0000-0000-000058170000}"/>
    <cellStyle name="Comma 3 2 6 3 2 2 3 3" xfId="6757" xr:uid="{00000000-0005-0000-0000-000059170000}"/>
    <cellStyle name="Comma 3 2 6 3 2 2 4" xfId="3380" xr:uid="{00000000-0005-0000-0000-00005A170000}"/>
    <cellStyle name="Comma 3 2 6 3 2 3" xfId="3247" xr:uid="{00000000-0005-0000-0000-00005B170000}"/>
    <cellStyle name="Comma 3 2 6 3 2 4" xfId="4187" xr:uid="{00000000-0005-0000-0000-00005C170000}"/>
    <cellStyle name="Comma 3 2 6 3 2 4 2" xfId="4794" xr:uid="{00000000-0005-0000-0000-00005D170000}"/>
    <cellStyle name="Comma 3 2 6 3 2 4 3" xfId="6039" xr:uid="{00000000-0005-0000-0000-00005E170000}"/>
    <cellStyle name="Comma 3 2 6 3 2 5" xfId="4555" xr:uid="{00000000-0005-0000-0000-00005F170000}"/>
    <cellStyle name="Comma 3 2 6 3 2 6" xfId="3381" xr:uid="{00000000-0005-0000-0000-000060170000}"/>
    <cellStyle name="Comma 3 2 6 3 3" xfId="2376" xr:uid="{00000000-0005-0000-0000-000061170000}"/>
    <cellStyle name="Comma 3 2 6 3 4" xfId="2624" xr:uid="{00000000-0005-0000-0000-000062170000}"/>
    <cellStyle name="Comma 3 2 6 3 5" xfId="2540" xr:uid="{00000000-0005-0000-0000-000063170000}"/>
    <cellStyle name="Comma 3 2 6 3 5 2" xfId="3142" xr:uid="{00000000-0005-0000-0000-000064170000}"/>
    <cellStyle name="Comma 3 2 6 3 5 2 2" xfId="4866" xr:uid="{00000000-0005-0000-0000-000065170000}"/>
    <cellStyle name="Comma 3 2 6 3 5 2 2 2" xfId="5321" xr:uid="{00000000-0005-0000-0000-000066170000}"/>
    <cellStyle name="Comma 3 2 6 3 5 2 2 3" xfId="6526" xr:uid="{00000000-0005-0000-0000-000067170000}"/>
    <cellStyle name="Comma 3 2 6 3 5 2 3" xfId="5804" xr:uid="{00000000-0005-0000-0000-000068170000}"/>
    <cellStyle name="Comma 3 2 6 3 5 2 4" xfId="6081" xr:uid="{00000000-0005-0000-0000-000069170000}"/>
    <cellStyle name="Comma 3 2 6 3 5 3" xfId="4192" xr:uid="{00000000-0005-0000-0000-00006A170000}"/>
    <cellStyle name="Comma 3 2 6 3 5 3 2" xfId="5355" xr:uid="{00000000-0005-0000-0000-00006B170000}"/>
    <cellStyle name="Comma 3 2 6 3 5 3 3" xfId="6555" xr:uid="{00000000-0005-0000-0000-00006C170000}"/>
    <cellStyle name="Comma 3 2 6 3 5 4" xfId="3379" xr:uid="{00000000-0005-0000-0000-00006D170000}"/>
    <cellStyle name="Comma 3 2 6 3 6" xfId="4186" xr:uid="{00000000-0005-0000-0000-00006E170000}"/>
    <cellStyle name="Comma 3 2 6 3 6 2" xfId="4662" xr:uid="{00000000-0005-0000-0000-00006F170000}"/>
    <cellStyle name="Comma 3 2 6 3 6 3" xfId="5936" xr:uid="{00000000-0005-0000-0000-000070170000}"/>
    <cellStyle name="Comma 3 2 6 3 7" xfId="4514" xr:uid="{00000000-0005-0000-0000-000071170000}"/>
    <cellStyle name="Comma 3 2 6 3 8" xfId="3382" xr:uid="{00000000-0005-0000-0000-000072170000}"/>
    <cellStyle name="Comma 3 2 6 4" xfId="2125" xr:uid="{00000000-0005-0000-0000-000073170000}"/>
    <cellStyle name="Comma 3 2 6 5" xfId="1996" xr:uid="{00000000-0005-0000-0000-000074170000}"/>
    <cellStyle name="Comma 3 2 6 5 2" xfId="2879" xr:uid="{00000000-0005-0000-0000-000075170000}"/>
    <cellStyle name="Comma 3 2 6 5 2 2" xfId="2961" xr:uid="{00000000-0005-0000-0000-000076170000}"/>
    <cellStyle name="Comma 3 2 6 5 2 2 2" xfId="5060" xr:uid="{00000000-0005-0000-0000-000077170000}"/>
    <cellStyle name="Comma 3 2 6 5 2 2 2 2" xfId="5142" xr:uid="{00000000-0005-0000-0000-000078170000}"/>
    <cellStyle name="Comma 3 2 6 5 2 2 2 3" xfId="6347" xr:uid="{00000000-0005-0000-0000-000079170000}"/>
    <cellStyle name="Comma 3 2 6 5 2 2 3" xfId="5625" xr:uid="{00000000-0005-0000-0000-00007A170000}"/>
    <cellStyle name="Comma 3 2 6 5 2 2 4" xfId="6265" xr:uid="{00000000-0005-0000-0000-00007B170000}"/>
    <cellStyle name="Comma 3 2 6 5 2 3" xfId="4194" xr:uid="{00000000-0005-0000-0000-00007C170000}"/>
    <cellStyle name="Comma 3 2 6 5 2 3 2" xfId="5543" xr:uid="{00000000-0005-0000-0000-00007D170000}"/>
    <cellStyle name="Comma 3 2 6 5 2 3 3" xfId="6684" xr:uid="{00000000-0005-0000-0000-00007E170000}"/>
    <cellStyle name="Comma 3 2 6 5 2 4" xfId="3377" xr:uid="{00000000-0005-0000-0000-00007F170000}"/>
    <cellStyle name="Comma 3 2 6 5 3" xfId="3143" xr:uid="{00000000-0005-0000-0000-000080170000}"/>
    <cellStyle name="Comma 3 2 6 5 4" xfId="4193" xr:uid="{00000000-0005-0000-0000-000081170000}"/>
    <cellStyle name="Comma 3 2 6 5 4 2" xfId="4663" xr:uid="{00000000-0005-0000-0000-000082170000}"/>
    <cellStyle name="Comma 3 2 6 5 4 3" xfId="5937" xr:uid="{00000000-0005-0000-0000-000083170000}"/>
    <cellStyle name="Comma 3 2 6 5 5" xfId="4620" xr:uid="{00000000-0005-0000-0000-000084170000}"/>
    <cellStyle name="Comma 3 2 6 5 6" xfId="3378" xr:uid="{00000000-0005-0000-0000-000085170000}"/>
    <cellStyle name="Comma 3 2 6 6" xfId="2620" xr:uid="{00000000-0005-0000-0000-000086170000}"/>
    <cellStyle name="Comma 3 2 6 7" xfId="2543" xr:uid="{00000000-0005-0000-0000-000087170000}"/>
    <cellStyle name="Comma 3 2 6 7 2" xfId="2864" xr:uid="{00000000-0005-0000-0000-000088170000}"/>
    <cellStyle name="Comma 3 2 6 7 2 2" xfId="4869" xr:uid="{00000000-0005-0000-0000-000089170000}"/>
    <cellStyle name="Comma 3 2 6 7 2 2 2" xfId="5045" xr:uid="{00000000-0005-0000-0000-00008A170000}"/>
    <cellStyle name="Comma 3 2 6 7 2 2 3" xfId="6250" xr:uid="{00000000-0005-0000-0000-00008B170000}"/>
    <cellStyle name="Comma 3 2 6 7 2 3" xfId="5528" xr:uid="{00000000-0005-0000-0000-00008C170000}"/>
    <cellStyle name="Comma 3 2 6 7 2 4" xfId="6084" xr:uid="{00000000-0005-0000-0000-00008D170000}"/>
    <cellStyle name="Comma 3 2 6 7 3" xfId="4196" xr:uid="{00000000-0005-0000-0000-00008E170000}"/>
    <cellStyle name="Comma 3 2 6 7 3 2" xfId="5358" xr:uid="{00000000-0005-0000-0000-00008F170000}"/>
    <cellStyle name="Comma 3 2 6 7 3 3" xfId="6558" xr:uid="{00000000-0005-0000-0000-000090170000}"/>
    <cellStyle name="Comma 3 2 6 7 4" xfId="3376" xr:uid="{00000000-0005-0000-0000-000091170000}"/>
    <cellStyle name="Comma 3 2 6 8" xfId="4174" xr:uid="{00000000-0005-0000-0000-000092170000}"/>
    <cellStyle name="Comma 3 2 6 8 2" xfId="4530" xr:uid="{00000000-0005-0000-0000-000093170000}"/>
    <cellStyle name="Comma 3 2 6 8 3" xfId="5863" xr:uid="{00000000-0005-0000-0000-000094170000}"/>
    <cellStyle name="Comma 3 2 6 9" xfId="4459" xr:uid="{00000000-0005-0000-0000-000095170000}"/>
    <cellStyle name="Comma 3 2 7" xfId="1977" xr:uid="{00000000-0005-0000-0000-000096170000}"/>
    <cellStyle name="Comma 3 2 7 2" xfId="2142" xr:uid="{00000000-0005-0000-0000-000097170000}"/>
    <cellStyle name="Comma 3 2 7 2 2" xfId="2946" xr:uid="{00000000-0005-0000-0000-000098170000}"/>
    <cellStyle name="Comma 3 2 7 2 2 2" xfId="3007" xr:uid="{00000000-0005-0000-0000-000099170000}"/>
    <cellStyle name="Comma 3 2 7 2 2 2 2" xfId="5127" xr:uid="{00000000-0005-0000-0000-00009A170000}"/>
    <cellStyle name="Comma 3 2 7 2 2 2 2 2" xfId="5187" xr:uid="{00000000-0005-0000-0000-00009B170000}"/>
    <cellStyle name="Comma 3 2 7 2 2 2 2 3" xfId="6392" xr:uid="{00000000-0005-0000-0000-00009C170000}"/>
    <cellStyle name="Comma 3 2 7 2 2 2 3" xfId="5670" xr:uid="{00000000-0005-0000-0000-00009D170000}"/>
    <cellStyle name="Comma 3 2 7 2 2 2 4" xfId="6332" xr:uid="{00000000-0005-0000-0000-00009E170000}"/>
    <cellStyle name="Comma 3 2 7 2 2 3" xfId="4199" xr:uid="{00000000-0005-0000-0000-00009F170000}"/>
    <cellStyle name="Comma 3 2 7 2 2 3 2" xfId="5610" xr:uid="{00000000-0005-0000-0000-0000A0170000}"/>
    <cellStyle name="Comma 3 2 7 2 2 3 3" xfId="6743" xr:uid="{00000000-0005-0000-0000-0000A1170000}"/>
    <cellStyle name="Comma 3 2 7 2 2 4" xfId="3373" xr:uid="{00000000-0005-0000-0000-0000A2170000}"/>
    <cellStyle name="Comma 3 2 7 2 3" xfId="3189" xr:uid="{00000000-0005-0000-0000-0000A3170000}"/>
    <cellStyle name="Comma 3 2 7 2 4" xfId="4198" xr:uid="{00000000-0005-0000-0000-0000A4170000}"/>
    <cellStyle name="Comma 3 2 7 2 4 2" xfId="4735" xr:uid="{00000000-0005-0000-0000-0000A5170000}"/>
    <cellStyle name="Comma 3 2 7 2 4 3" xfId="5981" xr:uid="{00000000-0005-0000-0000-0000A6170000}"/>
    <cellStyle name="Comma 3 2 7 2 5" xfId="4505" xr:uid="{00000000-0005-0000-0000-0000A7170000}"/>
    <cellStyle name="Comma 3 2 7 2 6" xfId="3374" xr:uid="{00000000-0005-0000-0000-0000A8170000}"/>
    <cellStyle name="Comma 3 2 7 3" xfId="2319" xr:uid="{00000000-0005-0000-0000-0000A9170000}"/>
    <cellStyle name="Comma 3 2 7 4" xfId="2626" xr:uid="{00000000-0005-0000-0000-0000AA170000}"/>
    <cellStyle name="Comma 3 2 7 5" xfId="2539" xr:uid="{00000000-0005-0000-0000-0000AB170000}"/>
    <cellStyle name="Comma 3 2 7 5 2" xfId="3128" xr:uid="{00000000-0005-0000-0000-0000AC170000}"/>
    <cellStyle name="Comma 3 2 7 5 2 2" xfId="4865" xr:uid="{00000000-0005-0000-0000-0000AD170000}"/>
    <cellStyle name="Comma 3 2 7 5 2 2 2" xfId="5307" xr:uid="{00000000-0005-0000-0000-0000AE170000}"/>
    <cellStyle name="Comma 3 2 7 5 2 2 3" xfId="6512" xr:uid="{00000000-0005-0000-0000-0000AF170000}"/>
    <cellStyle name="Comma 3 2 7 5 2 3" xfId="5790" xr:uid="{00000000-0005-0000-0000-0000B0170000}"/>
    <cellStyle name="Comma 3 2 7 5 2 4" xfId="6080" xr:uid="{00000000-0005-0000-0000-0000B1170000}"/>
    <cellStyle name="Comma 3 2 7 5 3" xfId="4201" xr:uid="{00000000-0005-0000-0000-0000B2170000}"/>
    <cellStyle name="Comma 3 2 7 5 3 2" xfId="5354" xr:uid="{00000000-0005-0000-0000-0000B3170000}"/>
    <cellStyle name="Comma 3 2 7 5 3 3" xfId="6554" xr:uid="{00000000-0005-0000-0000-0000B4170000}"/>
    <cellStyle name="Comma 3 2 7 5 4" xfId="3372" xr:uid="{00000000-0005-0000-0000-0000B5170000}"/>
    <cellStyle name="Comma 3 2 7 6" xfId="4197" xr:uid="{00000000-0005-0000-0000-0000B6170000}"/>
    <cellStyle name="Comma 3 2 7 6 2" xfId="4648" xr:uid="{00000000-0005-0000-0000-0000B7170000}"/>
    <cellStyle name="Comma 3 2 7 6 3" xfId="5922" xr:uid="{00000000-0005-0000-0000-0000B8170000}"/>
    <cellStyle name="Comma 3 2 7 7" xfId="4705" xr:uid="{00000000-0005-0000-0000-0000B9170000}"/>
    <cellStyle name="Comma 3 2 7 8" xfId="3375" xr:uid="{00000000-0005-0000-0000-0000BA170000}"/>
    <cellStyle name="Comma 3 2 8" xfId="2147" xr:uid="{00000000-0005-0000-0000-0000BB170000}"/>
    <cellStyle name="Comma 3 2 9" xfId="2139" xr:uid="{00000000-0005-0000-0000-0000BC170000}"/>
    <cellStyle name="Comma 3 20" xfId="2637" xr:uid="{00000000-0005-0000-0000-0000BD170000}"/>
    <cellStyle name="Comma 3 21" xfId="3934" xr:uid="{00000000-0005-0000-0000-0000BE170000}"/>
    <cellStyle name="Comma 3 22" xfId="4482" xr:uid="{00000000-0005-0000-0000-0000BF170000}"/>
    <cellStyle name="Comma 3 23" xfId="3645" xr:uid="{00000000-0005-0000-0000-0000C0170000}"/>
    <cellStyle name="Comma 3 24" xfId="8164" xr:uid="{00000000-0005-0000-0000-0000C1170000}"/>
    <cellStyle name="Comma 3 25" xfId="10194" xr:uid="{00000000-0005-0000-0000-0000C2170000}"/>
    <cellStyle name="Comma 3 3" xfId="663" xr:uid="{00000000-0005-0000-0000-0000C3170000}"/>
    <cellStyle name="Comma 3 3 10" xfId="664" xr:uid="{00000000-0005-0000-0000-0000C4170000}"/>
    <cellStyle name="Comma 3 3 11" xfId="665" xr:uid="{00000000-0005-0000-0000-0000C5170000}"/>
    <cellStyle name="Comma 3 3 2" xfId="666" xr:uid="{00000000-0005-0000-0000-0000C6170000}"/>
    <cellStyle name="Comma 3 3 3" xfId="667" xr:uid="{00000000-0005-0000-0000-0000C7170000}"/>
    <cellStyle name="Comma 3 3 3 2" xfId="668" xr:uid="{00000000-0005-0000-0000-0000C8170000}"/>
    <cellStyle name="Comma 3 3 3 2 2" xfId="669" xr:uid="{00000000-0005-0000-0000-0000C9170000}"/>
    <cellStyle name="Comma 3 3 3 2 3" xfId="670" xr:uid="{00000000-0005-0000-0000-0000CA170000}"/>
    <cellStyle name="Comma 3 3 3 2 4" xfId="671" xr:uid="{00000000-0005-0000-0000-0000CB170000}"/>
    <cellStyle name="Comma 3 3 3 2 5" xfId="672" xr:uid="{00000000-0005-0000-0000-0000CC170000}"/>
    <cellStyle name="Comma 3 3 3 2 6" xfId="673" xr:uid="{00000000-0005-0000-0000-0000CD170000}"/>
    <cellStyle name="Comma 3 3 3 2 7" xfId="674" xr:uid="{00000000-0005-0000-0000-0000CE170000}"/>
    <cellStyle name="Comma 3 3 3 3" xfId="675" xr:uid="{00000000-0005-0000-0000-0000CF170000}"/>
    <cellStyle name="Comma 3 3 3 4" xfId="676" xr:uid="{00000000-0005-0000-0000-0000D0170000}"/>
    <cellStyle name="Comma 3 3 3 5" xfId="677" xr:uid="{00000000-0005-0000-0000-0000D1170000}"/>
    <cellStyle name="Comma 3 3 3 6" xfId="678" xr:uid="{00000000-0005-0000-0000-0000D2170000}"/>
    <cellStyle name="Comma 3 3 3 7" xfId="679" xr:uid="{00000000-0005-0000-0000-0000D3170000}"/>
    <cellStyle name="Comma 3 3 3 8" xfId="680" xr:uid="{00000000-0005-0000-0000-0000D4170000}"/>
    <cellStyle name="Comma 3 3 3 9" xfId="681" xr:uid="{00000000-0005-0000-0000-0000D5170000}"/>
    <cellStyle name="Comma 3 3 4" xfId="682" xr:uid="{00000000-0005-0000-0000-0000D6170000}"/>
    <cellStyle name="Comma 3 3 4 2" xfId="683" xr:uid="{00000000-0005-0000-0000-0000D7170000}"/>
    <cellStyle name="Comma 3 3 4 3" xfId="684" xr:uid="{00000000-0005-0000-0000-0000D8170000}"/>
    <cellStyle name="Comma 3 3 4 4" xfId="685" xr:uid="{00000000-0005-0000-0000-0000D9170000}"/>
    <cellStyle name="Comma 3 3 4 5" xfId="686" xr:uid="{00000000-0005-0000-0000-0000DA170000}"/>
    <cellStyle name="Comma 3 3 4 6" xfId="687" xr:uid="{00000000-0005-0000-0000-0000DB170000}"/>
    <cellStyle name="Comma 3 3 4 7" xfId="688" xr:uid="{00000000-0005-0000-0000-0000DC170000}"/>
    <cellStyle name="Comma 3 3 5" xfId="689" xr:uid="{00000000-0005-0000-0000-0000DD170000}"/>
    <cellStyle name="Comma 3 3 6" xfId="690" xr:uid="{00000000-0005-0000-0000-0000DE170000}"/>
    <cellStyle name="Comma 3 3 7" xfId="691" xr:uid="{00000000-0005-0000-0000-0000DF170000}"/>
    <cellStyle name="Comma 3 3 8" xfId="692" xr:uid="{00000000-0005-0000-0000-0000E0170000}"/>
    <cellStyle name="Comma 3 3 9" xfId="693" xr:uid="{00000000-0005-0000-0000-0000E1170000}"/>
    <cellStyle name="Comma 3 4" xfId="694" xr:uid="{00000000-0005-0000-0000-0000E2170000}"/>
    <cellStyle name="Comma 3 4 2" xfId="695" xr:uid="{00000000-0005-0000-0000-0000E3170000}"/>
    <cellStyle name="Comma 3 5" xfId="696" xr:uid="{00000000-0005-0000-0000-0000E4170000}"/>
    <cellStyle name="Comma 3 6" xfId="697" xr:uid="{00000000-0005-0000-0000-0000E5170000}"/>
    <cellStyle name="Comma 3 7" xfId="698" xr:uid="{00000000-0005-0000-0000-0000E6170000}"/>
    <cellStyle name="Comma 3 8" xfId="699" xr:uid="{00000000-0005-0000-0000-0000E7170000}"/>
    <cellStyle name="Comma 3 9" xfId="700" xr:uid="{00000000-0005-0000-0000-0000E8170000}"/>
    <cellStyle name="Comma 3_01 TT38" xfId="701" xr:uid="{00000000-0005-0000-0000-0000E9170000}"/>
    <cellStyle name="Comma 30" xfId="702" xr:uid="{00000000-0005-0000-0000-0000EA170000}"/>
    <cellStyle name="Comma 30 2" xfId="703" xr:uid="{00000000-0005-0000-0000-0000EB170000}"/>
    <cellStyle name="Comma 31" xfId="704" xr:uid="{00000000-0005-0000-0000-0000EC170000}"/>
    <cellStyle name="Comma 31 2" xfId="705" xr:uid="{00000000-0005-0000-0000-0000ED170000}"/>
    <cellStyle name="Comma 32" xfId="1815" xr:uid="{00000000-0005-0000-0000-0000EE170000}"/>
    <cellStyle name="Comma 32 2" xfId="2188" xr:uid="{00000000-0005-0000-0000-0000EF170000}"/>
    <cellStyle name="Comma 32 2 2" xfId="2639" xr:uid="{00000000-0005-0000-0000-0000F0170000}"/>
    <cellStyle name="Comma 32 2 2 2" xfId="3026" xr:uid="{00000000-0005-0000-0000-0000F1170000}"/>
    <cellStyle name="Comma 32 2 2 2 2" xfId="3104" xr:uid="{00000000-0005-0000-0000-0000F2170000}"/>
    <cellStyle name="Comma 32 2 2 2 2 2" xfId="5206" xr:uid="{00000000-0005-0000-0000-0000F3170000}"/>
    <cellStyle name="Comma 32 2 2 2 2 2 2" xfId="5284" xr:uid="{00000000-0005-0000-0000-0000F4170000}"/>
    <cellStyle name="Comma 32 2 2 2 2 2 3" xfId="6489" xr:uid="{00000000-0005-0000-0000-0000F5170000}"/>
    <cellStyle name="Comma 32 2 2 2 2 3" xfId="5767" xr:uid="{00000000-0005-0000-0000-0000F6170000}"/>
    <cellStyle name="Comma 32 2 2 2 2 4" xfId="6411" xr:uid="{00000000-0005-0000-0000-0000F7170000}"/>
    <cellStyle name="Comma 32 2 2 2 3" xfId="4227" xr:uid="{00000000-0005-0000-0000-0000F8170000}"/>
    <cellStyle name="Comma 32 2 2 2 3 2" xfId="5689" xr:uid="{00000000-0005-0000-0000-0000F9170000}"/>
    <cellStyle name="Comma 32 2 2 2 3 3" xfId="6772" xr:uid="{00000000-0005-0000-0000-0000FA170000}"/>
    <cellStyle name="Comma 32 2 2 2 4" xfId="3370" xr:uid="{00000000-0005-0000-0000-0000FB170000}"/>
    <cellStyle name="Comma 32 2 2 3" xfId="3286" xr:uid="{00000000-0005-0000-0000-0000FC170000}"/>
    <cellStyle name="Comma 32 2 2 4" xfId="4914" xr:uid="{00000000-0005-0000-0000-0000FD170000}"/>
    <cellStyle name="Comma 32 2 2 5" xfId="5402" xr:uid="{00000000-0005-0000-0000-0000FE170000}"/>
    <cellStyle name="Comma 32 2 3" xfId="2535" xr:uid="{00000000-0005-0000-0000-0000FF170000}"/>
    <cellStyle name="Comma 32 2 3 2" xfId="3208" xr:uid="{00000000-0005-0000-0000-000000180000}"/>
    <cellStyle name="Comma 32 2 3 2 2" xfId="4862" xr:uid="{00000000-0005-0000-0000-000001180000}"/>
    <cellStyle name="Comma 32 2 3 2 2 2" xfId="5336" xr:uid="{00000000-0005-0000-0000-000002180000}"/>
    <cellStyle name="Comma 32 2 3 2 2 3" xfId="6541" xr:uid="{00000000-0005-0000-0000-000003180000}"/>
    <cellStyle name="Comma 32 2 3 2 3" xfId="5819" xr:uid="{00000000-0005-0000-0000-000004180000}"/>
    <cellStyle name="Comma 32 2 3 2 4" xfId="6079" xr:uid="{00000000-0005-0000-0000-000005180000}"/>
    <cellStyle name="Comma 32 2 3 3" xfId="5351" xr:uid="{00000000-0005-0000-0000-000006180000}"/>
    <cellStyle name="Comma 32 2 4" xfId="4226" xr:uid="{00000000-0005-0000-0000-000007180000}"/>
    <cellStyle name="Comma 32 2 4 2" xfId="4755" xr:uid="{00000000-0005-0000-0000-000008180000}"/>
    <cellStyle name="Comma 32 2 4 3" xfId="6000" xr:uid="{00000000-0005-0000-0000-000009180000}"/>
    <cellStyle name="Comma 32 2 5" xfId="4503" xr:uid="{00000000-0005-0000-0000-00000A180000}"/>
    <cellStyle name="Comma 32 2 6" xfId="3371" xr:uid="{00000000-0005-0000-0000-00000B180000}"/>
    <cellStyle name="Comma 32 3" xfId="2240" xr:uid="{00000000-0005-0000-0000-00000C180000}"/>
    <cellStyle name="Comma 32 3 2" xfId="2640" xr:uid="{00000000-0005-0000-0000-00000D180000}"/>
    <cellStyle name="Comma 32 3 2 2" xfId="3070" xr:uid="{00000000-0005-0000-0000-00000E180000}"/>
    <cellStyle name="Comma 32 3 2 2 2" xfId="3105" xr:uid="{00000000-0005-0000-0000-00000F180000}"/>
    <cellStyle name="Comma 32 3 2 2 2 2" xfId="5250" xr:uid="{00000000-0005-0000-0000-000010180000}"/>
    <cellStyle name="Comma 32 3 2 2 2 2 2" xfId="5285" xr:uid="{00000000-0005-0000-0000-000011180000}"/>
    <cellStyle name="Comma 32 3 2 2 2 2 3" xfId="6490" xr:uid="{00000000-0005-0000-0000-000012180000}"/>
    <cellStyle name="Comma 32 3 2 2 2 3" xfId="5768" xr:uid="{00000000-0005-0000-0000-000013180000}"/>
    <cellStyle name="Comma 32 3 2 2 2 4" xfId="6455" xr:uid="{00000000-0005-0000-0000-000014180000}"/>
    <cellStyle name="Comma 32 3 2 2 3" xfId="4232" xr:uid="{00000000-0005-0000-0000-000015180000}"/>
    <cellStyle name="Comma 32 3 2 2 3 2" xfId="5733" xr:uid="{00000000-0005-0000-0000-000016180000}"/>
    <cellStyle name="Comma 32 3 2 2 3 3" xfId="6780" xr:uid="{00000000-0005-0000-0000-000017180000}"/>
    <cellStyle name="Comma 32 3 2 2 4" xfId="3368" xr:uid="{00000000-0005-0000-0000-000018180000}"/>
    <cellStyle name="Comma 32 3 2 3" xfId="3287" xr:uid="{00000000-0005-0000-0000-000019180000}"/>
    <cellStyle name="Comma 32 3 2 4" xfId="4915" xr:uid="{00000000-0005-0000-0000-00001A180000}"/>
    <cellStyle name="Comma 32 3 2 5" xfId="5403" xr:uid="{00000000-0005-0000-0000-00001B180000}"/>
    <cellStyle name="Comma 32 3 3" xfId="2534" xr:uid="{00000000-0005-0000-0000-00001C180000}"/>
    <cellStyle name="Comma 32 3 3 2" xfId="3252" xr:uid="{00000000-0005-0000-0000-00001D180000}"/>
    <cellStyle name="Comma 32 3 3 2 2" xfId="4861" xr:uid="{00000000-0005-0000-0000-00001E180000}"/>
    <cellStyle name="Comma 32 3 3 2 2 2" xfId="5345" xr:uid="{00000000-0005-0000-0000-00001F180000}"/>
    <cellStyle name="Comma 32 3 3 2 2 3" xfId="6550" xr:uid="{00000000-0005-0000-0000-000020180000}"/>
    <cellStyle name="Comma 32 3 3 2 3" xfId="5828" xr:uid="{00000000-0005-0000-0000-000021180000}"/>
    <cellStyle name="Comma 32 3 3 2 4" xfId="6078" xr:uid="{00000000-0005-0000-0000-000022180000}"/>
    <cellStyle name="Comma 32 3 3 3" xfId="5350" xr:uid="{00000000-0005-0000-0000-000023180000}"/>
    <cellStyle name="Comma 32 3 4" xfId="4230" xr:uid="{00000000-0005-0000-0000-000024180000}"/>
    <cellStyle name="Comma 32 3 4 2" xfId="4799" xr:uid="{00000000-0005-0000-0000-000025180000}"/>
    <cellStyle name="Comma 32 3 4 3" xfId="6044" xr:uid="{00000000-0005-0000-0000-000026180000}"/>
    <cellStyle name="Comma 32 3 5" xfId="4556" xr:uid="{00000000-0005-0000-0000-000027180000}"/>
    <cellStyle name="Comma 32 3 6" xfId="3369" xr:uid="{00000000-0005-0000-0000-000028180000}"/>
    <cellStyle name="Comma 32 4" xfId="2275" xr:uid="{00000000-0005-0000-0000-000029180000}"/>
    <cellStyle name="Comma 32 4 2" xfId="2641" xr:uid="{00000000-0005-0000-0000-00002A180000}"/>
    <cellStyle name="Comma 32 4 2 2" xfId="3079" xr:uid="{00000000-0005-0000-0000-00002B180000}"/>
    <cellStyle name="Comma 32 4 2 2 2" xfId="3106" xr:uid="{00000000-0005-0000-0000-00002C180000}"/>
    <cellStyle name="Comma 32 4 2 2 2 2" xfId="5259" xr:uid="{00000000-0005-0000-0000-00002D180000}"/>
    <cellStyle name="Comma 32 4 2 2 2 2 2" xfId="5286" xr:uid="{00000000-0005-0000-0000-00002E180000}"/>
    <cellStyle name="Comma 32 4 2 2 2 2 3" xfId="6491" xr:uid="{00000000-0005-0000-0000-00002F180000}"/>
    <cellStyle name="Comma 32 4 2 2 2 3" xfId="5769" xr:uid="{00000000-0005-0000-0000-000030180000}"/>
    <cellStyle name="Comma 32 4 2 2 2 4" xfId="6464" xr:uid="{00000000-0005-0000-0000-000031180000}"/>
    <cellStyle name="Comma 32 4 2 2 3" xfId="4235" xr:uid="{00000000-0005-0000-0000-000032180000}"/>
    <cellStyle name="Comma 32 4 2 2 3 2" xfId="5742" xr:uid="{00000000-0005-0000-0000-000033180000}"/>
    <cellStyle name="Comma 32 4 2 2 3 3" xfId="6782" xr:uid="{00000000-0005-0000-0000-000034180000}"/>
    <cellStyle name="Comma 32 4 2 2 4" xfId="3366" xr:uid="{00000000-0005-0000-0000-000035180000}"/>
    <cellStyle name="Comma 32 4 2 3" xfId="3288" xr:uid="{00000000-0005-0000-0000-000036180000}"/>
    <cellStyle name="Comma 32 4 2 4" xfId="4916" xr:uid="{00000000-0005-0000-0000-000037180000}"/>
    <cellStyle name="Comma 32 4 2 5" xfId="5404" xr:uid="{00000000-0005-0000-0000-000038180000}"/>
    <cellStyle name="Comma 32 4 3" xfId="2533" xr:uid="{00000000-0005-0000-0000-000039180000}"/>
    <cellStyle name="Comma 32 4 3 2" xfId="3261" xr:uid="{00000000-0005-0000-0000-00003A180000}"/>
    <cellStyle name="Comma 32 4 3 2 2" xfId="4860" xr:uid="{00000000-0005-0000-0000-00003B180000}"/>
    <cellStyle name="Comma 32 4 3 2 2 2" xfId="5347" xr:uid="{00000000-0005-0000-0000-00003C180000}"/>
    <cellStyle name="Comma 32 4 3 2 2 3" xfId="6552" xr:uid="{00000000-0005-0000-0000-00003D180000}"/>
    <cellStyle name="Comma 32 4 3 2 3" xfId="5830" xr:uid="{00000000-0005-0000-0000-00003E180000}"/>
    <cellStyle name="Comma 32 4 3 2 4" xfId="6077" xr:uid="{00000000-0005-0000-0000-00003F180000}"/>
    <cellStyle name="Comma 32 4 3 3" xfId="5349" xr:uid="{00000000-0005-0000-0000-000040180000}"/>
    <cellStyle name="Comma 32 4 4" xfId="4234" xr:uid="{00000000-0005-0000-0000-000041180000}"/>
    <cellStyle name="Comma 32 4 4 2" xfId="4808" xr:uid="{00000000-0005-0000-0000-000042180000}"/>
    <cellStyle name="Comma 32 4 4 3" xfId="6053" xr:uid="{00000000-0005-0000-0000-000043180000}"/>
    <cellStyle name="Comma 32 4 5" xfId="4601" xr:uid="{00000000-0005-0000-0000-000044180000}"/>
    <cellStyle name="Comma 32 4 6" xfId="3367" xr:uid="{00000000-0005-0000-0000-000045180000}"/>
    <cellStyle name="Comma 32 5" xfId="2890" xr:uid="{00000000-0005-0000-0000-000046180000}"/>
    <cellStyle name="Comma 32 5 2" xfId="4238" xr:uid="{00000000-0005-0000-0000-000047180000}"/>
    <cellStyle name="Comma 32 5 2 2" xfId="5071" xr:uid="{00000000-0005-0000-0000-000048180000}"/>
    <cellStyle name="Comma 32 5 2 3" xfId="6276" xr:uid="{00000000-0005-0000-0000-000049180000}"/>
    <cellStyle name="Comma 32 5 3" xfId="5554" xr:uid="{00000000-0005-0000-0000-00004A180000}"/>
    <cellStyle name="Comma 32 5 4" xfId="3365" xr:uid="{00000000-0005-0000-0000-00004B180000}"/>
    <cellStyle name="Comma 32 6" xfId="2836" xr:uid="{00000000-0005-0000-0000-00004C180000}"/>
    <cellStyle name="Comma 32 6 2" xfId="4239" xr:uid="{00000000-0005-0000-0000-00004D180000}"/>
    <cellStyle name="Comma 32 6 2 2" xfId="5021" xr:uid="{00000000-0005-0000-0000-00004E180000}"/>
    <cellStyle name="Comma 32 6 2 3" xfId="6226" xr:uid="{00000000-0005-0000-0000-00004F180000}"/>
    <cellStyle name="Comma 32 6 3" xfId="5504" xr:uid="{00000000-0005-0000-0000-000050180000}"/>
    <cellStyle name="Comma 32 6 4" xfId="3364" xr:uid="{00000000-0005-0000-0000-000051180000}"/>
    <cellStyle name="Comma 32 7" xfId="4563" xr:uid="{00000000-0005-0000-0000-000052180000}"/>
    <cellStyle name="Comma 32 8" xfId="4454" xr:uid="{00000000-0005-0000-0000-000053180000}"/>
    <cellStyle name="Comma 33" xfId="706" xr:uid="{00000000-0005-0000-0000-000054180000}"/>
    <cellStyle name="Comma 34" xfId="707" xr:uid="{00000000-0005-0000-0000-000055180000}"/>
    <cellStyle name="Comma 35" xfId="708" xr:uid="{00000000-0005-0000-0000-000056180000}"/>
    <cellStyle name="Comma 36" xfId="709" xr:uid="{00000000-0005-0000-0000-000057180000}"/>
    <cellStyle name="Comma 37" xfId="710" xr:uid="{00000000-0005-0000-0000-000058180000}"/>
    <cellStyle name="Comma 38" xfId="2035" xr:uid="{00000000-0005-0000-0000-000059180000}"/>
    <cellStyle name="Comma 38 2" xfId="2997" xr:uid="{00000000-0005-0000-0000-00005A180000}"/>
    <cellStyle name="Comma 38 3" xfId="3179" xr:uid="{00000000-0005-0000-0000-00005B180000}"/>
    <cellStyle name="Comma 38 4" xfId="4699" xr:uid="{00000000-0005-0000-0000-00005C180000}"/>
    <cellStyle name="Comma 38 5" xfId="4404" xr:uid="{00000000-0005-0000-0000-00005D180000}"/>
    <cellStyle name="Comma 39" xfId="2712" xr:uid="{00000000-0005-0000-0000-00005E180000}"/>
    <cellStyle name="Comma 39 2" xfId="4984" xr:uid="{00000000-0005-0000-0000-00005F180000}"/>
    <cellStyle name="Comma 39 2 2" xfId="13407" xr:uid="{00000000-0005-0000-0000-000060180000}"/>
    <cellStyle name="Comma 39 3" xfId="5472" xr:uid="{00000000-0005-0000-0000-000061180000}"/>
    <cellStyle name="Comma 4" xfId="711" xr:uid="{00000000-0005-0000-0000-000062180000}"/>
    <cellStyle name="Comma 4 2" xfId="712" xr:uid="{00000000-0005-0000-0000-000063180000}"/>
    <cellStyle name="Comma 4 2 10" xfId="3363" xr:uid="{00000000-0005-0000-0000-000064180000}"/>
    <cellStyle name="Comma 4 2 11" xfId="8243" xr:uid="{00000000-0005-0000-0000-000065180000}"/>
    <cellStyle name="Comma 4 2 12" xfId="10273" xr:uid="{00000000-0005-0000-0000-000066180000}"/>
    <cellStyle name="Comma 4 2 2" xfId="713" xr:uid="{00000000-0005-0000-0000-000067180000}"/>
    <cellStyle name="Comma 4 2 2 2" xfId="714" xr:uid="{00000000-0005-0000-0000-000068180000}"/>
    <cellStyle name="Comma 4 2 2 2 2" xfId="715" xr:uid="{00000000-0005-0000-0000-000069180000}"/>
    <cellStyle name="Comma 4 2 2 2 3" xfId="716" xr:uid="{00000000-0005-0000-0000-00006A180000}"/>
    <cellStyle name="Comma 4 2 2 2 4" xfId="717" xr:uid="{00000000-0005-0000-0000-00006B180000}"/>
    <cellStyle name="Comma 4 2 2 2 5" xfId="718" xr:uid="{00000000-0005-0000-0000-00006C180000}"/>
    <cellStyle name="Comma 4 2 2 2 6" xfId="719" xr:uid="{00000000-0005-0000-0000-00006D180000}"/>
    <cellStyle name="Comma 4 2 2 2 7" xfId="720" xr:uid="{00000000-0005-0000-0000-00006E180000}"/>
    <cellStyle name="Comma 4 2 2 3" xfId="721" xr:uid="{00000000-0005-0000-0000-00006F180000}"/>
    <cellStyle name="Comma 4 2 2 4" xfId="722" xr:uid="{00000000-0005-0000-0000-000070180000}"/>
    <cellStyle name="Comma 4 2 2 5" xfId="723" xr:uid="{00000000-0005-0000-0000-000071180000}"/>
    <cellStyle name="Comma 4 2 2 6" xfId="724" xr:uid="{00000000-0005-0000-0000-000072180000}"/>
    <cellStyle name="Comma 4 2 2 7" xfId="725" xr:uid="{00000000-0005-0000-0000-000073180000}"/>
    <cellStyle name="Comma 4 2 2 8" xfId="726" xr:uid="{00000000-0005-0000-0000-000074180000}"/>
    <cellStyle name="Comma 4 2 2 9" xfId="727" xr:uid="{00000000-0005-0000-0000-000075180000}"/>
    <cellStyle name="Comma 4 2 3" xfId="1715" xr:uid="{00000000-0005-0000-0000-000076180000}"/>
    <cellStyle name="Comma 4 2 4" xfId="1720" xr:uid="{00000000-0005-0000-0000-000077180000}"/>
    <cellStyle name="Comma 4 2 5" xfId="1992" xr:uid="{00000000-0005-0000-0000-000078180000}"/>
    <cellStyle name="Comma 4 2 6" xfId="1995" xr:uid="{00000000-0005-0000-0000-000079180000}"/>
    <cellStyle name="Comma 4 2 7" xfId="2642" xr:uid="{00000000-0005-0000-0000-00007A180000}"/>
    <cellStyle name="Comma 4 2 8" xfId="2532" xr:uid="{00000000-0005-0000-0000-00007B180000}"/>
    <cellStyle name="Comma 4 2 9" xfId="4243" xr:uid="{00000000-0005-0000-0000-00007C180000}"/>
    <cellStyle name="Comma 4 20" xfId="728" xr:uid="{00000000-0005-0000-0000-00007D180000}"/>
    <cellStyle name="Comma 4 20 2" xfId="729" xr:uid="{00000000-0005-0000-0000-00007E180000}"/>
    <cellStyle name="Comma 4 20 2 2" xfId="730" xr:uid="{00000000-0005-0000-0000-00007F180000}"/>
    <cellStyle name="Comma 4 20 2 3" xfId="731" xr:uid="{00000000-0005-0000-0000-000080180000}"/>
    <cellStyle name="Comma 4 20 2 4" xfId="732" xr:uid="{00000000-0005-0000-0000-000081180000}"/>
    <cellStyle name="Comma 4 20 2 5" xfId="733" xr:uid="{00000000-0005-0000-0000-000082180000}"/>
    <cellStyle name="Comma 4 20 2 6" xfId="734" xr:uid="{00000000-0005-0000-0000-000083180000}"/>
    <cellStyle name="Comma 4 20 2 7" xfId="735" xr:uid="{00000000-0005-0000-0000-000084180000}"/>
    <cellStyle name="Comma 4 20 3" xfId="736" xr:uid="{00000000-0005-0000-0000-000085180000}"/>
    <cellStyle name="Comma 4 20 4" xfId="737" xr:uid="{00000000-0005-0000-0000-000086180000}"/>
    <cellStyle name="Comma 4 20 5" xfId="738" xr:uid="{00000000-0005-0000-0000-000087180000}"/>
    <cellStyle name="Comma 4 20 6" xfId="739" xr:uid="{00000000-0005-0000-0000-000088180000}"/>
    <cellStyle name="Comma 4 20 7" xfId="740" xr:uid="{00000000-0005-0000-0000-000089180000}"/>
    <cellStyle name="Comma 4 20 8" xfId="741" xr:uid="{00000000-0005-0000-0000-00008A180000}"/>
    <cellStyle name="Comma 4 20 9" xfId="742" xr:uid="{00000000-0005-0000-0000-00008B180000}"/>
    <cellStyle name="Comma 4 3" xfId="743" xr:uid="{00000000-0005-0000-0000-00008C180000}"/>
    <cellStyle name="Comma 4 3 10" xfId="8244" xr:uid="{00000000-0005-0000-0000-00008D180000}"/>
    <cellStyle name="Comma 4 3 11" xfId="10274" xr:uid="{00000000-0005-0000-0000-00008E180000}"/>
    <cellStyle name="Comma 4 3 2" xfId="1717" xr:uid="{00000000-0005-0000-0000-00008F180000}"/>
    <cellStyle name="Comma 4 3 3" xfId="1718" xr:uid="{00000000-0005-0000-0000-000090180000}"/>
    <cellStyle name="Comma 4 3 4" xfId="1993" xr:uid="{00000000-0005-0000-0000-000091180000}"/>
    <cellStyle name="Comma 4 3 5" xfId="1994" xr:uid="{00000000-0005-0000-0000-000092180000}"/>
    <cellStyle name="Comma 4 3 6" xfId="2646" xr:uid="{00000000-0005-0000-0000-000093180000}"/>
    <cellStyle name="Comma 4 3 7" xfId="2511" xr:uid="{00000000-0005-0000-0000-000094180000}"/>
    <cellStyle name="Comma 4 3 8" xfId="4263" xr:uid="{00000000-0005-0000-0000-000095180000}"/>
    <cellStyle name="Comma 4 3 9" xfId="3358" xr:uid="{00000000-0005-0000-0000-000096180000}"/>
    <cellStyle name="Comma 4 4" xfId="744" xr:uid="{00000000-0005-0000-0000-000097180000}"/>
    <cellStyle name="Comma 4 4 2" xfId="745" xr:uid="{00000000-0005-0000-0000-000098180000}"/>
    <cellStyle name="Comma 4 4 2 2" xfId="746" xr:uid="{00000000-0005-0000-0000-000099180000}"/>
    <cellStyle name="Comma 4 4 2 3" xfId="747" xr:uid="{00000000-0005-0000-0000-00009A180000}"/>
    <cellStyle name="Comma 4 4 2 4" xfId="748" xr:uid="{00000000-0005-0000-0000-00009B180000}"/>
    <cellStyle name="Comma 4 4 2 5" xfId="749" xr:uid="{00000000-0005-0000-0000-00009C180000}"/>
    <cellStyle name="Comma 4 4 2 6" xfId="750" xr:uid="{00000000-0005-0000-0000-00009D180000}"/>
    <cellStyle name="Comma 4 4 2 7" xfId="751" xr:uid="{00000000-0005-0000-0000-00009E180000}"/>
    <cellStyle name="Comma 4 4 3" xfId="752" xr:uid="{00000000-0005-0000-0000-00009F180000}"/>
    <cellStyle name="Comma 4 4 4" xfId="753" xr:uid="{00000000-0005-0000-0000-0000A0180000}"/>
    <cellStyle name="Comma 4 4 5" xfId="754" xr:uid="{00000000-0005-0000-0000-0000A1180000}"/>
    <cellStyle name="Comma 4 4 6" xfId="755" xr:uid="{00000000-0005-0000-0000-0000A2180000}"/>
    <cellStyle name="Comma 4 4 7" xfId="756" xr:uid="{00000000-0005-0000-0000-0000A3180000}"/>
    <cellStyle name="Comma 4 4 8" xfId="757" xr:uid="{00000000-0005-0000-0000-0000A4180000}"/>
    <cellStyle name="Comma 4 4 9" xfId="758" xr:uid="{00000000-0005-0000-0000-0000A5180000}"/>
    <cellStyle name="Comma 4 5" xfId="759" xr:uid="{00000000-0005-0000-0000-0000A6180000}"/>
    <cellStyle name="Comma 4 5 2" xfId="13409" xr:uid="{00000000-0005-0000-0000-0000A7180000}"/>
    <cellStyle name="Comma 40" xfId="4299" xr:uid="{00000000-0005-0000-0000-0000A8180000}"/>
    <cellStyle name="Comma 41" xfId="9073" xr:uid="{00000000-0005-0000-0000-0000A9180000}"/>
    <cellStyle name="Comma 42" xfId="10193" xr:uid="{00000000-0005-0000-0000-0000AA180000}"/>
    <cellStyle name="Comma 42 2" xfId="12166" xr:uid="{00000000-0005-0000-0000-0000AB180000}"/>
    <cellStyle name="Comma 42 3" xfId="13414" xr:uid="{00000000-0005-0000-0000-0000AC180000}"/>
    <cellStyle name="Comma 43" xfId="13392" xr:uid="{00000000-0005-0000-0000-0000AD180000}"/>
    <cellStyle name="Comma 45" xfId="760" xr:uid="{00000000-0005-0000-0000-0000AE180000}"/>
    <cellStyle name="Comma 46" xfId="4418" xr:uid="{00000000-0005-0000-0000-0000AF180000}"/>
    <cellStyle name="Comma 47" xfId="761" xr:uid="{00000000-0005-0000-0000-0000B0180000}"/>
    <cellStyle name="Comma 48" xfId="4489" xr:uid="{00000000-0005-0000-0000-0000B1180000}"/>
    <cellStyle name="Comma 49" xfId="762" xr:uid="{00000000-0005-0000-0000-0000B2180000}"/>
    <cellStyle name="Comma 5" xfId="763" xr:uid="{00000000-0005-0000-0000-0000B3180000}"/>
    <cellStyle name="Comma 5 10" xfId="764" xr:uid="{00000000-0005-0000-0000-0000B4180000}"/>
    <cellStyle name="Comma 5 10 2" xfId="765" xr:uid="{00000000-0005-0000-0000-0000B5180000}"/>
    <cellStyle name="Comma 5 10 3" xfId="766" xr:uid="{00000000-0005-0000-0000-0000B6180000}"/>
    <cellStyle name="Comma 5 10 4" xfId="767" xr:uid="{00000000-0005-0000-0000-0000B7180000}"/>
    <cellStyle name="Comma 5 10 5" xfId="768" xr:uid="{00000000-0005-0000-0000-0000B8180000}"/>
    <cellStyle name="Comma 5 10 6" xfId="769" xr:uid="{00000000-0005-0000-0000-0000B9180000}"/>
    <cellStyle name="Comma 5 10 7" xfId="770" xr:uid="{00000000-0005-0000-0000-0000BA180000}"/>
    <cellStyle name="Comma 5 11" xfId="771" xr:uid="{00000000-0005-0000-0000-0000BB180000}"/>
    <cellStyle name="Comma 5 11 2" xfId="772" xr:uid="{00000000-0005-0000-0000-0000BC180000}"/>
    <cellStyle name="Comma 5 11 3" xfId="773" xr:uid="{00000000-0005-0000-0000-0000BD180000}"/>
    <cellStyle name="Comma 5 11 4" xfId="774" xr:uid="{00000000-0005-0000-0000-0000BE180000}"/>
    <cellStyle name="Comma 5 11 5" xfId="775" xr:uid="{00000000-0005-0000-0000-0000BF180000}"/>
    <cellStyle name="Comma 5 11 6" xfId="776" xr:uid="{00000000-0005-0000-0000-0000C0180000}"/>
    <cellStyle name="Comma 5 11 7" xfId="777" xr:uid="{00000000-0005-0000-0000-0000C1180000}"/>
    <cellStyle name="Comma 5 12" xfId="778" xr:uid="{00000000-0005-0000-0000-0000C2180000}"/>
    <cellStyle name="Comma 5 12 2" xfId="779" xr:uid="{00000000-0005-0000-0000-0000C3180000}"/>
    <cellStyle name="Comma 5 12 3" xfId="780" xr:uid="{00000000-0005-0000-0000-0000C4180000}"/>
    <cellStyle name="Comma 5 12 4" xfId="781" xr:uid="{00000000-0005-0000-0000-0000C5180000}"/>
    <cellStyle name="Comma 5 12 5" xfId="782" xr:uid="{00000000-0005-0000-0000-0000C6180000}"/>
    <cellStyle name="Comma 5 12 6" xfId="783" xr:uid="{00000000-0005-0000-0000-0000C7180000}"/>
    <cellStyle name="Comma 5 12 7" xfId="784" xr:uid="{00000000-0005-0000-0000-0000C8180000}"/>
    <cellStyle name="Comma 5 13" xfId="785" xr:uid="{00000000-0005-0000-0000-0000C9180000}"/>
    <cellStyle name="Comma 5 14" xfId="786" xr:uid="{00000000-0005-0000-0000-0000CA180000}"/>
    <cellStyle name="Comma 5 15" xfId="787" xr:uid="{00000000-0005-0000-0000-0000CB180000}"/>
    <cellStyle name="Comma 5 16" xfId="788" xr:uid="{00000000-0005-0000-0000-0000CC180000}"/>
    <cellStyle name="Comma 5 17" xfId="13396" xr:uid="{00000000-0005-0000-0000-0000CD180000}"/>
    <cellStyle name="Comma 5 2" xfId="789" xr:uid="{00000000-0005-0000-0000-0000CE180000}"/>
    <cellStyle name="Comma 5 2 10" xfId="790" xr:uid="{00000000-0005-0000-0000-0000CF180000}"/>
    <cellStyle name="Comma 5 2 11" xfId="791" xr:uid="{00000000-0005-0000-0000-0000D0180000}"/>
    <cellStyle name="Comma 5 2 12" xfId="792" xr:uid="{00000000-0005-0000-0000-0000D1180000}"/>
    <cellStyle name="Comma 5 2 13" xfId="793" xr:uid="{00000000-0005-0000-0000-0000D2180000}"/>
    <cellStyle name="Comma 5 2 14" xfId="794" xr:uid="{00000000-0005-0000-0000-0000D3180000}"/>
    <cellStyle name="Comma 5 2 15" xfId="795" xr:uid="{00000000-0005-0000-0000-0000D4180000}"/>
    <cellStyle name="Comma 5 2 2" xfId="796" xr:uid="{00000000-0005-0000-0000-0000D5180000}"/>
    <cellStyle name="Comma 5 2 2 2" xfId="797" xr:uid="{00000000-0005-0000-0000-0000D6180000}"/>
    <cellStyle name="Comma 5 2 2 3" xfId="798" xr:uid="{00000000-0005-0000-0000-0000D7180000}"/>
    <cellStyle name="Comma 5 2 2 4" xfId="799" xr:uid="{00000000-0005-0000-0000-0000D8180000}"/>
    <cellStyle name="Comma 5 2 2 5" xfId="800" xr:uid="{00000000-0005-0000-0000-0000D9180000}"/>
    <cellStyle name="Comma 5 2 2 6" xfId="801" xr:uid="{00000000-0005-0000-0000-0000DA180000}"/>
    <cellStyle name="Comma 5 2 3" xfId="802" xr:uid="{00000000-0005-0000-0000-0000DB180000}"/>
    <cellStyle name="Comma 5 2 3 2" xfId="803" xr:uid="{00000000-0005-0000-0000-0000DC180000}"/>
    <cellStyle name="Comma 5 2 3 3" xfId="804" xr:uid="{00000000-0005-0000-0000-0000DD180000}"/>
    <cellStyle name="Comma 5 2 3 4" xfId="805" xr:uid="{00000000-0005-0000-0000-0000DE180000}"/>
    <cellStyle name="Comma 5 2 3 5" xfId="806" xr:uid="{00000000-0005-0000-0000-0000DF180000}"/>
    <cellStyle name="Comma 5 2 3 6" xfId="807" xr:uid="{00000000-0005-0000-0000-0000E0180000}"/>
    <cellStyle name="Comma 5 2 3 7" xfId="808" xr:uid="{00000000-0005-0000-0000-0000E1180000}"/>
    <cellStyle name="Comma 5 2 4" xfId="809" xr:uid="{00000000-0005-0000-0000-0000E2180000}"/>
    <cellStyle name="Comma 5 2 5" xfId="810" xr:uid="{00000000-0005-0000-0000-0000E3180000}"/>
    <cellStyle name="Comma 5 2 6" xfId="811" xr:uid="{00000000-0005-0000-0000-0000E4180000}"/>
    <cellStyle name="Comma 5 2 7" xfId="812" xr:uid="{00000000-0005-0000-0000-0000E5180000}"/>
    <cellStyle name="Comma 5 2 8" xfId="813" xr:uid="{00000000-0005-0000-0000-0000E6180000}"/>
    <cellStyle name="Comma 5 2 9" xfId="814" xr:uid="{00000000-0005-0000-0000-0000E7180000}"/>
    <cellStyle name="Comma 5 3" xfId="815" xr:uid="{00000000-0005-0000-0000-0000E8180000}"/>
    <cellStyle name="Comma 5 3 10" xfId="816" xr:uid="{00000000-0005-0000-0000-0000E9180000}"/>
    <cellStyle name="Comma 5 3 2" xfId="817" xr:uid="{00000000-0005-0000-0000-0000EA180000}"/>
    <cellStyle name="Comma 5 3 2 2" xfId="818" xr:uid="{00000000-0005-0000-0000-0000EB180000}"/>
    <cellStyle name="Comma 5 3 2 3" xfId="819" xr:uid="{00000000-0005-0000-0000-0000EC180000}"/>
    <cellStyle name="Comma 5 3 2 4" xfId="820" xr:uid="{00000000-0005-0000-0000-0000ED180000}"/>
    <cellStyle name="Comma 5 3 2 5" xfId="821" xr:uid="{00000000-0005-0000-0000-0000EE180000}"/>
    <cellStyle name="Comma 5 3 2 6" xfId="822" xr:uid="{00000000-0005-0000-0000-0000EF180000}"/>
    <cellStyle name="Comma 5 3 2 7" xfId="823" xr:uid="{00000000-0005-0000-0000-0000F0180000}"/>
    <cellStyle name="Comma 5 3 3" xfId="824" xr:uid="{00000000-0005-0000-0000-0000F1180000}"/>
    <cellStyle name="Comma 5 3 4" xfId="825" xr:uid="{00000000-0005-0000-0000-0000F2180000}"/>
    <cellStyle name="Comma 5 3 5" xfId="826" xr:uid="{00000000-0005-0000-0000-0000F3180000}"/>
    <cellStyle name="Comma 5 3 6" xfId="827" xr:uid="{00000000-0005-0000-0000-0000F4180000}"/>
    <cellStyle name="Comma 5 3 7" xfId="828" xr:uid="{00000000-0005-0000-0000-0000F5180000}"/>
    <cellStyle name="Comma 5 3 8" xfId="829" xr:uid="{00000000-0005-0000-0000-0000F6180000}"/>
    <cellStyle name="Comma 5 3 9" xfId="830" xr:uid="{00000000-0005-0000-0000-0000F7180000}"/>
    <cellStyle name="Comma 5 4" xfId="831" xr:uid="{00000000-0005-0000-0000-0000F8180000}"/>
    <cellStyle name="Comma 5 4 2" xfId="832" xr:uid="{00000000-0005-0000-0000-0000F9180000}"/>
    <cellStyle name="Comma 5 4 3" xfId="833" xr:uid="{00000000-0005-0000-0000-0000FA180000}"/>
    <cellStyle name="Comma 5 4 4" xfId="834" xr:uid="{00000000-0005-0000-0000-0000FB180000}"/>
    <cellStyle name="Comma 5 4 5" xfId="835" xr:uid="{00000000-0005-0000-0000-0000FC180000}"/>
    <cellStyle name="Comma 5 4 6" xfId="836" xr:uid="{00000000-0005-0000-0000-0000FD180000}"/>
    <cellStyle name="Comma 5 4 7" xfId="837" xr:uid="{00000000-0005-0000-0000-0000FE180000}"/>
    <cellStyle name="Comma 5 4 8" xfId="838" xr:uid="{00000000-0005-0000-0000-0000FF180000}"/>
    <cellStyle name="Comma 5 5" xfId="839" xr:uid="{00000000-0005-0000-0000-000000190000}"/>
    <cellStyle name="Comma 5 5 2" xfId="840" xr:uid="{00000000-0005-0000-0000-000001190000}"/>
    <cellStyle name="Comma 5 5 3" xfId="841" xr:uid="{00000000-0005-0000-0000-000002190000}"/>
    <cellStyle name="Comma 5 5 4" xfId="842" xr:uid="{00000000-0005-0000-0000-000003190000}"/>
    <cellStyle name="Comma 5 5 5" xfId="843" xr:uid="{00000000-0005-0000-0000-000004190000}"/>
    <cellStyle name="Comma 5 5 6" xfId="844" xr:uid="{00000000-0005-0000-0000-000005190000}"/>
    <cellStyle name="Comma 5 5 7" xfId="845" xr:uid="{00000000-0005-0000-0000-000006190000}"/>
    <cellStyle name="Comma 5 5 8" xfId="846" xr:uid="{00000000-0005-0000-0000-000007190000}"/>
    <cellStyle name="Comma 5 6" xfId="847" xr:uid="{00000000-0005-0000-0000-000008190000}"/>
    <cellStyle name="Comma 5 6 2" xfId="848" xr:uid="{00000000-0005-0000-0000-000009190000}"/>
    <cellStyle name="Comma 5 6 3" xfId="849" xr:uid="{00000000-0005-0000-0000-00000A190000}"/>
    <cellStyle name="Comma 5 6 4" xfId="850" xr:uid="{00000000-0005-0000-0000-00000B190000}"/>
    <cellStyle name="Comma 5 6 5" xfId="851" xr:uid="{00000000-0005-0000-0000-00000C190000}"/>
    <cellStyle name="Comma 5 6 6" xfId="852" xr:uid="{00000000-0005-0000-0000-00000D190000}"/>
    <cellStyle name="Comma 5 6 7" xfId="853" xr:uid="{00000000-0005-0000-0000-00000E190000}"/>
    <cellStyle name="Comma 5 7" xfId="854" xr:uid="{00000000-0005-0000-0000-00000F190000}"/>
    <cellStyle name="Comma 5 7 2" xfId="855" xr:uid="{00000000-0005-0000-0000-000010190000}"/>
    <cellStyle name="Comma 5 7 3" xfId="856" xr:uid="{00000000-0005-0000-0000-000011190000}"/>
    <cellStyle name="Comma 5 7 4" xfId="857" xr:uid="{00000000-0005-0000-0000-000012190000}"/>
    <cellStyle name="Comma 5 7 5" xfId="858" xr:uid="{00000000-0005-0000-0000-000013190000}"/>
    <cellStyle name="Comma 5 7 6" xfId="859" xr:uid="{00000000-0005-0000-0000-000014190000}"/>
    <cellStyle name="Comma 5 7 7" xfId="860" xr:uid="{00000000-0005-0000-0000-000015190000}"/>
    <cellStyle name="Comma 5 8" xfId="861" xr:uid="{00000000-0005-0000-0000-000016190000}"/>
    <cellStyle name="Comma 5 8 2" xfId="862" xr:uid="{00000000-0005-0000-0000-000017190000}"/>
    <cellStyle name="Comma 5 8 3" xfId="863" xr:uid="{00000000-0005-0000-0000-000018190000}"/>
    <cellStyle name="Comma 5 8 4" xfId="864" xr:uid="{00000000-0005-0000-0000-000019190000}"/>
    <cellStyle name="Comma 5 8 5" xfId="865" xr:uid="{00000000-0005-0000-0000-00001A190000}"/>
    <cellStyle name="Comma 5 8 6" xfId="866" xr:uid="{00000000-0005-0000-0000-00001B190000}"/>
    <cellStyle name="Comma 5 8 7" xfId="867" xr:uid="{00000000-0005-0000-0000-00001C190000}"/>
    <cellStyle name="Comma 5 9" xfId="868" xr:uid="{00000000-0005-0000-0000-00001D190000}"/>
    <cellStyle name="Comma 5 9 2" xfId="869" xr:uid="{00000000-0005-0000-0000-00001E190000}"/>
    <cellStyle name="Comma 5 9 3" xfId="870" xr:uid="{00000000-0005-0000-0000-00001F190000}"/>
    <cellStyle name="Comma 5 9 4" xfId="871" xr:uid="{00000000-0005-0000-0000-000020190000}"/>
    <cellStyle name="Comma 5 9 5" xfId="872" xr:uid="{00000000-0005-0000-0000-000021190000}"/>
    <cellStyle name="Comma 5 9 6" xfId="873" xr:uid="{00000000-0005-0000-0000-000022190000}"/>
    <cellStyle name="Comma 5 9 7" xfId="874" xr:uid="{00000000-0005-0000-0000-000023190000}"/>
    <cellStyle name="Comma 50" xfId="875" xr:uid="{00000000-0005-0000-0000-000024190000}"/>
    <cellStyle name="Comma 50 10" xfId="8245" xr:uid="{00000000-0005-0000-0000-000025190000}"/>
    <cellStyle name="Comma 50 11" xfId="10275" xr:uid="{00000000-0005-0000-0000-000026190000}"/>
    <cellStyle name="Comma 50 2" xfId="1719" xr:uid="{00000000-0005-0000-0000-000027190000}"/>
    <cellStyle name="Comma 50 3" xfId="1716" xr:uid="{00000000-0005-0000-0000-000028190000}"/>
    <cellStyle name="Comma 50 4" xfId="2013" xr:uid="{00000000-0005-0000-0000-000029190000}"/>
    <cellStyle name="Comma 50 5" xfId="1973" xr:uid="{00000000-0005-0000-0000-00002A190000}"/>
    <cellStyle name="Comma 50 6" xfId="2677" xr:uid="{00000000-0005-0000-0000-00002B190000}"/>
    <cellStyle name="Comma 50 7" xfId="2466" xr:uid="{00000000-0005-0000-0000-00002C190000}"/>
    <cellStyle name="Comma 50 8" xfId="4298" xr:uid="{00000000-0005-0000-0000-00002D190000}"/>
    <cellStyle name="Comma 50 9" xfId="3334" xr:uid="{00000000-0005-0000-0000-00002E190000}"/>
    <cellStyle name="Comma 52" xfId="6784" xr:uid="{00000000-0005-0000-0000-00002F190000}"/>
    <cellStyle name="Comma 53" xfId="876" xr:uid="{00000000-0005-0000-0000-000030190000}"/>
    <cellStyle name="Comma 53 2" xfId="877" xr:uid="{00000000-0005-0000-0000-000031190000}"/>
    <cellStyle name="Comma 53 2 2" xfId="878" xr:uid="{00000000-0005-0000-0000-000032190000}"/>
    <cellStyle name="Comma 53 2 3" xfId="879" xr:uid="{00000000-0005-0000-0000-000033190000}"/>
    <cellStyle name="Comma 53 2 4" xfId="880" xr:uid="{00000000-0005-0000-0000-000034190000}"/>
    <cellStyle name="Comma 53 2 5" xfId="881" xr:uid="{00000000-0005-0000-0000-000035190000}"/>
    <cellStyle name="Comma 53 2 6" xfId="882" xr:uid="{00000000-0005-0000-0000-000036190000}"/>
    <cellStyle name="Comma 53 2 7" xfId="883" xr:uid="{00000000-0005-0000-0000-000037190000}"/>
    <cellStyle name="Comma 53 3" xfId="884" xr:uid="{00000000-0005-0000-0000-000038190000}"/>
    <cellStyle name="Comma 53 4" xfId="885" xr:uid="{00000000-0005-0000-0000-000039190000}"/>
    <cellStyle name="Comma 53 5" xfId="886" xr:uid="{00000000-0005-0000-0000-00003A190000}"/>
    <cellStyle name="Comma 53 6" xfId="887" xr:uid="{00000000-0005-0000-0000-00003B190000}"/>
    <cellStyle name="Comma 53 7" xfId="888" xr:uid="{00000000-0005-0000-0000-00003C190000}"/>
    <cellStyle name="Comma 53 8" xfId="889" xr:uid="{00000000-0005-0000-0000-00003D190000}"/>
    <cellStyle name="Comma 53 9" xfId="890" xr:uid="{00000000-0005-0000-0000-00003E190000}"/>
    <cellStyle name="Comma 54" xfId="891" xr:uid="{00000000-0005-0000-0000-00003F190000}"/>
    <cellStyle name="Comma 6" xfId="892" xr:uid="{00000000-0005-0000-0000-000040190000}"/>
    <cellStyle name="Comma 6 2" xfId="893" xr:uid="{00000000-0005-0000-0000-000041190000}"/>
    <cellStyle name="Comma 6 2 2" xfId="894" xr:uid="{00000000-0005-0000-0000-000042190000}"/>
    <cellStyle name="Comma 6 3" xfId="895" xr:uid="{00000000-0005-0000-0000-000043190000}"/>
    <cellStyle name="Comma 6_01 TT38" xfId="896" xr:uid="{00000000-0005-0000-0000-000044190000}"/>
    <cellStyle name="Comma 7" xfId="897" xr:uid="{00000000-0005-0000-0000-000045190000}"/>
    <cellStyle name="Comma 7 2" xfId="898" xr:uid="{00000000-0005-0000-0000-000046190000}"/>
    <cellStyle name="Comma 7 2 2" xfId="899" xr:uid="{00000000-0005-0000-0000-000047190000}"/>
    <cellStyle name="Comma 7 3" xfId="900" xr:uid="{00000000-0005-0000-0000-000048190000}"/>
    <cellStyle name="Comma 7 4" xfId="901" xr:uid="{00000000-0005-0000-0000-000049190000}"/>
    <cellStyle name="Comma 78" xfId="902" xr:uid="{00000000-0005-0000-0000-00004A190000}"/>
    <cellStyle name="Comma 8" xfId="903" xr:uid="{00000000-0005-0000-0000-00004B190000}"/>
    <cellStyle name="Comma 8 2" xfId="904" xr:uid="{00000000-0005-0000-0000-00004C190000}"/>
    <cellStyle name="Comma 8 2 2" xfId="905" xr:uid="{00000000-0005-0000-0000-00004D190000}"/>
    <cellStyle name="Comma 8 2 2 2" xfId="906" xr:uid="{00000000-0005-0000-0000-00004E190000}"/>
    <cellStyle name="Comma 8 2 2 3" xfId="907" xr:uid="{00000000-0005-0000-0000-00004F190000}"/>
    <cellStyle name="Comma 8 2 2 4" xfId="908" xr:uid="{00000000-0005-0000-0000-000050190000}"/>
    <cellStyle name="Comma 8 2 2 5" xfId="909" xr:uid="{00000000-0005-0000-0000-000051190000}"/>
    <cellStyle name="Comma 8 2 2 6" xfId="910" xr:uid="{00000000-0005-0000-0000-000052190000}"/>
    <cellStyle name="Comma 8 2 2 7" xfId="911" xr:uid="{00000000-0005-0000-0000-000053190000}"/>
    <cellStyle name="Comma 8 2 3" xfId="912" xr:uid="{00000000-0005-0000-0000-000054190000}"/>
    <cellStyle name="Comma 8 2 4" xfId="913" xr:uid="{00000000-0005-0000-0000-000055190000}"/>
    <cellStyle name="Comma 8 2 5" xfId="914" xr:uid="{00000000-0005-0000-0000-000056190000}"/>
    <cellStyle name="Comma 8 2 6" xfId="915" xr:uid="{00000000-0005-0000-0000-000057190000}"/>
    <cellStyle name="Comma 8 2 7" xfId="916" xr:uid="{00000000-0005-0000-0000-000058190000}"/>
    <cellStyle name="Comma 8 2 8" xfId="917" xr:uid="{00000000-0005-0000-0000-000059190000}"/>
    <cellStyle name="Comma 8 2 9" xfId="918" xr:uid="{00000000-0005-0000-0000-00005A190000}"/>
    <cellStyle name="Comma 8 3" xfId="919" xr:uid="{00000000-0005-0000-0000-00005B190000}"/>
    <cellStyle name="Comma 8 3 2" xfId="920" xr:uid="{00000000-0005-0000-0000-00005C190000}"/>
    <cellStyle name="Comma 8 3 3" xfId="921" xr:uid="{00000000-0005-0000-0000-00005D190000}"/>
    <cellStyle name="Comma 8 3 4" xfId="922" xr:uid="{00000000-0005-0000-0000-00005E190000}"/>
    <cellStyle name="Comma 8 3 5" xfId="923" xr:uid="{00000000-0005-0000-0000-00005F190000}"/>
    <cellStyle name="Comma 8 3 6" xfId="924" xr:uid="{00000000-0005-0000-0000-000060190000}"/>
    <cellStyle name="Comma 8 3 7" xfId="925" xr:uid="{00000000-0005-0000-0000-000061190000}"/>
    <cellStyle name="Comma 8 4" xfId="926" xr:uid="{00000000-0005-0000-0000-000062190000}"/>
    <cellStyle name="Comma 9" xfId="927" xr:uid="{00000000-0005-0000-0000-000063190000}"/>
    <cellStyle name="Comma 9 2" xfId="928" xr:uid="{00000000-0005-0000-0000-000064190000}"/>
    <cellStyle name="Comma 9 2 2" xfId="929" xr:uid="{00000000-0005-0000-0000-000065190000}"/>
    <cellStyle name="Comma 9 3" xfId="930" xr:uid="{00000000-0005-0000-0000-000066190000}"/>
    <cellStyle name="comma zerodec" xfId="931" xr:uid="{00000000-0005-0000-0000-000067190000}"/>
    <cellStyle name="Comma0" xfId="932" xr:uid="{00000000-0005-0000-0000-000068190000}"/>
    <cellStyle name="Copied" xfId="933" xr:uid="{00000000-0005-0000-0000-000069190000}"/>
    <cellStyle name="Currency [00]" xfId="934" xr:uid="{00000000-0005-0000-0000-00006A190000}"/>
    <cellStyle name="Currency 2" xfId="935" xr:uid="{00000000-0005-0000-0000-00006B190000}"/>
    <cellStyle name="Currency 2 2" xfId="936" xr:uid="{00000000-0005-0000-0000-00006C190000}"/>
    <cellStyle name="Currency 2_01 TT38" xfId="937" xr:uid="{00000000-0005-0000-0000-00006D190000}"/>
    <cellStyle name="Currency_Sheet2" xfId="938" xr:uid="{00000000-0005-0000-0000-00006E190000}"/>
    <cellStyle name="Currency0" xfId="939" xr:uid="{00000000-0005-0000-0000-00006F190000}"/>
    <cellStyle name="Currency1" xfId="940" xr:uid="{00000000-0005-0000-0000-000070190000}"/>
    <cellStyle name="Date" xfId="941" xr:uid="{00000000-0005-0000-0000-00007B190000}"/>
    <cellStyle name="Date Short" xfId="942" xr:uid="{00000000-0005-0000-0000-00007C190000}"/>
    <cellStyle name="Dấu phẩy [0] 2" xfId="6802" xr:uid="{00000000-0005-0000-0000-000082190000}"/>
    <cellStyle name="Dấu phẩy [0] 3" xfId="7009" xr:uid="{00000000-0005-0000-0000-000083190000}"/>
    <cellStyle name="Dấu phẩy 10" xfId="7175" xr:uid="{00000000-0005-0000-0000-000084190000}"/>
    <cellStyle name="Dấu phẩy 10 2" xfId="7926" xr:uid="{00000000-0005-0000-0000-000085190000}"/>
    <cellStyle name="Dấu phẩy 10 3" xfId="7683" xr:uid="{00000000-0005-0000-0000-000086190000}"/>
    <cellStyle name="Dấu phẩy 10 3 2" xfId="9431" xr:uid="{00000000-0005-0000-0000-000087190000}"/>
    <cellStyle name="Dấu phẩy 10 3 2 2" xfId="9807" xr:uid="{00000000-0005-0000-0000-000088190000}"/>
    <cellStyle name="Dấu phẩy 10 3 2 2 2" xfId="13061" xr:uid="{00000000-0005-0000-0000-000089190000}"/>
    <cellStyle name="Dấu phẩy 10 3 2 2 2 2" xfId="13165" xr:uid="{00000000-0005-0000-0000-00008A190000}"/>
    <cellStyle name="Dấu phẩy 10 3 2 3" xfId="11780" xr:uid="{00000000-0005-0000-0000-00008B190000}"/>
    <cellStyle name="Dấu phẩy 10 3 3" xfId="11404" xr:uid="{00000000-0005-0000-0000-00008C190000}"/>
    <cellStyle name="Dấu phẩy 10 3 3 2" xfId="12394" xr:uid="{00000000-0005-0000-0000-00008D190000}"/>
    <cellStyle name="Dấu phẩy 10 4" xfId="8738" xr:uid="{00000000-0005-0000-0000-00008E190000}"/>
    <cellStyle name="Dấu phẩy 10 4 2" xfId="12182" xr:uid="{00000000-0005-0000-0000-00008F190000}"/>
    <cellStyle name="Dấu phẩy 10 4 2 2" xfId="12734" xr:uid="{00000000-0005-0000-0000-000090190000}"/>
    <cellStyle name="Dấu phẩy 10 5" xfId="10768" xr:uid="{00000000-0005-0000-0000-000091190000}"/>
    <cellStyle name="Dấu phẩy 11" xfId="6984" xr:uid="{00000000-0005-0000-0000-000092190000}"/>
    <cellStyle name="Dấu phẩy 11 2" xfId="7925" xr:uid="{00000000-0005-0000-0000-000093190000}"/>
    <cellStyle name="Dấu phẩy 11 3" xfId="7624" xr:uid="{00000000-0005-0000-0000-000094190000}"/>
    <cellStyle name="Dấu phẩy 11 3 2" xfId="9292" xr:uid="{00000000-0005-0000-0000-000095190000}"/>
    <cellStyle name="Dấu phẩy 11 3 2 2" xfId="9762" xr:uid="{00000000-0005-0000-0000-000096190000}"/>
    <cellStyle name="Dấu phẩy 11 3 2 2 2" xfId="12925" xr:uid="{00000000-0005-0000-0000-000097190000}"/>
    <cellStyle name="Dấu phẩy 11 3 2 2 2 2" xfId="13160" xr:uid="{00000000-0005-0000-0000-000098190000}"/>
    <cellStyle name="Dấu phẩy 11 3 2 3" xfId="11735" xr:uid="{00000000-0005-0000-0000-000099190000}"/>
    <cellStyle name="Dấu phẩy 11 3 3" xfId="11265" xr:uid="{00000000-0005-0000-0000-00009A190000}"/>
    <cellStyle name="Dấu phẩy 11 3 3 2" xfId="12365" xr:uid="{00000000-0005-0000-0000-00009B190000}"/>
    <cellStyle name="Dấu phẩy 11 4" xfId="8685" xr:uid="{00000000-0005-0000-0000-00009C190000}"/>
    <cellStyle name="Dấu phẩy 11 4 2" xfId="12176" xr:uid="{00000000-0005-0000-0000-00009D190000}"/>
    <cellStyle name="Dấu phẩy 11 4 2 2" xfId="12711" xr:uid="{00000000-0005-0000-0000-00009E190000}"/>
    <cellStyle name="Dấu phẩy 11 5" xfId="10715" xr:uid="{00000000-0005-0000-0000-00009F190000}"/>
    <cellStyle name="Dấu phẩy 12" xfId="6881" xr:uid="{00000000-0005-0000-0000-0000A0190000}"/>
    <cellStyle name="Dấu phẩy 12 2" xfId="7923" xr:uid="{00000000-0005-0000-0000-0000A1190000}"/>
    <cellStyle name="Dấu phẩy 12 3" xfId="7731" xr:uid="{00000000-0005-0000-0000-0000A2190000}"/>
    <cellStyle name="Dấu phẩy 12 3 2" xfId="9216" xr:uid="{00000000-0005-0000-0000-0000A3190000}"/>
    <cellStyle name="Dấu phẩy 12 3 2 2" xfId="9847" xr:uid="{00000000-0005-0000-0000-0000A4190000}"/>
    <cellStyle name="Dấu phẩy 12 3 2 2 2" xfId="12852" xr:uid="{00000000-0005-0000-0000-0000A5190000}"/>
    <cellStyle name="Dấu phẩy 12 3 2 2 2 2" xfId="13168" xr:uid="{00000000-0005-0000-0000-0000A6190000}"/>
    <cellStyle name="Dấu phẩy 12 3 2 3" xfId="11820" xr:uid="{00000000-0005-0000-0000-0000A7190000}"/>
    <cellStyle name="Dấu phẩy 12 3 3" xfId="11189" xr:uid="{00000000-0005-0000-0000-0000A8190000}"/>
    <cellStyle name="Dấu phẩy 12 3 3 2" xfId="12428" xr:uid="{00000000-0005-0000-0000-0000A9190000}"/>
    <cellStyle name="Dấu phẩy 12 4" xfId="8785" xr:uid="{00000000-0005-0000-0000-0000AA190000}"/>
    <cellStyle name="Dấu phẩy 12 4 2" xfId="12170" xr:uid="{00000000-0005-0000-0000-0000AB190000}"/>
    <cellStyle name="Dấu phẩy 12 4 2 2" xfId="12748" xr:uid="{00000000-0005-0000-0000-0000AC190000}"/>
    <cellStyle name="Dấu phẩy 12 5" xfId="10815" xr:uid="{00000000-0005-0000-0000-0000AD190000}"/>
    <cellStyle name="Dấu phẩy 13" xfId="7548" xr:uid="{00000000-0005-0000-0000-0000AE190000}"/>
    <cellStyle name="Dấu phẩy 14" xfId="7626" xr:uid="{00000000-0005-0000-0000-0000AF190000}"/>
    <cellStyle name="Dấu phẩy 15" xfId="7660" xr:uid="{00000000-0005-0000-0000-0000B0190000}"/>
    <cellStyle name="Dấu phẩy 16" xfId="7619" xr:uid="{00000000-0005-0000-0000-0000B1190000}"/>
    <cellStyle name="Dấu phẩy 17" xfId="7726" xr:uid="{00000000-0005-0000-0000-0000B2190000}"/>
    <cellStyle name="Dấu phẩy 18" xfId="7454" xr:uid="{00000000-0005-0000-0000-0000B3190000}"/>
    <cellStyle name="Dấu phẩy 19" xfId="7327" xr:uid="{00000000-0005-0000-0000-0000B4190000}"/>
    <cellStyle name="Dấu phảy 2" xfId="943" xr:uid="{00000000-0005-0000-0000-00007D190000}"/>
    <cellStyle name="Dấu phẩy 2" xfId="6801" xr:uid="{00000000-0005-0000-0000-0000B5190000}"/>
    <cellStyle name="Dấu phẩy 20" xfId="7642" xr:uid="{00000000-0005-0000-0000-0000B6190000}"/>
    <cellStyle name="Dấu phẩy 21" xfId="7293" xr:uid="{00000000-0005-0000-0000-0000B7190000}"/>
    <cellStyle name="Dấu phẩy 22" xfId="7376" xr:uid="{00000000-0005-0000-0000-0000B8190000}"/>
    <cellStyle name="Dấu phẩy 23" xfId="7513" xr:uid="{00000000-0005-0000-0000-0000B9190000}"/>
    <cellStyle name="Dấu phẩy 24" xfId="7562" xr:uid="{00000000-0005-0000-0000-0000BA190000}"/>
    <cellStyle name="Dấu phẩy 25" xfId="7455" xr:uid="{00000000-0005-0000-0000-0000BB190000}"/>
    <cellStyle name="Dấu phẩy 26" xfId="7597" xr:uid="{00000000-0005-0000-0000-0000BC190000}"/>
    <cellStyle name="Dấu phẩy 27" xfId="7355" xr:uid="{00000000-0005-0000-0000-0000BD190000}"/>
    <cellStyle name="Dấu phẩy 28" xfId="7579" xr:uid="{00000000-0005-0000-0000-0000BE190000}"/>
    <cellStyle name="Dấu phẩy 29" xfId="7445" xr:uid="{00000000-0005-0000-0000-0000BF190000}"/>
    <cellStyle name="Dấu phảy 3" xfId="944" xr:uid="{00000000-0005-0000-0000-00007E190000}"/>
    <cellStyle name="Dấu phẩy 3" xfId="6815" xr:uid="{00000000-0005-0000-0000-0000C0190000}"/>
    <cellStyle name="Dấu phẩy 30" xfId="7651" xr:uid="{00000000-0005-0000-0000-0000C1190000}"/>
    <cellStyle name="Dấu phẩy 31" xfId="7636" xr:uid="{00000000-0005-0000-0000-0000C2190000}"/>
    <cellStyle name="Dấu phẩy 32" xfId="7672" xr:uid="{00000000-0005-0000-0000-0000C3190000}"/>
    <cellStyle name="Dấu phẩy 33" xfId="7755" xr:uid="{00000000-0005-0000-0000-0000C4190000}"/>
    <cellStyle name="Dấu phẩy 34" xfId="7760" xr:uid="{00000000-0005-0000-0000-0000C5190000}"/>
    <cellStyle name="Dấu phẩy 35" xfId="7798" xr:uid="{00000000-0005-0000-0000-0000C6190000}"/>
    <cellStyle name="Dấu phẩy 36" xfId="7796" xr:uid="{00000000-0005-0000-0000-0000C7190000}"/>
    <cellStyle name="Dấu phẩy 37" xfId="7807" xr:uid="{00000000-0005-0000-0000-0000C8190000}"/>
    <cellStyle name="Dấu phẩy 38" xfId="7882" xr:uid="{00000000-0005-0000-0000-0000C9190000}"/>
    <cellStyle name="Dấu phẩy 39" xfId="7809" xr:uid="{00000000-0005-0000-0000-0000CA190000}"/>
    <cellStyle name="Dấu phẩy 4" xfId="6799" xr:uid="{00000000-0005-0000-0000-0000CB190000}"/>
    <cellStyle name="Dấu phẩy 40" xfId="7808" xr:uid="{00000000-0005-0000-0000-0000CC190000}"/>
    <cellStyle name="Dấu phẩy 41" xfId="7021" xr:uid="{00000000-0005-0000-0000-0000CD190000}"/>
    <cellStyle name="Dấu phẩy 42" xfId="6938" xr:uid="{00000000-0005-0000-0000-0000CE190000}"/>
    <cellStyle name="Dấu phẩy 43" xfId="6953" xr:uid="{00000000-0005-0000-0000-0000CF190000}"/>
    <cellStyle name="Dấu phảy 5" xfId="945" xr:uid="{00000000-0005-0000-0000-00007F190000}"/>
    <cellStyle name="Dấu phẩy 5" xfId="6812" xr:uid="{00000000-0005-0000-0000-0000D0190000}"/>
    <cellStyle name="Dấu phảy 6" xfId="946" xr:uid="{00000000-0005-0000-0000-000080190000}"/>
    <cellStyle name="Dấu phẩy 6" xfId="6813" xr:uid="{00000000-0005-0000-0000-0000D1190000}"/>
    <cellStyle name="Dấu phảy 7" xfId="947" xr:uid="{00000000-0005-0000-0000-000081190000}"/>
    <cellStyle name="Dấu phẩy 7" xfId="7288" xr:uid="{00000000-0005-0000-0000-0000D2190000}"/>
    <cellStyle name="Dấu phẩy 8" xfId="6816" xr:uid="{00000000-0005-0000-0000-0000D3190000}"/>
    <cellStyle name="Dấu phẩy 8 2" xfId="7922" xr:uid="{00000000-0005-0000-0000-0000D4190000}"/>
    <cellStyle name="Dấu phẩy 8 3" xfId="7309" xr:uid="{00000000-0005-0000-0000-0000D5190000}"/>
    <cellStyle name="Dấu phẩy 8 3 2" xfId="9165" xr:uid="{00000000-0005-0000-0000-0000D6190000}"/>
    <cellStyle name="Dấu phẩy 8 3 2 2" xfId="9526" xr:uid="{00000000-0005-0000-0000-0000D7190000}"/>
    <cellStyle name="Dấu phẩy 8 3 2 2 2" xfId="12805" xr:uid="{00000000-0005-0000-0000-0000D8190000}"/>
    <cellStyle name="Dấu phẩy 8 3 2 2 2 2" xfId="13138" xr:uid="{00000000-0005-0000-0000-0000D9190000}"/>
    <cellStyle name="Dấu phẩy 8 3 2 3" xfId="11499" xr:uid="{00000000-0005-0000-0000-0000DA190000}"/>
    <cellStyle name="Dấu phẩy 8 3 3" xfId="11138" xr:uid="{00000000-0005-0000-0000-0000DB190000}"/>
    <cellStyle name="Dấu phẩy 8 3 3 2" xfId="12194" xr:uid="{00000000-0005-0000-0000-0000DC190000}"/>
    <cellStyle name="Dấu phẩy 8 4" xfId="8382" xr:uid="{00000000-0005-0000-0000-0000DD190000}"/>
    <cellStyle name="Dấu phẩy 8 4 2" xfId="12167" xr:uid="{00000000-0005-0000-0000-0000DE190000}"/>
    <cellStyle name="Dấu phẩy 8 4 2 2" xfId="12589" xr:uid="{00000000-0005-0000-0000-0000DF190000}"/>
    <cellStyle name="Dấu phẩy 8 5" xfId="10412" xr:uid="{00000000-0005-0000-0000-0000E0190000}"/>
    <cellStyle name="Dấu phẩy 9" xfId="6909" xr:uid="{00000000-0005-0000-0000-0000E1190000}"/>
    <cellStyle name="Dấu phẩy 9 2" xfId="7924" xr:uid="{00000000-0005-0000-0000-0000E2190000}"/>
    <cellStyle name="Dấu phẩy 9 3" xfId="7397" xr:uid="{00000000-0005-0000-0000-0000E3190000}"/>
    <cellStyle name="Dấu phẩy 9 3 2" xfId="9234" xr:uid="{00000000-0005-0000-0000-0000E4190000}"/>
    <cellStyle name="Dấu phẩy 9 3 2 2" xfId="9591" xr:uid="{00000000-0005-0000-0000-0000E5190000}"/>
    <cellStyle name="Dấu phẩy 9 3 2 2 2" xfId="12870" xr:uid="{00000000-0005-0000-0000-0000E6190000}"/>
    <cellStyle name="Dấu phẩy 9 3 2 2 2 2" xfId="13146" xr:uid="{00000000-0005-0000-0000-0000E7190000}"/>
    <cellStyle name="Dấu phẩy 9 3 2 3" xfId="11564" xr:uid="{00000000-0005-0000-0000-0000E8190000}"/>
    <cellStyle name="Dấu phẩy 9 3 3" xfId="11207" xr:uid="{00000000-0005-0000-0000-0000E9190000}"/>
    <cellStyle name="Dấu phẩy 9 3 3 2" xfId="12236" xr:uid="{00000000-0005-0000-0000-0000EA190000}"/>
    <cellStyle name="Dấu phẩy 9 4" xfId="8467" xr:uid="{00000000-0005-0000-0000-0000EB190000}"/>
    <cellStyle name="Dấu phẩy 9 4 2" xfId="12171" xr:uid="{00000000-0005-0000-0000-0000EC190000}"/>
    <cellStyle name="Dấu phẩy 9 4 2 2" xfId="12630" xr:uid="{00000000-0005-0000-0000-0000ED190000}"/>
    <cellStyle name="Dấu phẩy 9 5" xfId="10497" xr:uid="{00000000-0005-0000-0000-0000EE190000}"/>
    <cellStyle name="Dấu_phảy 3" xfId="948" xr:uid="{00000000-0005-0000-0000-0000EF190000}"/>
    <cellStyle name="Dezimal [0]_NEGS" xfId="949" xr:uid="{00000000-0005-0000-0000-0000F0190000}"/>
    <cellStyle name="Dezimal_NEGS" xfId="950" xr:uid="{00000000-0005-0000-0000-0000F1190000}"/>
    <cellStyle name="Dollar (zero dec)" xfId="951" xr:uid="{00000000-0005-0000-0000-0000F2190000}"/>
    <cellStyle name="Dziesi?tny [0]_Invoices2001Slovakia" xfId="952" xr:uid="{00000000-0005-0000-0000-0000F3190000}"/>
    <cellStyle name="Dziesi?tny_Invoices2001Slovakia" xfId="953" xr:uid="{00000000-0005-0000-0000-0000F4190000}"/>
    <cellStyle name="Dziesietny [0]_Invoices2001Slovakia" xfId="954" xr:uid="{00000000-0005-0000-0000-0000F5190000}"/>
    <cellStyle name="Dziesiętny [0]_Invoices2001Slovakia" xfId="955" xr:uid="{00000000-0005-0000-0000-0000F6190000}"/>
    <cellStyle name="Dziesietny [0]_Invoices2001Slovakia_Book1" xfId="956" xr:uid="{00000000-0005-0000-0000-0000F7190000}"/>
    <cellStyle name="Dziesiętny [0]_Invoices2001Slovakia_Book1" xfId="957" xr:uid="{00000000-0005-0000-0000-0000F8190000}"/>
    <cellStyle name="Dziesietny [0]_Invoices2001Slovakia_Book1_Tong hop Cac tuyen(9-1-06)" xfId="958" xr:uid="{00000000-0005-0000-0000-0000F9190000}"/>
    <cellStyle name="Dziesiętny [0]_Invoices2001Slovakia_Book1_Tong hop Cac tuyen(9-1-06)" xfId="959" xr:uid="{00000000-0005-0000-0000-0000FA190000}"/>
    <cellStyle name="Dziesietny [0]_Invoices2001Slovakia_KL K.C mat duong" xfId="960" xr:uid="{00000000-0005-0000-0000-0000FB190000}"/>
    <cellStyle name="Dziesiętny [0]_Invoices2001Slovakia_Nhalamviec VTC(25-1-05)" xfId="961" xr:uid="{00000000-0005-0000-0000-0000FC190000}"/>
    <cellStyle name="Dziesietny [0]_Invoices2001Slovakia_TDT KHANH HOA" xfId="962" xr:uid="{00000000-0005-0000-0000-0000FD190000}"/>
    <cellStyle name="Dziesiętny [0]_Invoices2001Slovakia_TDT KHANH HOA" xfId="963" xr:uid="{00000000-0005-0000-0000-0000FE190000}"/>
    <cellStyle name="Dziesietny [0]_Invoices2001Slovakia_TDT KHANH HOA_Tong hop Cac tuyen(9-1-06)" xfId="964" xr:uid="{00000000-0005-0000-0000-0000FF190000}"/>
    <cellStyle name="Dziesiętny [0]_Invoices2001Slovakia_TDT KHANH HOA_Tong hop Cac tuyen(9-1-06)" xfId="965" xr:uid="{00000000-0005-0000-0000-0000001A0000}"/>
    <cellStyle name="Dziesietny [0]_Invoices2001Slovakia_TDT quangngai" xfId="966" xr:uid="{00000000-0005-0000-0000-0000011A0000}"/>
    <cellStyle name="Dziesiętny [0]_Invoices2001Slovakia_TDT quangngai" xfId="967" xr:uid="{00000000-0005-0000-0000-0000021A0000}"/>
    <cellStyle name="Dziesietny [0]_Invoices2001Slovakia_Tong hop Cac tuyen(9-1-06)" xfId="968" xr:uid="{00000000-0005-0000-0000-0000031A0000}"/>
    <cellStyle name="Dziesietny_Invoices2001Slovakia" xfId="969" xr:uid="{00000000-0005-0000-0000-0000041A0000}"/>
    <cellStyle name="Dziesiętny_Invoices2001Slovakia" xfId="970" xr:uid="{00000000-0005-0000-0000-0000051A0000}"/>
    <cellStyle name="Dziesietny_Invoices2001Slovakia_Book1" xfId="971" xr:uid="{00000000-0005-0000-0000-0000061A0000}"/>
    <cellStyle name="Dziesiętny_Invoices2001Slovakia_Book1" xfId="972" xr:uid="{00000000-0005-0000-0000-0000071A0000}"/>
    <cellStyle name="Dziesietny_Invoices2001Slovakia_Book1_Tong hop Cac tuyen(9-1-06)" xfId="973" xr:uid="{00000000-0005-0000-0000-0000081A0000}"/>
    <cellStyle name="Dziesiętny_Invoices2001Slovakia_Book1_Tong hop Cac tuyen(9-1-06)" xfId="974" xr:uid="{00000000-0005-0000-0000-0000091A0000}"/>
    <cellStyle name="Dziesietny_Invoices2001Slovakia_KL K.C mat duong" xfId="975" xr:uid="{00000000-0005-0000-0000-00000A1A0000}"/>
    <cellStyle name="Dziesiętny_Invoices2001Slovakia_Nhalamviec VTC(25-1-05)" xfId="976" xr:uid="{00000000-0005-0000-0000-00000B1A0000}"/>
    <cellStyle name="Dziesietny_Invoices2001Slovakia_TDT KHANH HOA" xfId="977" xr:uid="{00000000-0005-0000-0000-00000C1A0000}"/>
    <cellStyle name="Dziesiętny_Invoices2001Slovakia_TDT KHANH HOA" xfId="978" xr:uid="{00000000-0005-0000-0000-00000D1A0000}"/>
    <cellStyle name="Dziesietny_Invoices2001Slovakia_TDT KHANH HOA_Tong hop Cac tuyen(9-1-06)" xfId="979" xr:uid="{00000000-0005-0000-0000-00000E1A0000}"/>
    <cellStyle name="Dziesiętny_Invoices2001Slovakia_TDT KHANH HOA_Tong hop Cac tuyen(9-1-06)" xfId="980" xr:uid="{00000000-0005-0000-0000-00000F1A0000}"/>
    <cellStyle name="Dziesietny_Invoices2001Slovakia_TDT quangngai" xfId="981" xr:uid="{00000000-0005-0000-0000-0000101A0000}"/>
    <cellStyle name="Dziesiętny_Invoices2001Slovakia_TDT quangngai" xfId="982" xr:uid="{00000000-0005-0000-0000-0000111A0000}"/>
    <cellStyle name="Dziesietny_Invoices2001Slovakia_Tong hop Cac tuyen(9-1-06)" xfId="983" xr:uid="{00000000-0005-0000-0000-0000121A0000}"/>
    <cellStyle name="Enter Currency (0)" xfId="984" xr:uid="{00000000-0005-0000-0000-0000131A0000}"/>
    <cellStyle name="Enter Currency (2)" xfId="985" xr:uid="{00000000-0005-0000-0000-0000141A0000}"/>
    <cellStyle name="Enter Units (0)" xfId="986" xr:uid="{00000000-0005-0000-0000-0000151A0000}"/>
    <cellStyle name="Enter Units (1)" xfId="987" xr:uid="{00000000-0005-0000-0000-0000161A0000}"/>
    <cellStyle name="Enter Units (2)" xfId="988" xr:uid="{00000000-0005-0000-0000-0000171A0000}"/>
    <cellStyle name="Entered" xfId="989" xr:uid="{00000000-0005-0000-0000-0000181A0000}"/>
    <cellStyle name="Euro" xfId="990" xr:uid="{00000000-0005-0000-0000-0000191A0000}"/>
    <cellStyle name="Excel Built-in Normal" xfId="991" xr:uid="{00000000-0005-0000-0000-00001A1A0000}"/>
    <cellStyle name="Explanatory Text 2" xfId="992" xr:uid="{00000000-0005-0000-0000-00001B1A0000}"/>
    <cellStyle name="f_Danhmuc_Quyhoach2009 2" xfId="993" xr:uid="{00000000-0005-0000-0000-00001C1A0000}"/>
    <cellStyle name="f_Danhmuc_Quyhoach2009 2 2" xfId="994" xr:uid="{00000000-0005-0000-0000-00001D1A0000}"/>
    <cellStyle name="Fixed" xfId="995" xr:uid="{00000000-0005-0000-0000-00001E1A0000}"/>
    <cellStyle name="Good 2" xfId="996" xr:uid="{00000000-0005-0000-0000-00001F1A0000}"/>
    <cellStyle name="Grey" xfId="997" xr:uid="{00000000-0005-0000-0000-0000201A0000}"/>
    <cellStyle name="hai" xfId="998" xr:uid="{00000000-0005-0000-0000-0000211A0000}"/>
    <cellStyle name="Head 1" xfId="999" xr:uid="{00000000-0005-0000-0000-0000221A0000}"/>
    <cellStyle name="HEADER" xfId="1000" xr:uid="{00000000-0005-0000-0000-0000231A0000}"/>
    <cellStyle name="Header1" xfId="1001" xr:uid="{00000000-0005-0000-0000-0000241A0000}"/>
    <cellStyle name="Header2" xfId="1002" xr:uid="{00000000-0005-0000-0000-0000251A0000}"/>
    <cellStyle name="Header2 10" xfId="9050" xr:uid="{00000000-0005-0000-0000-0000261A0000}"/>
    <cellStyle name="Header2 10 2" xfId="12774" xr:uid="{00000000-0005-0000-0000-0000271A0000}"/>
    <cellStyle name="Header2 11" xfId="10276" xr:uid="{00000000-0005-0000-0000-0000281A0000}"/>
    <cellStyle name="Header2 2" xfId="7350" xr:uid="{00000000-0005-0000-0000-0000291A0000}"/>
    <cellStyle name="Header2 2 2" xfId="7929" xr:uid="{00000000-0005-0000-0000-00002A1A0000}"/>
    <cellStyle name="Header2 2 2 2" xfId="9553" xr:uid="{00000000-0005-0000-0000-00002B1A0000}"/>
    <cellStyle name="Header2 2 2 3" xfId="11526" xr:uid="{00000000-0005-0000-0000-00002C1A0000}"/>
    <cellStyle name="Header2 2 3" xfId="7094" xr:uid="{00000000-0005-0000-0000-00002D1A0000}"/>
    <cellStyle name="Header2 2 3 2" xfId="9377" xr:uid="{00000000-0005-0000-0000-00002E1A0000}"/>
    <cellStyle name="Header2 2 3 3" xfId="11350" xr:uid="{00000000-0005-0000-0000-00002F1A0000}"/>
    <cellStyle name="Header2 2 4" xfId="8422" xr:uid="{00000000-0005-0000-0000-0000301A0000}"/>
    <cellStyle name="Header2 2 4 2" xfId="12212" xr:uid="{00000000-0005-0000-0000-0000311A0000}"/>
    <cellStyle name="Header2 2 5" xfId="10452" xr:uid="{00000000-0005-0000-0000-0000321A0000}"/>
    <cellStyle name="Header2 3" xfId="7529" xr:uid="{00000000-0005-0000-0000-0000331A0000}"/>
    <cellStyle name="Header2 3 2" xfId="6852" xr:uid="{00000000-0005-0000-0000-0000341A0000}"/>
    <cellStyle name="Header2 3 2 2" xfId="9692" xr:uid="{00000000-0005-0000-0000-0000351A0000}"/>
    <cellStyle name="Header2 3 2 3" xfId="11665" xr:uid="{00000000-0005-0000-0000-0000361A0000}"/>
    <cellStyle name="Header2 3 3" xfId="8595" xr:uid="{00000000-0005-0000-0000-0000371A0000}"/>
    <cellStyle name="Header2 3 3 2" xfId="12310" xr:uid="{00000000-0005-0000-0000-0000381A0000}"/>
    <cellStyle name="Header2 3 4" xfId="10625" xr:uid="{00000000-0005-0000-0000-0000391A0000}"/>
    <cellStyle name="Header2 4" xfId="7448" xr:uid="{00000000-0005-0000-0000-00003A1A0000}"/>
    <cellStyle name="Header2 4 2" xfId="7187" xr:uid="{00000000-0005-0000-0000-00003B1A0000}"/>
    <cellStyle name="Header2 4 2 2" xfId="9627" xr:uid="{00000000-0005-0000-0000-00003C1A0000}"/>
    <cellStyle name="Header2 4 2 3" xfId="11600" xr:uid="{00000000-0005-0000-0000-00003D1A0000}"/>
    <cellStyle name="Header2 4 3" xfId="8517" xr:uid="{00000000-0005-0000-0000-00003E1A0000}"/>
    <cellStyle name="Header2 4 3 2" xfId="12261" xr:uid="{00000000-0005-0000-0000-00003F1A0000}"/>
    <cellStyle name="Header2 4 4" xfId="10547" xr:uid="{00000000-0005-0000-0000-0000401A0000}"/>
    <cellStyle name="Header2 5" xfId="7436" xr:uid="{00000000-0005-0000-0000-0000411A0000}"/>
    <cellStyle name="Header2 5 2" xfId="6895" xr:uid="{00000000-0005-0000-0000-0000421A0000}"/>
    <cellStyle name="Header2 5 2 2" xfId="9618" xr:uid="{00000000-0005-0000-0000-0000431A0000}"/>
    <cellStyle name="Header2 5 2 3" xfId="11591" xr:uid="{00000000-0005-0000-0000-0000441A0000}"/>
    <cellStyle name="Header2 5 3" xfId="8506" xr:uid="{00000000-0005-0000-0000-0000451A0000}"/>
    <cellStyle name="Header2 5 3 2" xfId="12650" xr:uid="{00000000-0005-0000-0000-0000461A0000}"/>
    <cellStyle name="Header2 5 4" xfId="10536" xr:uid="{00000000-0005-0000-0000-0000471A0000}"/>
    <cellStyle name="Header2 6" xfId="7438" xr:uid="{00000000-0005-0000-0000-0000481A0000}"/>
    <cellStyle name="Header2 6 2" xfId="6840" xr:uid="{00000000-0005-0000-0000-0000491A0000}"/>
    <cellStyle name="Header2 6 2 2" xfId="9620" xr:uid="{00000000-0005-0000-0000-00004A1A0000}"/>
    <cellStyle name="Header2 6 2 3" xfId="11593" xr:uid="{00000000-0005-0000-0000-00004B1A0000}"/>
    <cellStyle name="Header2 6 3" xfId="8508" xr:uid="{00000000-0005-0000-0000-00004C1A0000}"/>
    <cellStyle name="Header2 6 4" xfId="10538" xr:uid="{00000000-0005-0000-0000-00004D1A0000}"/>
    <cellStyle name="Header2 7" xfId="7806" xr:uid="{00000000-0005-0000-0000-00004E1A0000}"/>
    <cellStyle name="Header2 7 2" xfId="8069" xr:uid="{00000000-0005-0000-0000-00004F1A0000}"/>
    <cellStyle name="Header2 7 2 2" xfId="9912" xr:uid="{00000000-0005-0000-0000-0000501A0000}"/>
    <cellStyle name="Header2 7 2 3" xfId="11885" xr:uid="{00000000-0005-0000-0000-0000511A0000}"/>
    <cellStyle name="Header2 7 3" xfId="8856" xr:uid="{00000000-0005-0000-0000-0000521A0000}"/>
    <cellStyle name="Header2 7 4" xfId="10886" xr:uid="{00000000-0005-0000-0000-0000531A0000}"/>
    <cellStyle name="Header2 8" xfId="7921" xr:uid="{00000000-0005-0000-0000-0000541A0000}"/>
    <cellStyle name="Header2 8 2" xfId="8068" xr:uid="{00000000-0005-0000-0000-0000551A0000}"/>
    <cellStyle name="Header2 8 2 2" xfId="10099" xr:uid="{00000000-0005-0000-0000-0000561A0000}"/>
    <cellStyle name="Header2 8 2 3" xfId="12072" xr:uid="{00000000-0005-0000-0000-0000571A0000}"/>
    <cellStyle name="Header2 8 3" xfId="8162" xr:uid="{00000000-0005-0000-0000-0000581A0000}"/>
    <cellStyle name="Header2 8 3 2" xfId="10192" xr:uid="{00000000-0005-0000-0000-0000591A0000}"/>
    <cellStyle name="Header2 8 3 3" xfId="12165" xr:uid="{00000000-0005-0000-0000-00005A1A0000}"/>
    <cellStyle name="Header2 8 4" xfId="8967" xr:uid="{00000000-0005-0000-0000-00005B1A0000}"/>
    <cellStyle name="Header2 8 5" xfId="10997" xr:uid="{00000000-0005-0000-0000-00005C1A0000}"/>
    <cellStyle name="Header2 9" xfId="8246" xr:uid="{00000000-0005-0000-0000-00005D1A0000}"/>
    <cellStyle name="Header2 9 2" xfId="9067" xr:uid="{00000000-0005-0000-0000-00005E1A0000}"/>
    <cellStyle name="Header2 9 3" xfId="11045" xr:uid="{00000000-0005-0000-0000-00005F1A0000}"/>
    <cellStyle name="Heading 1 2" xfId="1003" xr:uid="{00000000-0005-0000-0000-0000601A0000}"/>
    <cellStyle name="Heading 2 2" xfId="1004" xr:uid="{00000000-0005-0000-0000-0000611A0000}"/>
    <cellStyle name="Heading 3 2" xfId="1005" xr:uid="{00000000-0005-0000-0000-0000621A0000}"/>
    <cellStyle name="Heading 4 2" xfId="1006" xr:uid="{00000000-0005-0000-0000-0000631A0000}"/>
    <cellStyle name="HEADING1" xfId="1007" xr:uid="{00000000-0005-0000-0000-0000641A0000}"/>
    <cellStyle name="HEADING2" xfId="1008" xr:uid="{00000000-0005-0000-0000-0000651A0000}"/>
    <cellStyle name="HEADINGS" xfId="1009" xr:uid="{00000000-0005-0000-0000-0000661A0000}"/>
    <cellStyle name="HEADINGSTOP" xfId="1010" xr:uid="{00000000-0005-0000-0000-0000671A0000}"/>
    <cellStyle name="headoption" xfId="1011" xr:uid="{00000000-0005-0000-0000-0000681A0000}"/>
    <cellStyle name="headoption 10" xfId="9046" xr:uid="{00000000-0005-0000-0000-0000691A0000}"/>
    <cellStyle name="headoption 10 2" xfId="12773" xr:uid="{00000000-0005-0000-0000-00006A1A0000}"/>
    <cellStyle name="headoption 11" xfId="10277" xr:uid="{00000000-0005-0000-0000-00006B1A0000}"/>
    <cellStyle name="headoption 2" xfId="7351" xr:uid="{00000000-0005-0000-0000-00006C1A0000}"/>
    <cellStyle name="headoption 2 2" xfId="7930" xr:uid="{00000000-0005-0000-0000-00006D1A0000}"/>
    <cellStyle name="headoption 2 2 2" xfId="9554" xr:uid="{00000000-0005-0000-0000-00006E1A0000}"/>
    <cellStyle name="headoption 2 2 3" xfId="11527" xr:uid="{00000000-0005-0000-0000-00006F1A0000}"/>
    <cellStyle name="headoption 2 3" xfId="7284" xr:uid="{00000000-0005-0000-0000-0000701A0000}"/>
    <cellStyle name="headoption 2 3 2" xfId="9507" xr:uid="{00000000-0005-0000-0000-0000711A0000}"/>
    <cellStyle name="headoption 2 3 3" xfId="11480" xr:uid="{00000000-0005-0000-0000-0000721A0000}"/>
    <cellStyle name="headoption 2 4" xfId="8423" xr:uid="{00000000-0005-0000-0000-0000731A0000}"/>
    <cellStyle name="headoption 2 4 2" xfId="12213" xr:uid="{00000000-0005-0000-0000-0000741A0000}"/>
    <cellStyle name="headoption 2 5" xfId="10453" xr:uid="{00000000-0005-0000-0000-0000751A0000}"/>
    <cellStyle name="headoption 3" xfId="7485" xr:uid="{00000000-0005-0000-0000-0000761A0000}"/>
    <cellStyle name="headoption 3 2" xfId="6960" xr:uid="{00000000-0005-0000-0000-0000771A0000}"/>
    <cellStyle name="headoption 3 2 2" xfId="9656" xr:uid="{00000000-0005-0000-0000-0000781A0000}"/>
    <cellStyle name="headoption 3 2 3" xfId="11629" xr:uid="{00000000-0005-0000-0000-0000791A0000}"/>
    <cellStyle name="headoption 3 3" xfId="8552" xr:uid="{00000000-0005-0000-0000-00007A1A0000}"/>
    <cellStyle name="headoption 3 3 2" xfId="12284" xr:uid="{00000000-0005-0000-0000-00007B1A0000}"/>
    <cellStyle name="headoption 3 4" xfId="10582" xr:uid="{00000000-0005-0000-0000-00007C1A0000}"/>
    <cellStyle name="headoption 4" xfId="7697" xr:uid="{00000000-0005-0000-0000-00007D1A0000}"/>
    <cellStyle name="headoption 4 2" xfId="7144" xr:uid="{00000000-0005-0000-0000-00007E1A0000}"/>
    <cellStyle name="headoption 4 2 2" xfId="9818" xr:uid="{00000000-0005-0000-0000-00007F1A0000}"/>
    <cellStyle name="headoption 4 2 3" xfId="11791" xr:uid="{00000000-0005-0000-0000-0000801A0000}"/>
    <cellStyle name="headoption 4 3" xfId="8752" xr:uid="{00000000-0005-0000-0000-0000811A0000}"/>
    <cellStyle name="headoption 4 3 2" xfId="12404" xr:uid="{00000000-0005-0000-0000-0000821A0000}"/>
    <cellStyle name="headoption 4 4" xfId="10782" xr:uid="{00000000-0005-0000-0000-0000831A0000}"/>
    <cellStyle name="headoption 5" xfId="7702" xr:uid="{00000000-0005-0000-0000-0000841A0000}"/>
    <cellStyle name="headoption 5 2" xfId="7126" xr:uid="{00000000-0005-0000-0000-0000851A0000}"/>
    <cellStyle name="headoption 5 2 2" xfId="9822" xr:uid="{00000000-0005-0000-0000-0000861A0000}"/>
    <cellStyle name="headoption 5 2 3" xfId="11795" xr:uid="{00000000-0005-0000-0000-0000871A0000}"/>
    <cellStyle name="headoption 5 3" xfId="8757" xr:uid="{00000000-0005-0000-0000-0000881A0000}"/>
    <cellStyle name="headoption 5 3 2" xfId="12741" xr:uid="{00000000-0005-0000-0000-0000891A0000}"/>
    <cellStyle name="headoption 5 4" xfId="10787" xr:uid="{00000000-0005-0000-0000-00008A1A0000}"/>
    <cellStyle name="headoption 6" xfId="7542" xr:uid="{00000000-0005-0000-0000-00008B1A0000}"/>
    <cellStyle name="headoption 6 2" xfId="7139" xr:uid="{00000000-0005-0000-0000-00008C1A0000}"/>
    <cellStyle name="headoption 6 2 2" xfId="9703" xr:uid="{00000000-0005-0000-0000-00008D1A0000}"/>
    <cellStyle name="headoption 6 2 3" xfId="11676" xr:uid="{00000000-0005-0000-0000-00008E1A0000}"/>
    <cellStyle name="headoption 6 3" xfId="8608" xr:uid="{00000000-0005-0000-0000-00008F1A0000}"/>
    <cellStyle name="headoption 6 4" xfId="10638" xr:uid="{00000000-0005-0000-0000-0000901A0000}"/>
    <cellStyle name="headoption 7" xfId="7756" xr:uid="{00000000-0005-0000-0000-0000911A0000}"/>
    <cellStyle name="headoption 7 2" xfId="7266" xr:uid="{00000000-0005-0000-0000-0000921A0000}"/>
    <cellStyle name="headoption 7 2 2" xfId="9867" xr:uid="{00000000-0005-0000-0000-0000931A0000}"/>
    <cellStyle name="headoption 7 2 3" xfId="11840" xr:uid="{00000000-0005-0000-0000-0000941A0000}"/>
    <cellStyle name="headoption 7 3" xfId="8809" xr:uid="{00000000-0005-0000-0000-0000951A0000}"/>
    <cellStyle name="headoption 7 4" xfId="10839" xr:uid="{00000000-0005-0000-0000-0000961A0000}"/>
    <cellStyle name="headoption 8" xfId="7900" xr:uid="{00000000-0005-0000-0000-0000971A0000}"/>
    <cellStyle name="headoption 8 2" xfId="8048" xr:uid="{00000000-0005-0000-0000-0000981A0000}"/>
    <cellStyle name="headoption 8 2 2" xfId="10080" xr:uid="{00000000-0005-0000-0000-0000991A0000}"/>
    <cellStyle name="headoption 8 2 3" xfId="12053" xr:uid="{00000000-0005-0000-0000-00009A1A0000}"/>
    <cellStyle name="headoption 8 3" xfId="8946" xr:uid="{00000000-0005-0000-0000-00009B1A0000}"/>
    <cellStyle name="headoption 8 4" xfId="10976" xr:uid="{00000000-0005-0000-0000-00009C1A0000}"/>
    <cellStyle name="headoption 9" xfId="8247" xr:uid="{00000000-0005-0000-0000-00009D1A0000}"/>
    <cellStyle name="headoption 9 2" xfId="9068" xr:uid="{00000000-0005-0000-0000-00009E1A0000}"/>
    <cellStyle name="headoption 9 3" xfId="11046" xr:uid="{00000000-0005-0000-0000-00009F1A0000}"/>
    <cellStyle name="Hoa-Scholl" xfId="1012" xr:uid="{00000000-0005-0000-0000-0000A01A0000}"/>
    <cellStyle name="Hoa-Scholl 10" xfId="9045" xr:uid="{00000000-0005-0000-0000-0000A11A0000}"/>
    <cellStyle name="Hoa-Scholl 10 2" xfId="12772" xr:uid="{00000000-0005-0000-0000-0000A21A0000}"/>
    <cellStyle name="Hoa-Scholl 11" xfId="10278" xr:uid="{00000000-0005-0000-0000-0000A31A0000}"/>
    <cellStyle name="Hoa-Scholl 2" xfId="7352" xr:uid="{00000000-0005-0000-0000-0000A41A0000}"/>
    <cellStyle name="Hoa-Scholl 2 2" xfId="7931" xr:uid="{00000000-0005-0000-0000-0000A51A0000}"/>
    <cellStyle name="Hoa-Scholl 2 2 2" xfId="9555" xr:uid="{00000000-0005-0000-0000-0000A61A0000}"/>
    <cellStyle name="Hoa-Scholl 2 2 3" xfId="11528" xr:uid="{00000000-0005-0000-0000-0000A71A0000}"/>
    <cellStyle name="Hoa-Scholl 2 3" xfId="7212" xr:uid="{00000000-0005-0000-0000-0000A81A0000}"/>
    <cellStyle name="Hoa-Scholl 2 3 2" xfId="9456" xr:uid="{00000000-0005-0000-0000-0000A91A0000}"/>
    <cellStyle name="Hoa-Scholl 2 3 3" xfId="11429" xr:uid="{00000000-0005-0000-0000-0000AA1A0000}"/>
    <cellStyle name="Hoa-Scholl 2 4" xfId="8424" xr:uid="{00000000-0005-0000-0000-0000AB1A0000}"/>
    <cellStyle name="Hoa-Scholl 2 4 2" xfId="12214" xr:uid="{00000000-0005-0000-0000-0000AC1A0000}"/>
    <cellStyle name="Hoa-Scholl 2 5" xfId="10454" xr:uid="{00000000-0005-0000-0000-0000AD1A0000}"/>
    <cellStyle name="Hoa-Scholl 3" xfId="7380" xr:uid="{00000000-0005-0000-0000-0000AE1A0000}"/>
    <cellStyle name="Hoa-Scholl 3 2" xfId="6994" xr:uid="{00000000-0005-0000-0000-0000AF1A0000}"/>
    <cellStyle name="Hoa-Scholl 3 2 2" xfId="9577" xr:uid="{00000000-0005-0000-0000-0000B01A0000}"/>
    <cellStyle name="Hoa-Scholl 3 2 3" xfId="11550" xr:uid="{00000000-0005-0000-0000-0000B11A0000}"/>
    <cellStyle name="Hoa-Scholl 3 3" xfId="8450" xr:uid="{00000000-0005-0000-0000-0000B21A0000}"/>
    <cellStyle name="Hoa-Scholl 3 3 2" xfId="12227" xr:uid="{00000000-0005-0000-0000-0000B31A0000}"/>
    <cellStyle name="Hoa-Scholl 3 4" xfId="10480" xr:uid="{00000000-0005-0000-0000-0000B41A0000}"/>
    <cellStyle name="Hoa-Scholl 4" xfId="7662" xr:uid="{00000000-0005-0000-0000-0000B51A0000}"/>
    <cellStyle name="Hoa-Scholl 4 2" xfId="7203" xr:uid="{00000000-0005-0000-0000-0000B61A0000}"/>
    <cellStyle name="Hoa-Scholl 4 2 2" xfId="9789" xr:uid="{00000000-0005-0000-0000-0000B71A0000}"/>
    <cellStyle name="Hoa-Scholl 4 2 3" xfId="11762" xr:uid="{00000000-0005-0000-0000-0000B81A0000}"/>
    <cellStyle name="Hoa-Scholl 4 3" xfId="8718" xr:uid="{00000000-0005-0000-0000-0000B91A0000}"/>
    <cellStyle name="Hoa-Scholl 4 3 2" xfId="12382" xr:uid="{00000000-0005-0000-0000-0000BA1A0000}"/>
    <cellStyle name="Hoa-Scholl 4 4" xfId="10748" xr:uid="{00000000-0005-0000-0000-0000BB1A0000}"/>
    <cellStyle name="Hoa-Scholl 5" xfId="7426" xr:uid="{00000000-0005-0000-0000-0000BC1A0000}"/>
    <cellStyle name="Hoa-Scholl 5 2" xfId="7142" xr:uid="{00000000-0005-0000-0000-0000BD1A0000}"/>
    <cellStyle name="Hoa-Scholl 5 2 2" xfId="9611" xr:uid="{00000000-0005-0000-0000-0000BE1A0000}"/>
    <cellStyle name="Hoa-Scholl 5 2 3" xfId="11584" xr:uid="{00000000-0005-0000-0000-0000BF1A0000}"/>
    <cellStyle name="Hoa-Scholl 5 3" xfId="8496" xr:uid="{00000000-0005-0000-0000-0000C01A0000}"/>
    <cellStyle name="Hoa-Scholl 5 3 2" xfId="12643" xr:uid="{00000000-0005-0000-0000-0000C11A0000}"/>
    <cellStyle name="Hoa-Scholl 5 4" xfId="10526" xr:uid="{00000000-0005-0000-0000-0000C21A0000}"/>
    <cellStyle name="Hoa-Scholl 6" xfId="7631" xr:uid="{00000000-0005-0000-0000-0000C31A0000}"/>
    <cellStyle name="Hoa-Scholl 6 2" xfId="7111" xr:uid="{00000000-0005-0000-0000-0000C41A0000}"/>
    <cellStyle name="Hoa-Scholl 6 2 2" xfId="9767" xr:uid="{00000000-0005-0000-0000-0000C51A0000}"/>
    <cellStyle name="Hoa-Scholl 6 2 3" xfId="11740" xr:uid="{00000000-0005-0000-0000-0000C61A0000}"/>
    <cellStyle name="Hoa-Scholl 6 3" xfId="8691" xr:uid="{00000000-0005-0000-0000-0000C71A0000}"/>
    <cellStyle name="Hoa-Scholl 6 4" xfId="10721" xr:uid="{00000000-0005-0000-0000-0000C81A0000}"/>
    <cellStyle name="Hoa-Scholl 7" xfId="7757" xr:uid="{00000000-0005-0000-0000-0000C91A0000}"/>
    <cellStyle name="Hoa-Scholl 7 2" xfId="6917" xr:uid="{00000000-0005-0000-0000-0000CA1A0000}"/>
    <cellStyle name="Hoa-Scholl 7 2 2" xfId="9868" xr:uid="{00000000-0005-0000-0000-0000CB1A0000}"/>
    <cellStyle name="Hoa-Scholl 7 2 3" xfId="11841" xr:uid="{00000000-0005-0000-0000-0000CC1A0000}"/>
    <cellStyle name="Hoa-Scholl 7 3" xfId="8810" xr:uid="{00000000-0005-0000-0000-0000CD1A0000}"/>
    <cellStyle name="Hoa-Scholl 7 4" xfId="10840" xr:uid="{00000000-0005-0000-0000-0000CE1A0000}"/>
    <cellStyle name="Hoa-Scholl 8" xfId="7885" xr:uid="{00000000-0005-0000-0000-0000CF1A0000}"/>
    <cellStyle name="Hoa-Scholl 8 2" xfId="8033" xr:uid="{00000000-0005-0000-0000-0000D01A0000}"/>
    <cellStyle name="Hoa-Scholl 8 2 2" xfId="10065" xr:uid="{00000000-0005-0000-0000-0000D11A0000}"/>
    <cellStyle name="Hoa-Scholl 8 2 3" xfId="12038" xr:uid="{00000000-0005-0000-0000-0000D21A0000}"/>
    <cellStyle name="Hoa-Scholl 8 3" xfId="8931" xr:uid="{00000000-0005-0000-0000-0000D31A0000}"/>
    <cellStyle name="Hoa-Scholl 8 4" xfId="10961" xr:uid="{00000000-0005-0000-0000-0000D41A0000}"/>
    <cellStyle name="Hoa-Scholl 9" xfId="8248" xr:uid="{00000000-0005-0000-0000-0000D51A0000}"/>
    <cellStyle name="Hoa-Scholl 9 2" xfId="9069" xr:uid="{00000000-0005-0000-0000-0000D61A0000}"/>
    <cellStyle name="Hoa-Scholl 9 3" xfId="11047" xr:uid="{00000000-0005-0000-0000-0000D71A0000}"/>
    <cellStyle name="Hyperlink 2" xfId="1013" xr:uid="{00000000-0005-0000-0000-0000D81A0000}"/>
    <cellStyle name="Hyperlink 3" xfId="1014" xr:uid="{00000000-0005-0000-0000-0000D91A0000}"/>
    <cellStyle name="i·0" xfId="1015" xr:uid="{00000000-0005-0000-0000-0000DA1A0000}"/>
    <cellStyle name="Input [yellow]" xfId="1016" xr:uid="{00000000-0005-0000-0000-0000DB1A0000}"/>
    <cellStyle name="Input [yellow] 10" xfId="9041" xr:uid="{00000000-0005-0000-0000-0000DC1A0000}"/>
    <cellStyle name="Input [yellow] 10 2" xfId="12771" xr:uid="{00000000-0005-0000-0000-0000DD1A0000}"/>
    <cellStyle name="Input [yellow] 11" xfId="10279" xr:uid="{00000000-0005-0000-0000-0000DE1A0000}"/>
    <cellStyle name="Input [yellow] 2" xfId="7598" xr:uid="{00000000-0005-0000-0000-0000DF1A0000}"/>
    <cellStyle name="Input [yellow] 2 2" xfId="7951" xr:uid="{00000000-0005-0000-0000-0000E01A0000}"/>
    <cellStyle name="Input [yellow] 2 2 2" xfId="9741" xr:uid="{00000000-0005-0000-0000-0000E11A0000}"/>
    <cellStyle name="Input [yellow] 2 2 3" xfId="11714" xr:uid="{00000000-0005-0000-0000-0000E21A0000}"/>
    <cellStyle name="Input [yellow] 2 3" xfId="6876" xr:uid="{00000000-0005-0000-0000-0000E31A0000}"/>
    <cellStyle name="Input [yellow] 2 3 2" xfId="9213" xr:uid="{00000000-0005-0000-0000-0000E41A0000}"/>
    <cellStyle name="Input [yellow] 2 3 3" xfId="11186" xr:uid="{00000000-0005-0000-0000-0000E51A0000}"/>
    <cellStyle name="Input [yellow] 2 4" xfId="8660" xr:uid="{00000000-0005-0000-0000-0000E61A0000}"/>
    <cellStyle name="Input [yellow] 2 4 2" xfId="12348" xr:uid="{00000000-0005-0000-0000-0000E71A0000}"/>
    <cellStyle name="Input [yellow] 2 5" xfId="10690" xr:uid="{00000000-0005-0000-0000-0000E81A0000}"/>
    <cellStyle name="Input [yellow] 3" xfId="7740" xr:uid="{00000000-0005-0000-0000-0000E91A0000}"/>
    <cellStyle name="Input [yellow] 3 2" xfId="7945" xr:uid="{00000000-0005-0000-0000-0000EA1A0000}"/>
    <cellStyle name="Input [yellow] 3 2 2" xfId="9854" xr:uid="{00000000-0005-0000-0000-0000EB1A0000}"/>
    <cellStyle name="Input [yellow] 3 2 3" xfId="11827" xr:uid="{00000000-0005-0000-0000-0000EC1A0000}"/>
    <cellStyle name="Input [yellow] 3 3" xfId="8794" xr:uid="{00000000-0005-0000-0000-0000ED1A0000}"/>
    <cellStyle name="Input [yellow] 3 3 2" xfId="12434" xr:uid="{00000000-0005-0000-0000-0000EE1A0000}"/>
    <cellStyle name="Input [yellow] 3 4" xfId="10824" xr:uid="{00000000-0005-0000-0000-0000EF1A0000}"/>
    <cellStyle name="Input [yellow] 4" xfId="7359" xr:uid="{00000000-0005-0000-0000-0000F01A0000}"/>
    <cellStyle name="Input [yellow] 4 2" xfId="6993" xr:uid="{00000000-0005-0000-0000-0000F11A0000}"/>
    <cellStyle name="Input [yellow] 4 2 2" xfId="9560" xr:uid="{00000000-0005-0000-0000-0000F21A0000}"/>
    <cellStyle name="Input [yellow] 4 2 3" xfId="11533" xr:uid="{00000000-0005-0000-0000-0000F31A0000}"/>
    <cellStyle name="Input [yellow] 4 3" xfId="8430" xr:uid="{00000000-0005-0000-0000-0000F41A0000}"/>
    <cellStyle name="Input [yellow] 4 3 2" xfId="12218" xr:uid="{00000000-0005-0000-0000-0000F51A0000}"/>
    <cellStyle name="Input [yellow] 4 4" xfId="10460" xr:uid="{00000000-0005-0000-0000-0000F61A0000}"/>
    <cellStyle name="Input [yellow] 5" xfId="7568" xr:uid="{00000000-0005-0000-0000-0000F71A0000}"/>
    <cellStyle name="Input [yellow] 5 2" xfId="7044" xr:uid="{00000000-0005-0000-0000-0000F81A0000}"/>
    <cellStyle name="Input [yellow] 5 2 2" xfId="9723" xr:uid="{00000000-0005-0000-0000-0000F91A0000}"/>
    <cellStyle name="Input [yellow] 5 2 3" xfId="11696" xr:uid="{00000000-0005-0000-0000-0000FA1A0000}"/>
    <cellStyle name="Input [yellow] 5 3" xfId="8632" xr:uid="{00000000-0005-0000-0000-0000FB1A0000}"/>
    <cellStyle name="Input [yellow] 5 3 2" xfId="12688" xr:uid="{00000000-0005-0000-0000-0000FC1A0000}"/>
    <cellStyle name="Input [yellow] 5 4" xfId="10662" xr:uid="{00000000-0005-0000-0000-0000FD1A0000}"/>
    <cellStyle name="Input [yellow] 6" xfId="7323" xr:uid="{00000000-0005-0000-0000-0000FE1A0000}"/>
    <cellStyle name="Input [yellow] 6 2" xfId="7135" xr:uid="{00000000-0005-0000-0000-0000FF1A0000}"/>
    <cellStyle name="Input [yellow] 6 2 2" xfId="9536" xr:uid="{00000000-0005-0000-0000-0000001B0000}"/>
    <cellStyle name="Input [yellow] 6 2 3" xfId="11509" xr:uid="{00000000-0005-0000-0000-0000011B0000}"/>
    <cellStyle name="Input [yellow] 6 3" xfId="8396" xr:uid="{00000000-0005-0000-0000-0000021B0000}"/>
    <cellStyle name="Input [yellow] 6 4" xfId="10426" xr:uid="{00000000-0005-0000-0000-0000031B0000}"/>
    <cellStyle name="Input [yellow] 7" xfId="7803" xr:uid="{00000000-0005-0000-0000-0000041B0000}"/>
    <cellStyle name="Input [yellow] 7 2" xfId="6878" xr:uid="{00000000-0005-0000-0000-0000051B0000}"/>
    <cellStyle name="Input [yellow] 7 2 2" xfId="9909" xr:uid="{00000000-0005-0000-0000-0000061B0000}"/>
    <cellStyle name="Input [yellow] 7 2 3" xfId="11882" xr:uid="{00000000-0005-0000-0000-0000071B0000}"/>
    <cellStyle name="Input [yellow] 7 3" xfId="8853" xr:uid="{00000000-0005-0000-0000-0000081B0000}"/>
    <cellStyle name="Input [yellow] 7 4" xfId="10883" xr:uid="{00000000-0005-0000-0000-0000091B0000}"/>
    <cellStyle name="Input [yellow] 8" xfId="7920" xr:uid="{00000000-0005-0000-0000-00000A1B0000}"/>
    <cellStyle name="Input [yellow] 8 2" xfId="8067" xr:uid="{00000000-0005-0000-0000-00000B1B0000}"/>
    <cellStyle name="Input [yellow] 8 2 2" xfId="10098" xr:uid="{00000000-0005-0000-0000-00000C1B0000}"/>
    <cellStyle name="Input [yellow] 8 2 3" xfId="12071" xr:uid="{00000000-0005-0000-0000-00000D1B0000}"/>
    <cellStyle name="Input [yellow] 8 3" xfId="8966" xr:uid="{00000000-0005-0000-0000-00000E1B0000}"/>
    <cellStyle name="Input [yellow] 8 4" xfId="10996" xr:uid="{00000000-0005-0000-0000-00000F1B0000}"/>
    <cellStyle name="Input [yellow] 9" xfId="8249" xr:uid="{00000000-0005-0000-0000-0000101B0000}"/>
    <cellStyle name="Input [yellow] 9 2" xfId="9070" xr:uid="{00000000-0005-0000-0000-0000111B0000}"/>
    <cellStyle name="Input [yellow] 9 3" xfId="11048" xr:uid="{00000000-0005-0000-0000-0000121B0000}"/>
    <cellStyle name="Input 2" xfId="1017" xr:uid="{00000000-0005-0000-0000-0000131B0000}"/>
    <cellStyle name="Input 2 10" xfId="9040" xr:uid="{00000000-0005-0000-0000-0000141B0000}"/>
    <cellStyle name="Input 2 10 2" xfId="11044" xr:uid="{00000000-0005-0000-0000-0000151B0000}"/>
    <cellStyle name="Input 2 11" xfId="10280" xr:uid="{00000000-0005-0000-0000-0000161B0000}"/>
    <cellStyle name="Input 2 2" xfId="7435" xr:uid="{00000000-0005-0000-0000-0000171B0000}"/>
    <cellStyle name="Input 2 2 2" xfId="7938" xr:uid="{00000000-0005-0000-0000-0000181B0000}"/>
    <cellStyle name="Input 2 2 2 2" xfId="9617" xr:uid="{00000000-0005-0000-0000-0000191B0000}"/>
    <cellStyle name="Input 2 2 2 2 2" xfId="12510" xr:uid="{00000000-0005-0000-0000-00001A1B0000}"/>
    <cellStyle name="Input 2 2 2 3" xfId="11590" xr:uid="{00000000-0005-0000-0000-00001B1B0000}"/>
    <cellStyle name="Input 2 2 3" xfId="6973" xr:uid="{00000000-0005-0000-0000-00001C1B0000}"/>
    <cellStyle name="Input 2 2 3 2" xfId="9283" xr:uid="{00000000-0005-0000-0000-00001D1B0000}"/>
    <cellStyle name="Input 2 2 3 2 2" xfId="12175" xr:uid="{00000000-0005-0000-0000-00001E1B0000}"/>
    <cellStyle name="Input 2 2 3 3" xfId="11256" xr:uid="{00000000-0005-0000-0000-00001F1B0000}"/>
    <cellStyle name="Input 2 2 4" xfId="8505" xr:uid="{00000000-0005-0000-0000-0000201B0000}"/>
    <cellStyle name="Input 2 2 4 2" xfId="12254" xr:uid="{00000000-0005-0000-0000-0000211B0000}"/>
    <cellStyle name="Input 2 2 5" xfId="10535" xr:uid="{00000000-0005-0000-0000-0000221B0000}"/>
    <cellStyle name="Input 2 3" xfId="7305" xr:uid="{00000000-0005-0000-0000-0000231B0000}"/>
    <cellStyle name="Input 2 3 2" xfId="7131" xr:uid="{00000000-0005-0000-0000-0000241B0000}"/>
    <cellStyle name="Input 2 3 2 2" xfId="9523" xr:uid="{00000000-0005-0000-0000-0000251B0000}"/>
    <cellStyle name="Input 2 3 2 2 2" xfId="12181" xr:uid="{00000000-0005-0000-0000-0000261B0000}"/>
    <cellStyle name="Input 2 3 2 3" xfId="11496" xr:uid="{00000000-0005-0000-0000-0000271B0000}"/>
    <cellStyle name="Input 2 3 3" xfId="8378" xr:uid="{00000000-0005-0000-0000-0000281B0000}"/>
    <cellStyle name="Input 2 3 3 2" xfId="12192" xr:uid="{00000000-0005-0000-0000-0000291B0000}"/>
    <cellStyle name="Input 2 3 4" xfId="10408" xr:uid="{00000000-0005-0000-0000-00002A1B0000}"/>
    <cellStyle name="Input 2 4" xfId="7553" xr:uid="{00000000-0005-0000-0000-00002B1B0000}"/>
    <cellStyle name="Input 2 4 2" xfId="7066" xr:uid="{00000000-0005-0000-0000-00002C1B0000}"/>
    <cellStyle name="Input 2 4 2 2" xfId="9712" xr:uid="{00000000-0005-0000-0000-00002D1B0000}"/>
    <cellStyle name="Input 2 4 2 2 2" xfId="12179" xr:uid="{00000000-0005-0000-0000-00002E1B0000}"/>
    <cellStyle name="Input 2 4 2 3" xfId="11685" xr:uid="{00000000-0005-0000-0000-00002F1B0000}"/>
    <cellStyle name="Input 2 4 3" xfId="8618" xr:uid="{00000000-0005-0000-0000-0000301B0000}"/>
    <cellStyle name="Input 2 4 3 2" xfId="12327" xr:uid="{00000000-0005-0000-0000-0000311B0000}"/>
    <cellStyle name="Input 2 4 4" xfId="10648" xr:uid="{00000000-0005-0000-0000-0000321B0000}"/>
    <cellStyle name="Input 2 5" xfId="7348" xr:uid="{00000000-0005-0000-0000-0000331B0000}"/>
    <cellStyle name="Input 2 5 2" xfId="6920" xr:uid="{00000000-0005-0000-0000-0000341B0000}"/>
    <cellStyle name="Input 2 5 2 2" xfId="9243" xr:uid="{00000000-0005-0000-0000-0000351B0000}"/>
    <cellStyle name="Input 2 5 2 2 2" xfId="12173" xr:uid="{00000000-0005-0000-0000-0000361B0000}"/>
    <cellStyle name="Input 2 5 2 3" xfId="11216" xr:uid="{00000000-0005-0000-0000-0000371B0000}"/>
    <cellStyle name="Input 2 5 3" xfId="8420" xr:uid="{00000000-0005-0000-0000-0000381B0000}"/>
    <cellStyle name="Input 2 5 3 2" xfId="12609" xr:uid="{00000000-0005-0000-0000-0000391B0000}"/>
    <cellStyle name="Input 2 5 4" xfId="10450" xr:uid="{00000000-0005-0000-0000-00003A1B0000}"/>
    <cellStyle name="Input 2 6" xfId="7666" xr:uid="{00000000-0005-0000-0000-00003B1B0000}"/>
    <cellStyle name="Input 2 6 2" xfId="6927" xr:uid="{00000000-0005-0000-0000-00003C1B0000}"/>
    <cellStyle name="Input 2 6 2 2" xfId="9793" xr:uid="{00000000-0005-0000-0000-00003D1B0000}"/>
    <cellStyle name="Input 2 6 2 2 2" xfId="12174" xr:uid="{00000000-0005-0000-0000-00003E1B0000}"/>
    <cellStyle name="Input 2 6 2 3" xfId="11766" xr:uid="{00000000-0005-0000-0000-00003F1B0000}"/>
    <cellStyle name="Input 2 6 3" xfId="8722" xr:uid="{00000000-0005-0000-0000-0000401B0000}"/>
    <cellStyle name="Input 2 6 3 2" xfId="12727" xr:uid="{00000000-0005-0000-0000-0000411B0000}"/>
    <cellStyle name="Input 2 6 4" xfId="10752" xr:uid="{00000000-0005-0000-0000-0000421B0000}"/>
    <cellStyle name="Input 2 7" xfId="7805" xr:uid="{00000000-0005-0000-0000-0000431B0000}"/>
    <cellStyle name="Input 2 7 2" xfId="6912" xr:uid="{00000000-0005-0000-0000-0000441B0000}"/>
    <cellStyle name="Input 2 7 2 2" xfId="9911" xr:uid="{00000000-0005-0000-0000-0000451B0000}"/>
    <cellStyle name="Input 2 7 2 2 2" xfId="12172" xr:uid="{00000000-0005-0000-0000-0000461B0000}"/>
    <cellStyle name="Input 2 7 2 3" xfId="11884" xr:uid="{00000000-0005-0000-0000-0000471B0000}"/>
    <cellStyle name="Input 2 7 3" xfId="8855" xr:uid="{00000000-0005-0000-0000-0000481B0000}"/>
    <cellStyle name="Input 2 7 3 2" xfId="12755" xr:uid="{00000000-0005-0000-0000-0000491B0000}"/>
    <cellStyle name="Input 2 7 4" xfId="10885" xr:uid="{00000000-0005-0000-0000-00004A1B0000}"/>
    <cellStyle name="Input 2 8" xfId="7910" xr:uid="{00000000-0005-0000-0000-00004B1B0000}"/>
    <cellStyle name="Input 2 8 2" xfId="8058" xr:uid="{00000000-0005-0000-0000-00004C1B0000}"/>
    <cellStyle name="Input 2 8 2 2" xfId="9996" xr:uid="{00000000-0005-0000-0000-00004D1B0000}"/>
    <cellStyle name="Input 2 8 2 2 2" xfId="12514" xr:uid="{00000000-0005-0000-0000-00004E1B0000}"/>
    <cellStyle name="Input 2 8 2 3" xfId="11969" xr:uid="{00000000-0005-0000-0000-00004F1B0000}"/>
    <cellStyle name="Input 2 8 3" xfId="8153" xr:uid="{00000000-0005-0000-0000-0000501B0000}"/>
    <cellStyle name="Input 2 8 3 2" xfId="10183" xr:uid="{00000000-0005-0000-0000-0000511B0000}"/>
    <cellStyle name="Input 2 8 3 2 2" xfId="12517" xr:uid="{00000000-0005-0000-0000-0000521B0000}"/>
    <cellStyle name="Input 2 8 3 3" xfId="12156" xr:uid="{00000000-0005-0000-0000-0000531B0000}"/>
    <cellStyle name="Input 2 8 4" xfId="8956" xr:uid="{00000000-0005-0000-0000-0000541B0000}"/>
    <cellStyle name="Input 2 8 4 2" xfId="12757" xr:uid="{00000000-0005-0000-0000-0000551B0000}"/>
    <cellStyle name="Input 2 8 5" xfId="10986" xr:uid="{00000000-0005-0000-0000-0000561B0000}"/>
    <cellStyle name="Input 2 9" xfId="8250" xr:uid="{00000000-0005-0000-0000-0000571B0000}"/>
    <cellStyle name="Input 2 9 2" xfId="9071" xr:uid="{00000000-0005-0000-0000-0000581B0000}"/>
    <cellStyle name="Input 2 9 2 2" xfId="12775" xr:uid="{00000000-0005-0000-0000-0000591B0000}"/>
    <cellStyle name="Input 2 9 3" xfId="11049" xr:uid="{00000000-0005-0000-0000-00005A1B0000}"/>
    <cellStyle name="khanh" xfId="1018" xr:uid="{00000000-0005-0000-0000-00005B1B0000}"/>
    <cellStyle name="Ledger 17 x 11 in" xfId="1019" xr:uid="{00000000-0005-0000-0000-00005C1B0000}"/>
    <cellStyle name="Ledger 17 x 11 in 2" xfId="1020" xr:uid="{00000000-0005-0000-0000-00005D1B0000}"/>
    <cellStyle name="Ledger 17 x 11 in 2 2" xfId="1021" xr:uid="{00000000-0005-0000-0000-00005E1B0000}"/>
    <cellStyle name="Ledger 17 x 11 in 2 2 2" xfId="1022" xr:uid="{00000000-0005-0000-0000-00005F1B0000}"/>
    <cellStyle name="Ledger 17 x 11 in 2 2 3" xfId="1023" xr:uid="{00000000-0005-0000-0000-0000601B0000}"/>
    <cellStyle name="Ledger 17 x 11 in 2 2 4" xfId="1024" xr:uid="{00000000-0005-0000-0000-0000611B0000}"/>
    <cellStyle name="Ledger 17 x 11 in 2 2 5" xfId="1025" xr:uid="{00000000-0005-0000-0000-0000621B0000}"/>
    <cellStyle name="Ledger 17 x 11 in 2 2 6" xfId="1026" xr:uid="{00000000-0005-0000-0000-0000631B0000}"/>
    <cellStyle name="Ledger 17 x 11 in 2 2 7" xfId="1027" xr:uid="{00000000-0005-0000-0000-0000641B0000}"/>
    <cellStyle name="Ledger 17 x 11 in 2 3" xfId="1028" xr:uid="{00000000-0005-0000-0000-0000651B0000}"/>
    <cellStyle name="Ledger 17 x 11 in 2 4" xfId="1029" xr:uid="{00000000-0005-0000-0000-0000661B0000}"/>
    <cellStyle name="Ledger 17 x 11 in 2 5" xfId="1030" xr:uid="{00000000-0005-0000-0000-0000671B0000}"/>
    <cellStyle name="Ledger 17 x 11 in 2 6" xfId="1031" xr:uid="{00000000-0005-0000-0000-0000681B0000}"/>
    <cellStyle name="Ledger 17 x 11 in 2 7" xfId="1032" xr:uid="{00000000-0005-0000-0000-0000691B0000}"/>
    <cellStyle name="Ledger 17 x 11 in 2 8" xfId="1033" xr:uid="{00000000-0005-0000-0000-00006A1B0000}"/>
    <cellStyle name="Ledger 17 x 11 in 2 9" xfId="1034" xr:uid="{00000000-0005-0000-0000-00006B1B0000}"/>
    <cellStyle name="Ledger 17 x 11 in 3" xfId="1035" xr:uid="{00000000-0005-0000-0000-00006C1B0000}"/>
    <cellStyle name="Ledger 17 x 11 in_bieu 1" xfId="1036" xr:uid="{00000000-0005-0000-0000-00006D1B0000}"/>
    <cellStyle name="Link Currency (0)" xfId="1037" xr:uid="{00000000-0005-0000-0000-00006E1B0000}"/>
    <cellStyle name="Link Currency (2)" xfId="1038" xr:uid="{00000000-0005-0000-0000-00006F1B0000}"/>
    <cellStyle name="Link Units (0)" xfId="1039" xr:uid="{00000000-0005-0000-0000-0000701B0000}"/>
    <cellStyle name="Link Units (1)" xfId="1040" xr:uid="{00000000-0005-0000-0000-0000711B0000}"/>
    <cellStyle name="Link Units (2)" xfId="1041" xr:uid="{00000000-0005-0000-0000-0000721B0000}"/>
    <cellStyle name="Linked Cell 2" xfId="1042" xr:uid="{00000000-0005-0000-0000-0000731B0000}"/>
    <cellStyle name="Migliaia (0)_CALPREZZ" xfId="1043" xr:uid="{00000000-0005-0000-0000-0000741B0000}"/>
    <cellStyle name="Migliaia_ PESO ELETTR." xfId="1044" xr:uid="{00000000-0005-0000-0000-0000751B0000}"/>
    <cellStyle name="Millares [0]_Well Timing" xfId="1045" xr:uid="{00000000-0005-0000-0000-0000761B0000}"/>
    <cellStyle name="Millares_Well Timing" xfId="1046" xr:uid="{00000000-0005-0000-0000-0000771B0000}"/>
    <cellStyle name="Milliers [0]_      " xfId="1047" xr:uid="{00000000-0005-0000-0000-0000781B0000}"/>
    <cellStyle name="Milliers_      " xfId="1048" xr:uid="{00000000-0005-0000-0000-0000791B0000}"/>
    <cellStyle name="Model" xfId="1049" xr:uid="{00000000-0005-0000-0000-00007A1B0000}"/>
    <cellStyle name="moi" xfId="1050" xr:uid="{00000000-0005-0000-0000-00007B1B0000}"/>
    <cellStyle name="moi 10" xfId="8251" xr:uid="{00000000-0005-0000-0000-00007C1B0000}"/>
    <cellStyle name="moi 10 2" xfId="9072" xr:uid="{00000000-0005-0000-0000-00007D1B0000}"/>
    <cellStyle name="moi 10 3" xfId="11050" xr:uid="{00000000-0005-0000-0000-00007E1B0000}"/>
    <cellStyle name="moi 11" xfId="9036" xr:uid="{00000000-0005-0000-0000-00007F1B0000}"/>
    <cellStyle name="moi 12" xfId="10281" xr:uid="{00000000-0005-0000-0000-0000801B0000}"/>
    <cellStyle name="moi 2" xfId="7354" xr:uid="{00000000-0005-0000-0000-0000811B0000}"/>
    <cellStyle name="moi 2 2" xfId="7932" xr:uid="{00000000-0005-0000-0000-0000821B0000}"/>
    <cellStyle name="moi 2 2 2" xfId="9556" xr:uid="{00000000-0005-0000-0000-0000831B0000}"/>
    <cellStyle name="moi 2 2 2 2" xfId="10005" xr:uid="{00000000-0005-0000-0000-0000841B0000}"/>
    <cellStyle name="moi 2 2 2 2 2" xfId="13143" xr:uid="{00000000-0005-0000-0000-0000851B0000}"/>
    <cellStyle name="moi 2 2 2 3" xfId="11978" xr:uid="{00000000-0005-0000-0000-0000861B0000}"/>
    <cellStyle name="moi 2 2 3" xfId="11529" xr:uid="{00000000-0005-0000-0000-0000871B0000}"/>
    <cellStyle name="moi 2 3" xfId="6870" xr:uid="{00000000-0005-0000-0000-0000881B0000}"/>
    <cellStyle name="moi 2 3 2" xfId="9207" xr:uid="{00000000-0005-0000-0000-0000891B0000}"/>
    <cellStyle name="moi 2 3 3" xfId="11180" xr:uid="{00000000-0005-0000-0000-00008A1B0000}"/>
    <cellStyle name="moi 2 4" xfId="8426" xr:uid="{00000000-0005-0000-0000-00008B1B0000}"/>
    <cellStyle name="moi 2 4 2" xfId="12215" xr:uid="{00000000-0005-0000-0000-00008C1B0000}"/>
    <cellStyle name="moi 2 5" xfId="10456" xr:uid="{00000000-0005-0000-0000-00008D1B0000}"/>
    <cellStyle name="moi 3" xfId="7493" xr:uid="{00000000-0005-0000-0000-00008E1B0000}"/>
    <cellStyle name="moi 3 2" xfId="7942" xr:uid="{00000000-0005-0000-0000-00008F1B0000}"/>
    <cellStyle name="moi 3 2 2" xfId="9664" xr:uid="{00000000-0005-0000-0000-0000901B0000}"/>
    <cellStyle name="moi 3 2 2 2" xfId="10008" xr:uid="{00000000-0005-0000-0000-0000911B0000}"/>
    <cellStyle name="moi 3 2 2 2 2" xfId="13154" xr:uid="{00000000-0005-0000-0000-0000921B0000}"/>
    <cellStyle name="moi 3 2 2 3" xfId="11981" xr:uid="{00000000-0005-0000-0000-0000931B0000}"/>
    <cellStyle name="moi 3 2 3" xfId="11637" xr:uid="{00000000-0005-0000-0000-0000941B0000}"/>
    <cellStyle name="moi 3 3" xfId="6919" xr:uid="{00000000-0005-0000-0000-0000951B0000}"/>
    <cellStyle name="moi 3 3 2" xfId="9242" xr:uid="{00000000-0005-0000-0000-0000961B0000}"/>
    <cellStyle name="moi 3 3 3" xfId="11215" xr:uid="{00000000-0005-0000-0000-0000971B0000}"/>
    <cellStyle name="moi 3 4" xfId="8560" xr:uid="{00000000-0005-0000-0000-0000981B0000}"/>
    <cellStyle name="moi 3 4 2" xfId="12292" xr:uid="{00000000-0005-0000-0000-0000991B0000}"/>
    <cellStyle name="moi 3 5" xfId="10590" xr:uid="{00000000-0005-0000-0000-00009A1B0000}"/>
    <cellStyle name="moi 4" xfId="7410" xr:uid="{00000000-0005-0000-0000-00009B1B0000}"/>
    <cellStyle name="moi 4 2" xfId="8480" xr:uid="{00000000-0005-0000-0000-00009C1B0000}"/>
    <cellStyle name="moi 4 2 2" xfId="9598" xr:uid="{00000000-0005-0000-0000-00009D1B0000}"/>
    <cellStyle name="moi 4 2 3" xfId="11571" xr:uid="{00000000-0005-0000-0000-00009E1B0000}"/>
    <cellStyle name="moi 4 3" xfId="10510" xr:uid="{00000000-0005-0000-0000-00009F1B0000}"/>
    <cellStyle name="moi 5" xfId="7516" xr:uid="{00000000-0005-0000-0000-0000A01B0000}"/>
    <cellStyle name="moi 5 2" xfId="8582" xr:uid="{00000000-0005-0000-0000-0000A11B0000}"/>
    <cellStyle name="moi 5 2 2" xfId="9681" xr:uid="{00000000-0005-0000-0000-0000A21B0000}"/>
    <cellStyle name="moi 5 2 3" xfId="11654" xr:uid="{00000000-0005-0000-0000-0000A31B0000}"/>
    <cellStyle name="moi 5 3" xfId="10612" xr:uid="{00000000-0005-0000-0000-0000A41B0000}"/>
    <cellStyle name="moi 6" xfId="7494" xr:uid="{00000000-0005-0000-0000-0000A51B0000}"/>
    <cellStyle name="moi 6 2" xfId="8561" xr:uid="{00000000-0005-0000-0000-0000A61B0000}"/>
    <cellStyle name="moi 6 2 2" xfId="9665" xr:uid="{00000000-0005-0000-0000-0000A71B0000}"/>
    <cellStyle name="moi 6 2 3" xfId="11638" xr:uid="{00000000-0005-0000-0000-0000A81B0000}"/>
    <cellStyle name="moi 6 3" xfId="10591" xr:uid="{00000000-0005-0000-0000-0000A91B0000}"/>
    <cellStyle name="moi 7" xfId="7759" xr:uid="{00000000-0005-0000-0000-0000AA1B0000}"/>
    <cellStyle name="moi 7 2" xfId="8812" xr:uid="{00000000-0005-0000-0000-0000AB1B0000}"/>
    <cellStyle name="moi 7 3" xfId="10842" xr:uid="{00000000-0005-0000-0000-0000AC1B0000}"/>
    <cellStyle name="moi 8" xfId="7758" xr:uid="{00000000-0005-0000-0000-0000AD1B0000}"/>
    <cellStyle name="moi 8 2" xfId="8811" xr:uid="{00000000-0005-0000-0000-0000AE1B0000}"/>
    <cellStyle name="moi 8 3" xfId="10841" xr:uid="{00000000-0005-0000-0000-0000AF1B0000}"/>
    <cellStyle name="moi 9" xfId="7911" xr:uid="{00000000-0005-0000-0000-0000B01B0000}"/>
    <cellStyle name="moi 9 2" xfId="8957" xr:uid="{00000000-0005-0000-0000-0000B11B0000}"/>
    <cellStyle name="moi 9 3" xfId="10987" xr:uid="{00000000-0005-0000-0000-0000B21B0000}"/>
    <cellStyle name="Moneda [0]_Well Timing" xfId="1051" xr:uid="{00000000-0005-0000-0000-0000B31B0000}"/>
    <cellStyle name="Moneda_Well Timing" xfId="1052" xr:uid="{00000000-0005-0000-0000-0000B41B0000}"/>
    <cellStyle name="Monétaire [0]_      " xfId="1053" xr:uid="{00000000-0005-0000-0000-0000B51B0000}"/>
    <cellStyle name="Monétaire_      " xfId="1054" xr:uid="{00000000-0005-0000-0000-0000B61B0000}"/>
    <cellStyle name="n" xfId="1055" xr:uid="{00000000-0005-0000-0000-0000B71B0000}"/>
    <cellStyle name="Neutral 2" xfId="1056" xr:uid="{00000000-0005-0000-0000-0000B81B0000}"/>
    <cellStyle name="New Times Roman" xfId="1057" xr:uid="{00000000-0005-0000-0000-0000B91B0000}"/>
    <cellStyle name="no dec" xfId="1058" xr:uid="{00000000-0005-0000-0000-0000BA1B0000}"/>
    <cellStyle name="Normal" xfId="0" builtinId="0"/>
    <cellStyle name="Normal - Style1" xfId="1059" xr:uid="{00000000-0005-0000-0000-0000BC1B0000}"/>
    <cellStyle name="Normal 10" xfId="1060" xr:uid="{00000000-0005-0000-0000-0000BD1B0000}"/>
    <cellStyle name="Normal 10 2" xfId="1061" xr:uid="{00000000-0005-0000-0000-0000BE1B0000}"/>
    <cellStyle name="Normal 10 2 2" xfId="1062" xr:uid="{00000000-0005-0000-0000-0000BF1B0000}"/>
    <cellStyle name="Normal 10 2 2 2" xfId="1063" xr:uid="{00000000-0005-0000-0000-0000C01B0000}"/>
    <cellStyle name="Normal 10 2 2 3" xfId="1064" xr:uid="{00000000-0005-0000-0000-0000C11B0000}"/>
    <cellStyle name="Normal 10 2 2 4" xfId="1065" xr:uid="{00000000-0005-0000-0000-0000C21B0000}"/>
    <cellStyle name="Normal 10 2 2 5" xfId="1066" xr:uid="{00000000-0005-0000-0000-0000C31B0000}"/>
    <cellStyle name="Normal 10 2 2 6" xfId="1067" xr:uid="{00000000-0005-0000-0000-0000C41B0000}"/>
    <cellStyle name="Normal 10 2 3" xfId="1068" xr:uid="{00000000-0005-0000-0000-0000C51B0000}"/>
    <cellStyle name="Normal 10 2 4" xfId="1069" xr:uid="{00000000-0005-0000-0000-0000C61B0000}"/>
    <cellStyle name="Normal 10 2 5" xfId="1070" xr:uid="{00000000-0005-0000-0000-0000C71B0000}"/>
    <cellStyle name="Normal 10 2 6" xfId="1071" xr:uid="{00000000-0005-0000-0000-0000C81B0000}"/>
    <cellStyle name="Normal 10 3" xfId="1072" xr:uid="{00000000-0005-0000-0000-0000C91B0000}"/>
    <cellStyle name="Normal 10 4" xfId="1073" xr:uid="{00000000-0005-0000-0000-0000CA1B0000}"/>
    <cellStyle name="Normal 10 5" xfId="1074" xr:uid="{00000000-0005-0000-0000-0000CB1B0000}"/>
    <cellStyle name="Normal 10 6" xfId="1075" xr:uid="{00000000-0005-0000-0000-0000CC1B0000}"/>
    <cellStyle name="Normal 104" xfId="13411" xr:uid="{00000000-0005-0000-0000-0000CD1B0000}"/>
    <cellStyle name="Normal 107" xfId="13403" xr:uid="{00000000-0005-0000-0000-0000CE1B0000}"/>
    <cellStyle name="Normal 11" xfId="1076" xr:uid="{00000000-0005-0000-0000-0000CF1B0000}"/>
    <cellStyle name="Normal 11 2" xfId="1077" xr:uid="{00000000-0005-0000-0000-0000D01B0000}"/>
    <cellStyle name="Normal 11 3 2" xfId="1078" xr:uid="{00000000-0005-0000-0000-0000D11B0000}"/>
    <cellStyle name="Normal 11 3 2 10" xfId="13384" xr:uid="{00000000-0005-0000-0000-0000D21B0000}"/>
    <cellStyle name="Normal 110" xfId="13405" xr:uid="{00000000-0005-0000-0000-0000D31B0000}"/>
    <cellStyle name="Normal 12" xfId="1079" xr:uid="{00000000-0005-0000-0000-0000D41B0000}"/>
    <cellStyle name="Normal 13" xfId="1080" xr:uid="{00000000-0005-0000-0000-0000D51B0000}"/>
    <cellStyle name="Normal 13 2" xfId="1081" xr:uid="{00000000-0005-0000-0000-0000D61B0000}"/>
    <cellStyle name="Normal 13 2 19" xfId="1082" xr:uid="{00000000-0005-0000-0000-0000D71B0000}"/>
    <cellStyle name="Normal 13 3" xfId="1083" xr:uid="{00000000-0005-0000-0000-0000D81B0000}"/>
    <cellStyle name="Normal 13 4" xfId="1084" xr:uid="{00000000-0005-0000-0000-0000D91B0000}"/>
    <cellStyle name="Normal 14" xfId="1085" xr:uid="{00000000-0005-0000-0000-0000DA1B0000}"/>
    <cellStyle name="Normal 14 2" xfId="1086" xr:uid="{00000000-0005-0000-0000-0000DB1B0000}"/>
    <cellStyle name="Normal 14 2 2" xfId="1087" xr:uid="{00000000-0005-0000-0000-0000DC1B0000}"/>
    <cellStyle name="Normal 14 3" xfId="1088" xr:uid="{00000000-0005-0000-0000-0000DD1B0000}"/>
    <cellStyle name="Normal 14 4" xfId="1089" xr:uid="{00000000-0005-0000-0000-0000DE1B0000}"/>
    <cellStyle name="Normal 14 5" xfId="6790" xr:uid="{00000000-0005-0000-0000-0000DF1B0000}"/>
    <cellStyle name="Normal 14 6" xfId="8252" xr:uid="{00000000-0005-0000-0000-0000E01B0000}"/>
    <cellStyle name="Normal 14 7" xfId="10282" xr:uid="{00000000-0005-0000-0000-0000E11B0000}"/>
    <cellStyle name="Normal 14_Du toan 2020 va xay dung KHTC 3 nam 2020-2022" xfId="1090" xr:uid="{00000000-0005-0000-0000-0000E21B0000}"/>
    <cellStyle name="Normal 15" xfId="1091" xr:uid="{00000000-0005-0000-0000-0000E31B0000}"/>
    <cellStyle name="Normal 15 10" xfId="1092" xr:uid="{00000000-0005-0000-0000-0000E41B0000}"/>
    <cellStyle name="Normal 15 11" xfId="1093" xr:uid="{00000000-0005-0000-0000-0000E51B0000}"/>
    <cellStyle name="Normal 15 12" xfId="1094" xr:uid="{00000000-0005-0000-0000-0000E61B0000}"/>
    <cellStyle name="Normal 15 13" xfId="1095" xr:uid="{00000000-0005-0000-0000-0000E71B0000}"/>
    <cellStyle name="Normal 15 14" xfId="1096" xr:uid="{00000000-0005-0000-0000-0000E81B0000}"/>
    <cellStyle name="Normal 15 15" xfId="1097" xr:uid="{00000000-0005-0000-0000-0000E91B0000}"/>
    <cellStyle name="Normal 15 2" xfId="1098" xr:uid="{00000000-0005-0000-0000-0000EA1B0000}"/>
    <cellStyle name="Normal 15 2 2" xfId="13406" xr:uid="{00000000-0005-0000-0000-0000EB1B0000}"/>
    <cellStyle name="Normal 15 3" xfId="1099" xr:uid="{00000000-0005-0000-0000-0000EC1B0000}"/>
    <cellStyle name="Normal 15 4" xfId="1100" xr:uid="{00000000-0005-0000-0000-0000ED1B0000}"/>
    <cellStyle name="Normal 15 5" xfId="1101" xr:uid="{00000000-0005-0000-0000-0000EE1B0000}"/>
    <cellStyle name="Normal 15 6" xfId="1102" xr:uid="{00000000-0005-0000-0000-0000EF1B0000}"/>
    <cellStyle name="Normal 15 7" xfId="1103" xr:uid="{00000000-0005-0000-0000-0000F01B0000}"/>
    <cellStyle name="Normal 15 8" xfId="1104" xr:uid="{00000000-0005-0000-0000-0000F11B0000}"/>
    <cellStyle name="Normal 15 9" xfId="1105" xr:uid="{00000000-0005-0000-0000-0000F21B0000}"/>
    <cellStyle name="Normal 15_34 moi TT342" xfId="1106" xr:uid="{00000000-0005-0000-0000-0000F31B0000}"/>
    <cellStyle name="Normal 153" xfId="6798" xr:uid="{00000000-0005-0000-0000-0000F41B0000}"/>
    <cellStyle name="Normal 16" xfId="1107" xr:uid="{00000000-0005-0000-0000-0000F51B0000}"/>
    <cellStyle name="Normal 16 2" xfId="1108" xr:uid="{00000000-0005-0000-0000-0000F61B0000}"/>
    <cellStyle name="Normal 16 2 2" xfId="1109" xr:uid="{00000000-0005-0000-0000-0000F71B0000}"/>
    <cellStyle name="Normal 16 2 3" xfId="1110" xr:uid="{00000000-0005-0000-0000-0000F81B0000}"/>
    <cellStyle name="Normal 16 2 4" xfId="1111" xr:uid="{00000000-0005-0000-0000-0000F91B0000}"/>
    <cellStyle name="Normal 16 2 5" xfId="1112" xr:uid="{00000000-0005-0000-0000-0000FA1B0000}"/>
    <cellStyle name="Normal 16 2 6" xfId="1113" xr:uid="{00000000-0005-0000-0000-0000FB1B0000}"/>
    <cellStyle name="Normal 16 2 7" xfId="1114" xr:uid="{00000000-0005-0000-0000-0000FC1B0000}"/>
    <cellStyle name="Normal 16 3" xfId="1115" xr:uid="{00000000-0005-0000-0000-0000FD1B0000}"/>
    <cellStyle name="Normal 17" xfId="1116" xr:uid="{00000000-0005-0000-0000-0000FE1B0000}"/>
    <cellStyle name="Normal 17 2" xfId="1117" xr:uid="{00000000-0005-0000-0000-0000FF1B0000}"/>
    <cellStyle name="Normal 18" xfId="6791" xr:uid="{00000000-0005-0000-0000-0000001C0000}"/>
    <cellStyle name="Normal 18 2" xfId="13394" xr:uid="{00000000-0005-0000-0000-0000011C0000}"/>
    <cellStyle name="Normal 19" xfId="1118" xr:uid="{00000000-0005-0000-0000-0000021C0000}"/>
    <cellStyle name="Normal 19 2" xfId="1119" xr:uid="{00000000-0005-0000-0000-0000031C0000}"/>
    <cellStyle name="Normal 19 2 2" xfId="13397" xr:uid="{00000000-0005-0000-0000-0000041C0000}"/>
    <cellStyle name="Normal 2" xfId="1120" xr:uid="{00000000-0005-0000-0000-0000051C0000}"/>
    <cellStyle name="Normal 2 10" xfId="1121" xr:uid="{00000000-0005-0000-0000-0000061C0000}"/>
    <cellStyle name="Normal 2 10 2" xfId="1122" xr:uid="{00000000-0005-0000-0000-0000071C0000}"/>
    <cellStyle name="Normal 2 10 2 10" xfId="13387" xr:uid="{00000000-0005-0000-0000-0000081C0000}"/>
    <cellStyle name="Normal 2 11" xfId="1123" xr:uid="{00000000-0005-0000-0000-0000091C0000}"/>
    <cellStyle name="Normal 2 12" xfId="1124" xr:uid="{00000000-0005-0000-0000-00000A1C0000}"/>
    <cellStyle name="Normal 2 13" xfId="1125" xr:uid="{00000000-0005-0000-0000-00000B1C0000}"/>
    <cellStyle name="Normal 2 14" xfId="1126" xr:uid="{00000000-0005-0000-0000-00000C1C0000}"/>
    <cellStyle name="Normal 2 15" xfId="1127" xr:uid="{00000000-0005-0000-0000-00000D1C0000}"/>
    <cellStyle name="Normal 2 16" xfId="1128" xr:uid="{00000000-0005-0000-0000-00000E1C0000}"/>
    <cellStyle name="Normal 2 17" xfId="1129" xr:uid="{00000000-0005-0000-0000-00000F1C0000}"/>
    <cellStyle name="Normal 2 18" xfId="1130" xr:uid="{00000000-0005-0000-0000-0000101C0000}"/>
    <cellStyle name="Normal 2 19" xfId="1131" xr:uid="{00000000-0005-0000-0000-0000111C0000}"/>
    <cellStyle name="Normal 2 2" xfId="1132" xr:uid="{00000000-0005-0000-0000-0000121C0000}"/>
    <cellStyle name="Normal 2 2 10" xfId="1133" xr:uid="{00000000-0005-0000-0000-0000131C0000}"/>
    <cellStyle name="Normal 2 2 11" xfId="1134" xr:uid="{00000000-0005-0000-0000-0000141C0000}"/>
    <cellStyle name="Normal 2 2 12" xfId="1135" xr:uid="{00000000-0005-0000-0000-0000151C0000}"/>
    <cellStyle name="Normal 2 2 13" xfId="1136" xr:uid="{00000000-0005-0000-0000-0000161C0000}"/>
    <cellStyle name="Normal 2 2 14" xfId="1137" xr:uid="{00000000-0005-0000-0000-0000171C0000}"/>
    <cellStyle name="Normal 2 2 15" xfId="1138" xr:uid="{00000000-0005-0000-0000-0000181C0000}"/>
    <cellStyle name="Normal 2 2 16" xfId="1139" xr:uid="{00000000-0005-0000-0000-0000191C0000}"/>
    <cellStyle name="Normal 2 2 2" xfId="1140" xr:uid="{00000000-0005-0000-0000-00001A1C0000}"/>
    <cellStyle name="Normal 2 2 2 10" xfId="13386" xr:uid="{00000000-0005-0000-0000-00001B1C0000}"/>
    <cellStyle name="Normal 2 2 2 2" xfId="1141" xr:uid="{00000000-0005-0000-0000-00001C1C0000}"/>
    <cellStyle name="Normal 2 2 2 2 10" xfId="1142" xr:uid="{00000000-0005-0000-0000-00001D1C0000}"/>
    <cellStyle name="Normal 2 2 2 2 2" xfId="1143" xr:uid="{00000000-0005-0000-0000-00001E1C0000}"/>
    <cellStyle name="Normal 2 2 2 2 3" xfId="1144" xr:uid="{00000000-0005-0000-0000-00001F1C0000}"/>
    <cellStyle name="Normal 2 2 2 2 3 2" xfId="1145" xr:uid="{00000000-0005-0000-0000-0000201C0000}"/>
    <cellStyle name="Normal 2 2 2 2 3 3" xfId="1146" xr:uid="{00000000-0005-0000-0000-0000211C0000}"/>
    <cellStyle name="Normal 2 2 2 2 3 4" xfId="1147" xr:uid="{00000000-0005-0000-0000-0000221C0000}"/>
    <cellStyle name="Normal 2 2 2 2 3 5" xfId="1148" xr:uid="{00000000-0005-0000-0000-0000231C0000}"/>
    <cellStyle name="Normal 2 2 2 2 3 6" xfId="1149" xr:uid="{00000000-0005-0000-0000-0000241C0000}"/>
    <cellStyle name="Normal 2 2 2 2 3 7" xfId="1150" xr:uid="{00000000-0005-0000-0000-0000251C0000}"/>
    <cellStyle name="Normal 2 2 2 2 4" xfId="1151" xr:uid="{00000000-0005-0000-0000-0000261C0000}"/>
    <cellStyle name="Normal 2 2 2 2 5" xfId="1152" xr:uid="{00000000-0005-0000-0000-0000271C0000}"/>
    <cellStyle name="Normal 2 2 2 2 6" xfId="1153" xr:uid="{00000000-0005-0000-0000-0000281C0000}"/>
    <cellStyle name="Normal 2 2 2 2 7" xfId="1154" xr:uid="{00000000-0005-0000-0000-0000291C0000}"/>
    <cellStyle name="Normal 2 2 2 2 8" xfId="1155" xr:uid="{00000000-0005-0000-0000-00002A1C0000}"/>
    <cellStyle name="Normal 2 2 2 2 9" xfId="1156" xr:uid="{00000000-0005-0000-0000-00002B1C0000}"/>
    <cellStyle name="Normal 2 2 2 3" xfId="1157" xr:uid="{00000000-0005-0000-0000-00002C1C0000}"/>
    <cellStyle name="Normal 2 2 2 3 2" xfId="1158" xr:uid="{00000000-0005-0000-0000-00002D1C0000}"/>
    <cellStyle name="Normal 2 2 2 3 2 2" xfId="1159" xr:uid="{00000000-0005-0000-0000-00002E1C0000}"/>
    <cellStyle name="Normal 2 2 2 3 2 3" xfId="1160" xr:uid="{00000000-0005-0000-0000-00002F1C0000}"/>
    <cellStyle name="Normal 2 2 2 3 2 4" xfId="1161" xr:uid="{00000000-0005-0000-0000-0000301C0000}"/>
    <cellStyle name="Normal 2 2 2 3 2 5" xfId="1162" xr:uid="{00000000-0005-0000-0000-0000311C0000}"/>
    <cellStyle name="Normal 2 2 2 3 2 6" xfId="1163" xr:uid="{00000000-0005-0000-0000-0000321C0000}"/>
    <cellStyle name="Normal 2 2 2 3 3" xfId="1164" xr:uid="{00000000-0005-0000-0000-0000331C0000}"/>
    <cellStyle name="Normal 2 2 2 3 4" xfId="1165" xr:uid="{00000000-0005-0000-0000-0000341C0000}"/>
    <cellStyle name="Normal 2 2 2 3 5" xfId="1166" xr:uid="{00000000-0005-0000-0000-0000351C0000}"/>
    <cellStyle name="Normal 2 2 2 3 6" xfId="1167" xr:uid="{00000000-0005-0000-0000-0000361C0000}"/>
    <cellStyle name="Normal 2 2 2 4" xfId="1168" xr:uid="{00000000-0005-0000-0000-0000371C0000}"/>
    <cellStyle name="Normal 2 2 2 5" xfId="1169" xr:uid="{00000000-0005-0000-0000-0000381C0000}"/>
    <cellStyle name="Normal 2 2 2 6" xfId="1170" xr:uid="{00000000-0005-0000-0000-0000391C0000}"/>
    <cellStyle name="Normal 2 2 2 7" xfId="1171" xr:uid="{00000000-0005-0000-0000-00003A1C0000}"/>
    <cellStyle name="Normal 2 2 3" xfId="1172" xr:uid="{00000000-0005-0000-0000-00003B1C0000}"/>
    <cellStyle name="Normal 2 2 3 2" xfId="1173" xr:uid="{00000000-0005-0000-0000-00003C1C0000}"/>
    <cellStyle name="Normal 2 2 3 2 2" xfId="1174" xr:uid="{00000000-0005-0000-0000-00003D1C0000}"/>
    <cellStyle name="Normal 2 2 3 2 3" xfId="1175" xr:uid="{00000000-0005-0000-0000-00003E1C0000}"/>
    <cellStyle name="Normal 2 2 3 2 4" xfId="1176" xr:uid="{00000000-0005-0000-0000-00003F1C0000}"/>
    <cellStyle name="Normal 2 2 3 2 5" xfId="1177" xr:uid="{00000000-0005-0000-0000-0000401C0000}"/>
    <cellStyle name="Normal 2 2 3 2 6" xfId="1178" xr:uid="{00000000-0005-0000-0000-0000411C0000}"/>
    <cellStyle name="Normal 2 2 3 2 7" xfId="1179" xr:uid="{00000000-0005-0000-0000-0000421C0000}"/>
    <cellStyle name="Normal 2 2 3 3" xfId="1180" xr:uid="{00000000-0005-0000-0000-0000431C0000}"/>
    <cellStyle name="Normal 2 2 3 4" xfId="1181" xr:uid="{00000000-0005-0000-0000-0000441C0000}"/>
    <cellStyle name="Normal 2 2 3 5" xfId="1182" xr:uid="{00000000-0005-0000-0000-0000451C0000}"/>
    <cellStyle name="Normal 2 2 3 6" xfId="1183" xr:uid="{00000000-0005-0000-0000-0000461C0000}"/>
    <cellStyle name="Normal 2 2 3 7" xfId="1184" xr:uid="{00000000-0005-0000-0000-0000471C0000}"/>
    <cellStyle name="Normal 2 2 3 8" xfId="1185" xr:uid="{00000000-0005-0000-0000-0000481C0000}"/>
    <cellStyle name="Normal 2 2 3 9" xfId="1186" xr:uid="{00000000-0005-0000-0000-0000491C0000}"/>
    <cellStyle name="Normal 2 2 4" xfId="1187" xr:uid="{00000000-0005-0000-0000-00004A1C0000}"/>
    <cellStyle name="Normal 2 2 4 2" xfId="1188" xr:uid="{00000000-0005-0000-0000-00004B1C0000}"/>
    <cellStyle name="Normal 2 2 4 3" xfId="1189" xr:uid="{00000000-0005-0000-0000-00004C1C0000}"/>
    <cellStyle name="Normal 2 2 4 4" xfId="1190" xr:uid="{00000000-0005-0000-0000-00004D1C0000}"/>
    <cellStyle name="Normal 2 2 4 5" xfId="1191" xr:uid="{00000000-0005-0000-0000-00004E1C0000}"/>
    <cellStyle name="Normal 2 2 4 6" xfId="1192" xr:uid="{00000000-0005-0000-0000-00004F1C0000}"/>
    <cellStyle name="Normal 2 2 4 7" xfId="1193" xr:uid="{00000000-0005-0000-0000-0000501C0000}"/>
    <cellStyle name="Normal 2 2 5" xfId="1194" xr:uid="{00000000-0005-0000-0000-0000511C0000}"/>
    <cellStyle name="Normal 2 2 6" xfId="1195" xr:uid="{00000000-0005-0000-0000-0000521C0000}"/>
    <cellStyle name="Normal 2 2 7" xfId="1196" xr:uid="{00000000-0005-0000-0000-0000531C0000}"/>
    <cellStyle name="Normal 2 2 8" xfId="1197" xr:uid="{00000000-0005-0000-0000-0000541C0000}"/>
    <cellStyle name="Normal 2 2 9" xfId="1198" xr:uid="{00000000-0005-0000-0000-0000551C0000}"/>
    <cellStyle name="Normal 2 20" xfId="1199" xr:uid="{00000000-0005-0000-0000-0000561C0000}"/>
    <cellStyle name="Normal 2 21" xfId="1200" xr:uid="{00000000-0005-0000-0000-0000571C0000}"/>
    <cellStyle name="Normal 2 22" xfId="1201" xr:uid="{00000000-0005-0000-0000-0000581C0000}"/>
    <cellStyle name="Normal 2 3" xfId="1202" xr:uid="{00000000-0005-0000-0000-0000591C0000}"/>
    <cellStyle name="Normal 2 3 2" xfId="1203" xr:uid="{00000000-0005-0000-0000-00005A1C0000}"/>
    <cellStyle name="Normal 2 3 2 10" xfId="1204" xr:uid="{00000000-0005-0000-0000-00005B1C0000}"/>
    <cellStyle name="Normal 2 3 2 11" xfId="1205" xr:uid="{00000000-0005-0000-0000-00005C1C0000}"/>
    <cellStyle name="Normal 2 3 2 12" xfId="1206" xr:uid="{00000000-0005-0000-0000-00005D1C0000}"/>
    <cellStyle name="Normal 2 3 2 13" xfId="1207" xr:uid="{00000000-0005-0000-0000-00005E1C0000}"/>
    <cellStyle name="Normal 2 3 2 2" xfId="1208" xr:uid="{00000000-0005-0000-0000-00005F1C0000}"/>
    <cellStyle name="Normal 2 3 2 2 2" xfId="1209" xr:uid="{00000000-0005-0000-0000-0000601C0000}"/>
    <cellStyle name="Normal 2 3 2 2 3" xfId="1210" xr:uid="{00000000-0005-0000-0000-0000611C0000}"/>
    <cellStyle name="Normal 2 3 2 2 4" xfId="1211" xr:uid="{00000000-0005-0000-0000-0000621C0000}"/>
    <cellStyle name="Normal 2 3 2 2 5" xfId="1212" xr:uid="{00000000-0005-0000-0000-0000631C0000}"/>
    <cellStyle name="Normal 2 3 2 2 6" xfId="1213" xr:uid="{00000000-0005-0000-0000-0000641C0000}"/>
    <cellStyle name="Normal 2 3 2 2 7" xfId="1214" xr:uid="{00000000-0005-0000-0000-0000651C0000}"/>
    <cellStyle name="Normal 2 3 2 3" xfId="1215" xr:uid="{00000000-0005-0000-0000-0000661C0000}"/>
    <cellStyle name="Normal 2 3 2 4" xfId="1216" xr:uid="{00000000-0005-0000-0000-0000671C0000}"/>
    <cellStyle name="Normal 2 3 2 5" xfId="1217" xr:uid="{00000000-0005-0000-0000-0000681C0000}"/>
    <cellStyle name="Normal 2 3 2 6" xfId="1218" xr:uid="{00000000-0005-0000-0000-0000691C0000}"/>
    <cellStyle name="Normal 2 3 2 7" xfId="1219" xr:uid="{00000000-0005-0000-0000-00006A1C0000}"/>
    <cellStyle name="Normal 2 3 2 8" xfId="1220" xr:uid="{00000000-0005-0000-0000-00006B1C0000}"/>
    <cellStyle name="Normal 2 3 2 9" xfId="1221" xr:uid="{00000000-0005-0000-0000-00006C1C0000}"/>
    <cellStyle name="Normal 2 3 3" xfId="1222" xr:uid="{00000000-0005-0000-0000-00006D1C0000}"/>
    <cellStyle name="Normal 2 3 3 2" xfId="1223" xr:uid="{00000000-0005-0000-0000-00006E1C0000}"/>
    <cellStyle name="Normal 2 3 3 3" xfId="1224" xr:uid="{00000000-0005-0000-0000-00006F1C0000}"/>
    <cellStyle name="Normal 2 3 3 4" xfId="1225" xr:uid="{00000000-0005-0000-0000-0000701C0000}"/>
    <cellStyle name="Normal 2 3 3 5" xfId="1226" xr:uid="{00000000-0005-0000-0000-0000711C0000}"/>
    <cellStyle name="Normal 2 3 3 6" xfId="1227" xr:uid="{00000000-0005-0000-0000-0000721C0000}"/>
    <cellStyle name="Normal 2 3 3 7" xfId="1228" xr:uid="{00000000-0005-0000-0000-0000731C0000}"/>
    <cellStyle name="Normal 2 3 4" xfId="1229" xr:uid="{00000000-0005-0000-0000-0000741C0000}"/>
    <cellStyle name="Normal 2 3 5" xfId="1230" xr:uid="{00000000-0005-0000-0000-0000751C0000}"/>
    <cellStyle name="Normal 2 3 6" xfId="1231" xr:uid="{00000000-0005-0000-0000-0000761C0000}"/>
    <cellStyle name="Normal 2 3 7" xfId="1232" xr:uid="{00000000-0005-0000-0000-0000771C0000}"/>
    <cellStyle name="Normal 2 3 8" xfId="1233" xr:uid="{00000000-0005-0000-0000-0000781C0000}"/>
    <cellStyle name="Normal 2 3_Phuluc_kem_TT_Vu_NSNN_20190603162431" xfId="1234" xr:uid="{00000000-0005-0000-0000-0000791C0000}"/>
    <cellStyle name="Normal 2 4" xfId="1235" xr:uid="{00000000-0005-0000-0000-00007A1C0000}"/>
    <cellStyle name="Normal 2 4 2" xfId="1236" xr:uid="{00000000-0005-0000-0000-00007B1C0000}"/>
    <cellStyle name="Normal 2 4 2 2" xfId="1237" xr:uid="{00000000-0005-0000-0000-00007C1C0000}"/>
    <cellStyle name="Normal 2 4 2 3" xfId="1238" xr:uid="{00000000-0005-0000-0000-00007D1C0000}"/>
    <cellStyle name="Normal 2 4 2 4" xfId="1239" xr:uid="{00000000-0005-0000-0000-00007E1C0000}"/>
    <cellStyle name="Normal 2 4 2 5" xfId="1240" xr:uid="{00000000-0005-0000-0000-00007F1C0000}"/>
    <cellStyle name="Normal 2 4 2 6" xfId="1241" xr:uid="{00000000-0005-0000-0000-0000801C0000}"/>
    <cellStyle name="Normal 2 4 3" xfId="1242" xr:uid="{00000000-0005-0000-0000-0000811C0000}"/>
    <cellStyle name="Normal 2 4 4" xfId="1243" xr:uid="{00000000-0005-0000-0000-0000821C0000}"/>
    <cellStyle name="Normal 2 4 5" xfId="1244" xr:uid="{00000000-0005-0000-0000-0000831C0000}"/>
    <cellStyle name="Normal 2 4 6" xfId="1245" xr:uid="{00000000-0005-0000-0000-0000841C0000}"/>
    <cellStyle name="Normal 2 5" xfId="1246" xr:uid="{00000000-0005-0000-0000-0000851C0000}"/>
    <cellStyle name="Normal 2 5 2" xfId="1247" xr:uid="{00000000-0005-0000-0000-0000861C0000}"/>
    <cellStyle name="Normal 2 5 2 2" xfId="1248" xr:uid="{00000000-0005-0000-0000-0000871C0000}"/>
    <cellStyle name="Normal 2 5 2 3" xfId="1249" xr:uid="{00000000-0005-0000-0000-0000881C0000}"/>
    <cellStyle name="Normal 2 5 2 4" xfId="1250" xr:uid="{00000000-0005-0000-0000-0000891C0000}"/>
    <cellStyle name="Normal 2 5 2 5" xfId="1251" xr:uid="{00000000-0005-0000-0000-00008A1C0000}"/>
    <cellStyle name="Normal 2 5 2 6" xfId="1252" xr:uid="{00000000-0005-0000-0000-00008B1C0000}"/>
    <cellStyle name="Normal 2 5 3" xfId="1253" xr:uid="{00000000-0005-0000-0000-00008C1C0000}"/>
    <cellStyle name="Normal 2 5 4" xfId="1254" xr:uid="{00000000-0005-0000-0000-00008D1C0000}"/>
    <cellStyle name="Normal 2 5 5" xfId="1255" xr:uid="{00000000-0005-0000-0000-00008E1C0000}"/>
    <cellStyle name="Normal 2 5 6" xfId="1256" xr:uid="{00000000-0005-0000-0000-00008F1C0000}"/>
    <cellStyle name="Normal 2 5 7" xfId="1257" xr:uid="{00000000-0005-0000-0000-0000901C0000}"/>
    <cellStyle name="Normal 2 5_Phuluc_kem_TT_Vu_NSNN_20190603162431" xfId="1258" xr:uid="{00000000-0005-0000-0000-0000911C0000}"/>
    <cellStyle name="Normal 2 6" xfId="1259" xr:uid="{00000000-0005-0000-0000-0000921C0000}"/>
    <cellStyle name="Normal 2 6 2" xfId="1260" xr:uid="{00000000-0005-0000-0000-0000931C0000}"/>
    <cellStyle name="Normal 2 6 3" xfId="6792" xr:uid="{00000000-0005-0000-0000-0000941C0000}"/>
    <cellStyle name="Normal 2 6 4" xfId="8253" xr:uid="{00000000-0005-0000-0000-0000951C0000}"/>
    <cellStyle name="Normal 2 6 5" xfId="10283" xr:uid="{00000000-0005-0000-0000-0000961C0000}"/>
    <cellStyle name="Normal 2 6 9" xfId="1261" xr:uid="{00000000-0005-0000-0000-0000971C0000}"/>
    <cellStyle name="Normal 2 6 9 2" xfId="6804" xr:uid="{00000000-0005-0000-0000-0000981C0000}"/>
    <cellStyle name="Normal 2 6 9 3" xfId="8254" xr:uid="{00000000-0005-0000-0000-0000991C0000}"/>
    <cellStyle name="Normal 2 6 9 4" xfId="10284" xr:uid="{00000000-0005-0000-0000-00009A1C0000}"/>
    <cellStyle name="Normal 2 7" xfId="1262" xr:uid="{00000000-0005-0000-0000-00009B1C0000}"/>
    <cellStyle name="Normal 2 8" xfId="1263" xr:uid="{00000000-0005-0000-0000-00009C1C0000}"/>
    <cellStyle name="Normal 2 9" xfId="1264" xr:uid="{00000000-0005-0000-0000-00009D1C0000}"/>
    <cellStyle name="Normal 2_01 TT38" xfId="1265" xr:uid="{00000000-0005-0000-0000-00009E1C0000}"/>
    <cellStyle name="Normal 20" xfId="6785" xr:uid="{00000000-0005-0000-0000-00009F1C0000}"/>
    <cellStyle name="Normal 20 2" xfId="1266" xr:uid="{00000000-0005-0000-0000-0000A01C0000}"/>
    <cellStyle name="Normal 20 2 2" xfId="6805" xr:uid="{00000000-0005-0000-0000-0000A11C0000}"/>
    <cellStyle name="Normal 20 2 3" xfId="8255" xr:uid="{00000000-0005-0000-0000-0000A21C0000}"/>
    <cellStyle name="Normal 20 2 4" xfId="10285" xr:uid="{00000000-0005-0000-0000-0000A31C0000}"/>
    <cellStyle name="Normal 21" xfId="1267" xr:uid="{00000000-0005-0000-0000-0000A41C0000}"/>
    <cellStyle name="Normal 22" xfId="6795" xr:uid="{00000000-0005-0000-0000-0000A51C0000}"/>
    <cellStyle name="Normal 23" xfId="1268" xr:uid="{00000000-0005-0000-0000-0000A61C0000}"/>
    <cellStyle name="Normal 24" xfId="1269" xr:uid="{00000000-0005-0000-0000-0000A71C0000}"/>
    <cellStyle name="Normal 25" xfId="1270" xr:uid="{00000000-0005-0000-0000-0000A81C0000}"/>
    <cellStyle name="Normal 26" xfId="1271" xr:uid="{00000000-0005-0000-0000-0000A91C0000}"/>
    <cellStyle name="Normal 27" xfId="1272" xr:uid="{00000000-0005-0000-0000-0000AA1C0000}"/>
    <cellStyle name="Normal 28" xfId="1273" xr:uid="{00000000-0005-0000-0000-0000AB1C0000}"/>
    <cellStyle name="Normal 28 2" xfId="1274" xr:uid="{00000000-0005-0000-0000-0000AC1C0000}"/>
    <cellStyle name="Normal 28 3" xfId="1275" xr:uid="{00000000-0005-0000-0000-0000AD1C0000}"/>
    <cellStyle name="Normal 28 4" xfId="1276" xr:uid="{00000000-0005-0000-0000-0000AE1C0000}"/>
    <cellStyle name="Normal 28 5" xfId="1277" xr:uid="{00000000-0005-0000-0000-0000AF1C0000}"/>
    <cellStyle name="Normal 28 6" xfId="1278" xr:uid="{00000000-0005-0000-0000-0000B01C0000}"/>
    <cellStyle name="Normal 29" xfId="1279" xr:uid="{00000000-0005-0000-0000-0000B11C0000}"/>
    <cellStyle name="Normal 3" xfId="1280" xr:uid="{00000000-0005-0000-0000-0000B21C0000}"/>
    <cellStyle name="Normal 3 10" xfId="1281" xr:uid="{00000000-0005-0000-0000-0000B31C0000}"/>
    <cellStyle name="Normal 3 2" xfId="1282" xr:uid="{00000000-0005-0000-0000-0000B41C0000}"/>
    <cellStyle name="Normal 3 2 2" xfId="1283" xr:uid="{00000000-0005-0000-0000-0000B51C0000}"/>
    <cellStyle name="Normal 3 2 2 2" xfId="1284" xr:uid="{00000000-0005-0000-0000-0000B61C0000}"/>
    <cellStyle name="Normal 3 2 2 3" xfId="1285" xr:uid="{00000000-0005-0000-0000-0000B71C0000}"/>
    <cellStyle name="Normal 3 2 2 4" xfId="1286" xr:uid="{00000000-0005-0000-0000-0000B81C0000}"/>
    <cellStyle name="Normal 3 2 2 5" xfId="1287" xr:uid="{00000000-0005-0000-0000-0000B91C0000}"/>
    <cellStyle name="Normal 3 2 2 6" xfId="1288" xr:uid="{00000000-0005-0000-0000-0000BA1C0000}"/>
    <cellStyle name="Normal 3 2 3" xfId="1289" xr:uid="{00000000-0005-0000-0000-0000BB1C0000}"/>
    <cellStyle name="Normal 3 2 3 2" xfId="1290" xr:uid="{00000000-0005-0000-0000-0000BC1C0000}"/>
    <cellStyle name="Normal 3 2 3 2 2" xfId="6806" xr:uid="{00000000-0005-0000-0000-0000BD1C0000}"/>
    <cellStyle name="Normal 3 2 3 2 3" xfId="8256" xr:uid="{00000000-0005-0000-0000-0000BE1C0000}"/>
    <cellStyle name="Normal 3 2 3 2 4" xfId="10286" xr:uid="{00000000-0005-0000-0000-0000BF1C0000}"/>
    <cellStyle name="Normal 3 2 3 3" xfId="1291" xr:uid="{00000000-0005-0000-0000-0000C01C0000}"/>
    <cellStyle name="Normal 3 2 3 3 2" xfId="6807" xr:uid="{00000000-0005-0000-0000-0000C11C0000}"/>
    <cellStyle name="Normal 3 2 3 3 3" xfId="8257" xr:uid="{00000000-0005-0000-0000-0000C21C0000}"/>
    <cellStyle name="Normal 3 2 3 3 4" xfId="10287" xr:uid="{00000000-0005-0000-0000-0000C31C0000}"/>
    <cellStyle name="Normal 3 2 3 4" xfId="1292" xr:uid="{00000000-0005-0000-0000-0000C41C0000}"/>
    <cellStyle name="Normal 3 2 3 4 2" xfId="6808" xr:uid="{00000000-0005-0000-0000-0000C51C0000}"/>
    <cellStyle name="Normal 3 2 3 4 3" xfId="8258" xr:uid="{00000000-0005-0000-0000-0000C61C0000}"/>
    <cellStyle name="Normal 3 2 3 4 4" xfId="10288" xr:uid="{00000000-0005-0000-0000-0000C71C0000}"/>
    <cellStyle name="Normal 3 2 3 5" xfId="1293" xr:uid="{00000000-0005-0000-0000-0000C81C0000}"/>
    <cellStyle name="Normal 3 2 3 5 2" xfId="6809" xr:uid="{00000000-0005-0000-0000-0000C91C0000}"/>
    <cellStyle name="Normal 3 2 3 5 3" xfId="8259" xr:uid="{00000000-0005-0000-0000-0000CA1C0000}"/>
    <cellStyle name="Normal 3 2 3 5 4" xfId="10289" xr:uid="{00000000-0005-0000-0000-0000CB1C0000}"/>
    <cellStyle name="Normal 3 2 3 6" xfId="1294" xr:uid="{00000000-0005-0000-0000-0000CC1C0000}"/>
    <cellStyle name="Normal 3 2 3 6 2" xfId="6810" xr:uid="{00000000-0005-0000-0000-0000CD1C0000}"/>
    <cellStyle name="Normal 3 2 3 6 3" xfId="8260" xr:uid="{00000000-0005-0000-0000-0000CE1C0000}"/>
    <cellStyle name="Normal 3 2 3 6 4" xfId="10290" xr:uid="{00000000-0005-0000-0000-0000CF1C0000}"/>
    <cellStyle name="Normal 3 2 4" xfId="1295" xr:uid="{00000000-0005-0000-0000-0000D01C0000}"/>
    <cellStyle name="Normal 3 2 5" xfId="1296" xr:uid="{00000000-0005-0000-0000-0000D11C0000}"/>
    <cellStyle name="Normal 3 2 6" xfId="1297" xr:uid="{00000000-0005-0000-0000-0000D21C0000}"/>
    <cellStyle name="Normal 3 2 7" xfId="1298" xr:uid="{00000000-0005-0000-0000-0000D31C0000}"/>
    <cellStyle name="Normal 3 3" xfId="1299" xr:uid="{00000000-0005-0000-0000-0000D41C0000}"/>
    <cellStyle name="Normal 3 3 2" xfId="1300" xr:uid="{00000000-0005-0000-0000-0000D51C0000}"/>
    <cellStyle name="Normal 3 3 2 2" xfId="1301" xr:uid="{00000000-0005-0000-0000-0000D61C0000}"/>
    <cellStyle name="Normal 3 3 2 3" xfId="1302" xr:uid="{00000000-0005-0000-0000-0000D71C0000}"/>
    <cellStyle name="Normal 3 3 2 4" xfId="1303" xr:uid="{00000000-0005-0000-0000-0000D81C0000}"/>
    <cellStyle name="Normal 3 3 2 5" xfId="1304" xr:uid="{00000000-0005-0000-0000-0000D91C0000}"/>
    <cellStyle name="Normal 3 3 2 6" xfId="1305" xr:uid="{00000000-0005-0000-0000-0000DA1C0000}"/>
    <cellStyle name="Normal 3 3 3" xfId="1306" xr:uid="{00000000-0005-0000-0000-0000DB1C0000}"/>
    <cellStyle name="Normal 3 3 4" xfId="1307" xr:uid="{00000000-0005-0000-0000-0000DC1C0000}"/>
    <cellStyle name="Normal 3 3 5" xfId="1308" xr:uid="{00000000-0005-0000-0000-0000DD1C0000}"/>
    <cellStyle name="Normal 3 3 6" xfId="1309" xr:uid="{00000000-0005-0000-0000-0000DE1C0000}"/>
    <cellStyle name="Normal 3 3 7" xfId="1310" xr:uid="{00000000-0005-0000-0000-0000DF1C0000}"/>
    <cellStyle name="Normal 3 4" xfId="1311" xr:uid="{00000000-0005-0000-0000-0000E01C0000}"/>
    <cellStyle name="Normal 3 5" xfId="1312" xr:uid="{00000000-0005-0000-0000-0000E11C0000}"/>
    <cellStyle name="Normal 3 6" xfId="1313" xr:uid="{00000000-0005-0000-0000-0000E21C0000}"/>
    <cellStyle name="Normal 3 7" xfId="1314" xr:uid="{00000000-0005-0000-0000-0000E31C0000}"/>
    <cellStyle name="Normal 3 8" xfId="1315" xr:uid="{00000000-0005-0000-0000-0000E41C0000}"/>
    <cellStyle name="Normal 3_01 TT38" xfId="1316" xr:uid="{00000000-0005-0000-0000-0000E51C0000}"/>
    <cellStyle name="Normal 30" xfId="1317" xr:uid="{00000000-0005-0000-0000-0000E61C0000}"/>
    <cellStyle name="Normal 30 2" xfId="1318" xr:uid="{00000000-0005-0000-0000-0000E71C0000}"/>
    <cellStyle name="Normal 30 2 2" xfId="1319" xr:uid="{00000000-0005-0000-0000-0000E81C0000}"/>
    <cellStyle name="Normal 30 2 3" xfId="1320" xr:uid="{00000000-0005-0000-0000-0000E91C0000}"/>
    <cellStyle name="Normal 30 2 4" xfId="1321" xr:uid="{00000000-0005-0000-0000-0000EA1C0000}"/>
    <cellStyle name="Normal 30 2 5" xfId="1322" xr:uid="{00000000-0005-0000-0000-0000EB1C0000}"/>
    <cellStyle name="Normal 30 2 6" xfId="1323" xr:uid="{00000000-0005-0000-0000-0000EC1C0000}"/>
    <cellStyle name="Normal 30 2 7" xfId="1324" xr:uid="{00000000-0005-0000-0000-0000ED1C0000}"/>
    <cellStyle name="Normal 30 3" xfId="1325" xr:uid="{00000000-0005-0000-0000-0000EE1C0000}"/>
    <cellStyle name="Normal 30 4" xfId="1326" xr:uid="{00000000-0005-0000-0000-0000EF1C0000}"/>
    <cellStyle name="Normal 30 5" xfId="1327" xr:uid="{00000000-0005-0000-0000-0000F01C0000}"/>
    <cellStyle name="Normal 30 6" xfId="1328" xr:uid="{00000000-0005-0000-0000-0000F11C0000}"/>
    <cellStyle name="Normal 30 7" xfId="1329" xr:uid="{00000000-0005-0000-0000-0000F21C0000}"/>
    <cellStyle name="Normal 30 8" xfId="1330" xr:uid="{00000000-0005-0000-0000-0000F31C0000}"/>
    <cellStyle name="Normal 30 9" xfId="1331" xr:uid="{00000000-0005-0000-0000-0000F41C0000}"/>
    <cellStyle name="Normal 31" xfId="1332" xr:uid="{00000000-0005-0000-0000-0000F51C0000}"/>
    <cellStyle name="Normal 31 2" xfId="1333" xr:uid="{00000000-0005-0000-0000-0000F61C0000}"/>
    <cellStyle name="Normal 31 2 2" xfId="1334" xr:uid="{00000000-0005-0000-0000-0000F71C0000}"/>
    <cellStyle name="Normal 31 2 3" xfId="1335" xr:uid="{00000000-0005-0000-0000-0000F81C0000}"/>
    <cellStyle name="Normal 31 2 4" xfId="1336" xr:uid="{00000000-0005-0000-0000-0000F91C0000}"/>
    <cellStyle name="Normal 31 2 5" xfId="1337" xr:uid="{00000000-0005-0000-0000-0000FA1C0000}"/>
    <cellStyle name="Normal 31 2 6" xfId="1338" xr:uid="{00000000-0005-0000-0000-0000FB1C0000}"/>
    <cellStyle name="Normal 31 2 7" xfId="1339" xr:uid="{00000000-0005-0000-0000-0000FC1C0000}"/>
    <cellStyle name="Normal 31 3" xfId="1340" xr:uid="{00000000-0005-0000-0000-0000FD1C0000}"/>
    <cellStyle name="Normal 31 4" xfId="1341" xr:uid="{00000000-0005-0000-0000-0000FE1C0000}"/>
    <cellStyle name="Normal 31 5" xfId="1342" xr:uid="{00000000-0005-0000-0000-0000FF1C0000}"/>
    <cellStyle name="Normal 31 6" xfId="1343" xr:uid="{00000000-0005-0000-0000-0000001D0000}"/>
    <cellStyle name="Normal 31 7" xfId="1344" xr:uid="{00000000-0005-0000-0000-0000011D0000}"/>
    <cellStyle name="Normal 31 8" xfId="1345" xr:uid="{00000000-0005-0000-0000-0000021D0000}"/>
    <cellStyle name="Normal 31 9" xfId="1346" xr:uid="{00000000-0005-0000-0000-0000031D0000}"/>
    <cellStyle name="Normal 32" xfId="1347" xr:uid="{00000000-0005-0000-0000-0000041D0000}"/>
    <cellStyle name="Normal 33" xfId="6796" xr:uid="{00000000-0005-0000-0000-0000051D0000}"/>
    <cellStyle name="Normal 34" xfId="6797" xr:uid="{00000000-0005-0000-0000-0000061D0000}"/>
    <cellStyle name="Normal 34 2" xfId="13415" xr:uid="{00000000-0005-0000-0000-0000071D0000}"/>
    <cellStyle name="Normal 35" xfId="13391" xr:uid="{00000000-0005-0000-0000-0000081D0000}"/>
    <cellStyle name="Normal 37" xfId="1348" xr:uid="{00000000-0005-0000-0000-0000091D0000}"/>
    <cellStyle name="Normal 38" xfId="1349" xr:uid="{00000000-0005-0000-0000-00000A1D0000}"/>
    <cellStyle name="Normal 39" xfId="1350" xr:uid="{00000000-0005-0000-0000-00000B1D0000}"/>
    <cellStyle name="Normal 39 2" xfId="1351" xr:uid="{00000000-0005-0000-0000-00000C1D0000}"/>
    <cellStyle name="Normal 39 3" xfId="1352" xr:uid="{00000000-0005-0000-0000-00000D1D0000}"/>
    <cellStyle name="Normal 4" xfId="1353" xr:uid="{00000000-0005-0000-0000-00000E1D0000}"/>
    <cellStyle name="Normal 4 2" xfId="1354" xr:uid="{00000000-0005-0000-0000-00000F1D0000}"/>
    <cellStyle name="Normal 4 2 2" xfId="1355" xr:uid="{00000000-0005-0000-0000-0000101D0000}"/>
    <cellStyle name="Normal 4 2 2 10" xfId="1952" xr:uid="{00000000-0005-0000-0000-0000111D0000}"/>
    <cellStyle name="Normal 4 2 2 11" xfId="2721" xr:uid="{00000000-0005-0000-0000-0000121D0000}"/>
    <cellStyle name="Normal 4 2 2 12" xfId="2393" xr:uid="{00000000-0005-0000-0000-0000131D0000}"/>
    <cellStyle name="Normal 4 2 2 13" xfId="4331" xr:uid="{00000000-0005-0000-0000-0000141D0000}"/>
    <cellStyle name="Normal 4 2 2 14" xfId="5832" xr:uid="{00000000-0005-0000-0000-0000151D0000}"/>
    <cellStyle name="Normal 4 2 2 15" xfId="8261" xr:uid="{00000000-0005-0000-0000-0000161D0000}"/>
    <cellStyle name="Normal 4 2 2 16" xfId="10291" xr:uid="{00000000-0005-0000-0000-0000171D0000}"/>
    <cellStyle name="Normal 4 2 2 2" xfId="1356" xr:uid="{00000000-0005-0000-0000-0000181D0000}"/>
    <cellStyle name="Normal 4 2 2 2 2" xfId="1357" xr:uid="{00000000-0005-0000-0000-0000191D0000}"/>
    <cellStyle name="Normal 4 2 2 2 3" xfId="1358" xr:uid="{00000000-0005-0000-0000-00001A1D0000}"/>
    <cellStyle name="Normal 4 2 2 2 4" xfId="1359" xr:uid="{00000000-0005-0000-0000-00001B1D0000}"/>
    <cellStyle name="Normal 4 2 2 2 5" xfId="1360" xr:uid="{00000000-0005-0000-0000-00001C1D0000}"/>
    <cellStyle name="Normal 4 2 2 2 6" xfId="1361" xr:uid="{00000000-0005-0000-0000-00001D1D0000}"/>
    <cellStyle name="Normal 4 2 2 3" xfId="1362" xr:uid="{00000000-0005-0000-0000-00001E1D0000}"/>
    <cellStyle name="Normal 4 2 2 4" xfId="1363" xr:uid="{00000000-0005-0000-0000-00001F1D0000}"/>
    <cellStyle name="Normal 4 2 2 5" xfId="1364" xr:uid="{00000000-0005-0000-0000-0000201D0000}"/>
    <cellStyle name="Normal 4 2 2 6" xfId="1365" xr:uid="{00000000-0005-0000-0000-0000211D0000}"/>
    <cellStyle name="Normal 4 2 2 7" xfId="1730" xr:uid="{00000000-0005-0000-0000-0000221D0000}"/>
    <cellStyle name="Normal 4 2 2 8" xfId="1705" xr:uid="{00000000-0005-0000-0000-0000231D0000}"/>
    <cellStyle name="Normal 4 2 2 9" xfId="2036" xr:uid="{00000000-0005-0000-0000-0000241D0000}"/>
    <cellStyle name="Normal 4 2 3" xfId="1366" xr:uid="{00000000-0005-0000-0000-0000251D0000}"/>
    <cellStyle name="Normal 4 2 4" xfId="1367" xr:uid="{00000000-0005-0000-0000-0000261D0000}"/>
    <cellStyle name="Normal 4 2 4 10" xfId="8262" xr:uid="{00000000-0005-0000-0000-0000271D0000}"/>
    <cellStyle name="Normal 4 2 4 11" xfId="10292" xr:uid="{00000000-0005-0000-0000-0000281D0000}"/>
    <cellStyle name="Normal 4 2 4 2" xfId="1731" xr:uid="{00000000-0005-0000-0000-0000291D0000}"/>
    <cellStyle name="Normal 4 2 4 3" xfId="1704" xr:uid="{00000000-0005-0000-0000-00002A1D0000}"/>
    <cellStyle name="Normal 4 2 4 4" xfId="2037" xr:uid="{00000000-0005-0000-0000-00002B1D0000}"/>
    <cellStyle name="Normal 4 2 4 5" xfId="2182" xr:uid="{00000000-0005-0000-0000-00002C1D0000}"/>
    <cellStyle name="Normal 4 2 4 6" xfId="2727" xr:uid="{00000000-0005-0000-0000-00002D1D0000}"/>
    <cellStyle name="Normal 4 2 4 7" xfId="2392" xr:uid="{00000000-0005-0000-0000-00002E1D0000}"/>
    <cellStyle name="Normal 4 2 4 8" xfId="4334" xr:uid="{00000000-0005-0000-0000-00002F1D0000}"/>
    <cellStyle name="Normal 4 2 4 9" xfId="5833" xr:uid="{00000000-0005-0000-0000-0000301D0000}"/>
    <cellStyle name="Normal 4 2 5" xfId="1368" xr:uid="{00000000-0005-0000-0000-0000311D0000}"/>
    <cellStyle name="Normal 4 2 5 10" xfId="8263" xr:uid="{00000000-0005-0000-0000-0000321D0000}"/>
    <cellStyle name="Normal 4 2 5 11" xfId="10293" xr:uid="{00000000-0005-0000-0000-0000331D0000}"/>
    <cellStyle name="Normal 4 2 5 2" xfId="1732" xr:uid="{00000000-0005-0000-0000-0000341D0000}"/>
    <cellStyle name="Normal 4 2 5 3" xfId="1703" xr:uid="{00000000-0005-0000-0000-0000351D0000}"/>
    <cellStyle name="Normal 4 2 5 4" xfId="2038" xr:uid="{00000000-0005-0000-0000-0000361D0000}"/>
    <cellStyle name="Normal 4 2 5 5" xfId="2183" xr:uid="{00000000-0005-0000-0000-0000371D0000}"/>
    <cellStyle name="Normal 4 2 5 6" xfId="2728" xr:uid="{00000000-0005-0000-0000-0000381D0000}"/>
    <cellStyle name="Normal 4 2 5 7" xfId="2391" xr:uid="{00000000-0005-0000-0000-0000391D0000}"/>
    <cellStyle name="Normal 4 2 5 8" xfId="4336" xr:uid="{00000000-0005-0000-0000-00003A1D0000}"/>
    <cellStyle name="Normal 4 2 5 9" xfId="5834" xr:uid="{00000000-0005-0000-0000-00003B1D0000}"/>
    <cellStyle name="Normal 4 2 6" xfId="1369" xr:uid="{00000000-0005-0000-0000-00003C1D0000}"/>
    <cellStyle name="Normal 4 2 6 10" xfId="8264" xr:uid="{00000000-0005-0000-0000-00003D1D0000}"/>
    <cellStyle name="Normal 4 2 6 11" xfId="10294" xr:uid="{00000000-0005-0000-0000-00003E1D0000}"/>
    <cellStyle name="Normal 4 2 6 2" xfId="1733" xr:uid="{00000000-0005-0000-0000-00003F1D0000}"/>
    <cellStyle name="Normal 4 2 6 3" xfId="1701" xr:uid="{00000000-0005-0000-0000-0000401D0000}"/>
    <cellStyle name="Normal 4 2 6 4" xfId="2039" xr:uid="{00000000-0005-0000-0000-0000411D0000}"/>
    <cellStyle name="Normal 4 2 6 5" xfId="2185" xr:uid="{00000000-0005-0000-0000-0000421D0000}"/>
    <cellStyle name="Normal 4 2 6 6" xfId="2730" xr:uid="{00000000-0005-0000-0000-0000431D0000}"/>
    <cellStyle name="Normal 4 2 6 7" xfId="2390" xr:uid="{00000000-0005-0000-0000-0000441D0000}"/>
    <cellStyle name="Normal 4 2 6 8" xfId="4339" xr:uid="{00000000-0005-0000-0000-0000451D0000}"/>
    <cellStyle name="Normal 4 2 6 9" xfId="5835" xr:uid="{00000000-0005-0000-0000-0000461D0000}"/>
    <cellStyle name="Normal 4 2 7" xfId="1370" xr:uid="{00000000-0005-0000-0000-0000471D0000}"/>
    <cellStyle name="Normal 4 2 7 10" xfId="8265" xr:uid="{00000000-0005-0000-0000-0000481D0000}"/>
    <cellStyle name="Normal 4 2 7 11" xfId="10295" xr:uid="{00000000-0005-0000-0000-0000491D0000}"/>
    <cellStyle name="Normal 4 2 7 2" xfId="1734" xr:uid="{00000000-0005-0000-0000-00004A1D0000}"/>
    <cellStyle name="Normal 4 2 7 3" xfId="1700" xr:uid="{00000000-0005-0000-0000-00004B1D0000}"/>
    <cellStyle name="Normal 4 2 7 4" xfId="2040" xr:uid="{00000000-0005-0000-0000-00004C1D0000}"/>
    <cellStyle name="Normal 4 2 7 5" xfId="2160" xr:uid="{00000000-0005-0000-0000-00004D1D0000}"/>
    <cellStyle name="Normal 4 2 7 6" xfId="2732" xr:uid="{00000000-0005-0000-0000-00004E1D0000}"/>
    <cellStyle name="Normal 4 2 7 7" xfId="2389" xr:uid="{00000000-0005-0000-0000-00004F1D0000}"/>
    <cellStyle name="Normal 4 2 7 8" xfId="4340" xr:uid="{00000000-0005-0000-0000-0000501D0000}"/>
    <cellStyle name="Normal 4 2 7 9" xfId="5836" xr:uid="{00000000-0005-0000-0000-0000511D0000}"/>
    <cellStyle name="Normal 4 3" xfId="1371" xr:uid="{00000000-0005-0000-0000-0000521D0000}"/>
    <cellStyle name="Normal 4 3 10" xfId="8266" xr:uid="{00000000-0005-0000-0000-0000531D0000}"/>
    <cellStyle name="Normal 4 3 11" xfId="10296" xr:uid="{00000000-0005-0000-0000-0000541D0000}"/>
    <cellStyle name="Normal 4 3 2" xfId="1735" xr:uid="{00000000-0005-0000-0000-0000551D0000}"/>
    <cellStyle name="Normal 4 3 3" xfId="1699" xr:uid="{00000000-0005-0000-0000-0000561D0000}"/>
    <cellStyle name="Normal 4 3 4" xfId="2041" xr:uid="{00000000-0005-0000-0000-0000571D0000}"/>
    <cellStyle name="Normal 4 3 5" xfId="2184" xr:uid="{00000000-0005-0000-0000-0000581D0000}"/>
    <cellStyle name="Normal 4 3 6" xfId="2733" xr:uid="{00000000-0005-0000-0000-0000591D0000}"/>
    <cellStyle name="Normal 4 3 7" xfId="2388" xr:uid="{00000000-0005-0000-0000-00005A1D0000}"/>
    <cellStyle name="Normal 4 3 8" xfId="4342" xr:uid="{00000000-0005-0000-0000-00005B1D0000}"/>
    <cellStyle name="Normal 4 3 9" xfId="5837" xr:uid="{00000000-0005-0000-0000-00005C1D0000}"/>
    <cellStyle name="Normal 4 4" xfId="1372" xr:uid="{00000000-0005-0000-0000-00005D1D0000}"/>
    <cellStyle name="Normal 4 5" xfId="1373" xr:uid="{00000000-0005-0000-0000-00005E1D0000}"/>
    <cellStyle name="Normal 4 6" xfId="1374" xr:uid="{00000000-0005-0000-0000-00005F1D0000}"/>
    <cellStyle name="Normal 4 7" xfId="1375" xr:uid="{00000000-0005-0000-0000-0000601D0000}"/>
    <cellStyle name="Normal 4 8" xfId="1376" xr:uid="{00000000-0005-0000-0000-0000611D0000}"/>
    <cellStyle name="Normal 4 9" xfId="1377" xr:uid="{00000000-0005-0000-0000-0000621D0000}"/>
    <cellStyle name="Normal 4_01 TT38" xfId="6793" xr:uid="{00000000-0005-0000-0000-0000631D0000}"/>
    <cellStyle name="Normal 44" xfId="1378" xr:uid="{00000000-0005-0000-0000-0000641D0000}"/>
    <cellStyle name="Normal 45 2" xfId="1379" xr:uid="{00000000-0005-0000-0000-0000651D0000}"/>
    <cellStyle name="Normal 46" xfId="1380" xr:uid="{00000000-0005-0000-0000-0000661D0000}"/>
    <cellStyle name="Normal 47" xfId="1381" xr:uid="{00000000-0005-0000-0000-0000671D0000}"/>
    <cellStyle name="Normal 47 2" xfId="1382" xr:uid="{00000000-0005-0000-0000-0000681D0000}"/>
    <cellStyle name="Normal 47 7" xfId="13388" xr:uid="{00000000-0005-0000-0000-0000691D0000}"/>
    <cellStyle name="Normal 48" xfId="1383" xr:uid="{00000000-0005-0000-0000-00006A1D0000}"/>
    <cellStyle name="Normal 49" xfId="1384" xr:uid="{00000000-0005-0000-0000-00006B1D0000}"/>
    <cellStyle name="Normal 5" xfId="1385" xr:uid="{00000000-0005-0000-0000-00006C1D0000}"/>
    <cellStyle name="Normal 5 11" xfId="1386" xr:uid="{00000000-0005-0000-0000-00006D1D0000}"/>
    <cellStyle name="Normal 5 11 6" xfId="13389" xr:uid="{00000000-0005-0000-0000-00006E1D0000}"/>
    <cellStyle name="Normal 5 2" xfId="1387" xr:uid="{00000000-0005-0000-0000-00006F1D0000}"/>
    <cellStyle name="Normal 5 2 2" xfId="1388" xr:uid="{00000000-0005-0000-0000-0000701D0000}"/>
    <cellStyle name="Normal 5 2 2 2" xfId="1389" xr:uid="{00000000-0005-0000-0000-0000711D0000}"/>
    <cellStyle name="Normal 5 2 2 3" xfId="1390" xr:uid="{00000000-0005-0000-0000-0000721D0000}"/>
    <cellStyle name="Normal 5 2 2 4" xfId="1391" xr:uid="{00000000-0005-0000-0000-0000731D0000}"/>
    <cellStyle name="Normal 5 2 2 5" xfId="1392" xr:uid="{00000000-0005-0000-0000-0000741D0000}"/>
    <cellStyle name="Normal 5 2 2 6" xfId="1393" xr:uid="{00000000-0005-0000-0000-0000751D0000}"/>
    <cellStyle name="Normal 5 3" xfId="1394" xr:uid="{00000000-0005-0000-0000-0000761D0000}"/>
    <cellStyle name="Normal 5_Phuluc_kem_TT_Vu_NSNN_20190603162431" xfId="1395" xr:uid="{00000000-0005-0000-0000-0000771D0000}"/>
    <cellStyle name="Normal 50" xfId="1396" xr:uid="{00000000-0005-0000-0000-0000781D0000}"/>
    <cellStyle name="Normal 50 2" xfId="1397" xr:uid="{00000000-0005-0000-0000-0000791D0000}"/>
    <cellStyle name="Normal 50 7" xfId="13390" xr:uid="{00000000-0005-0000-0000-00007A1D0000}"/>
    <cellStyle name="Normal 51" xfId="1398" xr:uid="{00000000-0005-0000-0000-00007B1D0000}"/>
    <cellStyle name="Normal 52" xfId="1399" xr:uid="{00000000-0005-0000-0000-00007C1D0000}"/>
    <cellStyle name="Normal 53" xfId="1400" xr:uid="{00000000-0005-0000-0000-00007D1D0000}"/>
    <cellStyle name="Normal 53 3" xfId="1617" xr:uid="{00000000-0005-0000-0000-00007E1D0000}"/>
    <cellStyle name="Normal 54" xfId="1401" xr:uid="{00000000-0005-0000-0000-00007F1D0000}"/>
    <cellStyle name="Normal 55" xfId="1402" xr:uid="{00000000-0005-0000-0000-0000801D0000}"/>
    <cellStyle name="Normal 56" xfId="1403" xr:uid="{00000000-0005-0000-0000-0000811D0000}"/>
    <cellStyle name="Normal 59" xfId="13413" xr:uid="{00000000-0005-0000-0000-0000821D0000}"/>
    <cellStyle name="Normal 6" xfId="1404" xr:uid="{00000000-0005-0000-0000-0000831D0000}"/>
    <cellStyle name="Normal 6 2" xfId="1405" xr:uid="{00000000-0005-0000-0000-0000841D0000}"/>
    <cellStyle name="Normal 6 2 2" xfId="1406" xr:uid="{00000000-0005-0000-0000-0000851D0000}"/>
    <cellStyle name="Normal 6 2 3" xfId="1407" xr:uid="{00000000-0005-0000-0000-0000861D0000}"/>
    <cellStyle name="Normal 6 2 4" xfId="1408" xr:uid="{00000000-0005-0000-0000-0000871D0000}"/>
    <cellStyle name="Normal 6 2 5" xfId="1409" xr:uid="{00000000-0005-0000-0000-0000881D0000}"/>
    <cellStyle name="Normal 6 2 6" xfId="1410" xr:uid="{00000000-0005-0000-0000-0000891D0000}"/>
    <cellStyle name="Normal 6 3" xfId="1411" xr:uid="{00000000-0005-0000-0000-00008A1D0000}"/>
    <cellStyle name="Normal 6 3 2" xfId="1412" xr:uid="{00000000-0005-0000-0000-00008B1D0000}"/>
    <cellStyle name="Normal 6 3 3" xfId="1413" xr:uid="{00000000-0005-0000-0000-00008C1D0000}"/>
    <cellStyle name="Normal 6 3 4" xfId="1414" xr:uid="{00000000-0005-0000-0000-00008D1D0000}"/>
    <cellStyle name="Normal 6 3 5" xfId="1415" xr:uid="{00000000-0005-0000-0000-00008E1D0000}"/>
    <cellStyle name="Normal 6 3 6" xfId="1416" xr:uid="{00000000-0005-0000-0000-00008F1D0000}"/>
    <cellStyle name="Normal 6 4" xfId="1417" xr:uid="{00000000-0005-0000-0000-0000901D0000}"/>
    <cellStyle name="Normal 6 5" xfId="1418" xr:uid="{00000000-0005-0000-0000-0000911D0000}"/>
    <cellStyle name="Normal 6 6" xfId="1419" xr:uid="{00000000-0005-0000-0000-0000921D0000}"/>
    <cellStyle name="Normal 6 7" xfId="1420" xr:uid="{00000000-0005-0000-0000-0000931D0000}"/>
    <cellStyle name="Normal 6 8" xfId="1421" xr:uid="{00000000-0005-0000-0000-0000941D0000}"/>
    <cellStyle name="Normal 6_01 TT38" xfId="6794" xr:uid="{00000000-0005-0000-0000-0000951D0000}"/>
    <cellStyle name="Normal 7" xfId="1422" xr:uid="{00000000-0005-0000-0000-0000961D0000}"/>
    <cellStyle name="Normal 7 2" xfId="1423" xr:uid="{00000000-0005-0000-0000-0000971D0000}"/>
    <cellStyle name="Normal 7 2 2" xfId="1424" xr:uid="{00000000-0005-0000-0000-0000981D0000}"/>
    <cellStyle name="Normal 7 3" xfId="1425" xr:uid="{00000000-0005-0000-0000-0000991D0000}"/>
    <cellStyle name="Normal 7 4" xfId="1426" xr:uid="{00000000-0005-0000-0000-00009A1D0000}"/>
    <cellStyle name="Normal 7 5" xfId="1427" xr:uid="{00000000-0005-0000-0000-00009B1D0000}"/>
    <cellStyle name="Normal 7_01 TT38" xfId="1428" xr:uid="{00000000-0005-0000-0000-00009C1D0000}"/>
    <cellStyle name="Normal 8" xfId="1429" xr:uid="{00000000-0005-0000-0000-00009D1D0000}"/>
    <cellStyle name="Normal 8 2" xfId="1430" xr:uid="{00000000-0005-0000-0000-00009E1D0000}"/>
    <cellStyle name="Normal 8 3" xfId="1431" xr:uid="{00000000-0005-0000-0000-00009F1D0000}"/>
    <cellStyle name="Normal 8 3 2" xfId="1432" xr:uid="{00000000-0005-0000-0000-0000A01D0000}"/>
    <cellStyle name="Normal 8 3 2 2" xfId="1433" xr:uid="{00000000-0005-0000-0000-0000A11D0000}"/>
    <cellStyle name="Normal 8 3 2 3" xfId="1434" xr:uid="{00000000-0005-0000-0000-0000A21D0000}"/>
    <cellStyle name="Normal 8 3 2 4" xfId="1435" xr:uid="{00000000-0005-0000-0000-0000A31D0000}"/>
    <cellStyle name="Normal 8 3 2 5" xfId="1436" xr:uid="{00000000-0005-0000-0000-0000A41D0000}"/>
    <cellStyle name="Normal 8 3 2 6" xfId="1437" xr:uid="{00000000-0005-0000-0000-0000A51D0000}"/>
    <cellStyle name="Normal 8 3 2 7" xfId="1438" xr:uid="{00000000-0005-0000-0000-0000A61D0000}"/>
    <cellStyle name="Normal 8 3 3" xfId="1439" xr:uid="{00000000-0005-0000-0000-0000A71D0000}"/>
    <cellStyle name="Normal 8 3 4" xfId="1440" xr:uid="{00000000-0005-0000-0000-0000A81D0000}"/>
    <cellStyle name="Normal 8 3 5" xfId="1441" xr:uid="{00000000-0005-0000-0000-0000A91D0000}"/>
    <cellStyle name="Normal 8 3 6" xfId="1442" xr:uid="{00000000-0005-0000-0000-0000AA1D0000}"/>
    <cellStyle name="Normal 8 3 7" xfId="1443" xr:uid="{00000000-0005-0000-0000-0000AB1D0000}"/>
    <cellStyle name="Normal 8 3 8" xfId="1444" xr:uid="{00000000-0005-0000-0000-0000AC1D0000}"/>
    <cellStyle name="Normal 8 3 9" xfId="1445" xr:uid="{00000000-0005-0000-0000-0000AD1D0000}"/>
    <cellStyle name="Normal 8 4" xfId="1446" xr:uid="{00000000-0005-0000-0000-0000AE1D0000}"/>
    <cellStyle name="Normal 8 5" xfId="1447" xr:uid="{00000000-0005-0000-0000-0000AF1D0000}"/>
    <cellStyle name="Normal 9" xfId="1448" xr:uid="{00000000-0005-0000-0000-0000B01D0000}"/>
    <cellStyle name="Normal 9 2" xfId="1449" xr:uid="{00000000-0005-0000-0000-0000B11D0000}"/>
    <cellStyle name="Normal 9 3" xfId="1450" xr:uid="{00000000-0005-0000-0000-0000B21D0000}"/>
    <cellStyle name="Normal 9_BieuHD2016-2020Tquang2(OK)" xfId="1451" xr:uid="{00000000-0005-0000-0000-0000B31D0000}"/>
    <cellStyle name="Normal_Bang dự toán cấp 0" xfId="1452" xr:uid="{00000000-0005-0000-0000-0000B41D0000}"/>
    <cellStyle name="Normal_bieu giao du toan 2015 DV tu dam bao toan bo" xfId="1453" xr:uid="{00000000-0005-0000-0000-0000B51D0000}"/>
    <cellStyle name="Normal_Du toan Van phong So nam 2019." xfId="1454" xr:uid="{00000000-0005-0000-0000-0000B61D0000}"/>
    <cellStyle name="Normal_H050925- Mau TTCP giao nhiem vu chi 2006" xfId="1455" xr:uid="{00000000-0005-0000-0000-0000B71D0000}"/>
    <cellStyle name="Normal_Mau bieu (slide) 2" xfId="13383" xr:uid="{00000000-0005-0000-0000-0000B81D0000}"/>
    <cellStyle name="Normal_PTHO" xfId="1456" xr:uid="{00000000-0005-0000-0000-0000B91D0000}"/>
    <cellStyle name="Normal_Sheet1" xfId="1457" xr:uid="{00000000-0005-0000-0000-0000BA1D0000}"/>
    <cellStyle name="Normal_Sheet1 2" xfId="13412" xr:uid="{00000000-0005-0000-0000-0000BB1D0000}"/>
    <cellStyle name="Normal_Sheet2" xfId="1458" xr:uid="{00000000-0005-0000-0000-0000BC1D0000}"/>
    <cellStyle name="Normal_Thuyet minh co so" xfId="1459" xr:uid="{00000000-0005-0000-0000-0000BE1D0000}"/>
    <cellStyle name="Normal_tong hop du toan 2015bieu03" xfId="1460" xr:uid="{00000000-0005-0000-0000-0000BD1D0000}"/>
    <cellStyle name="Normal_Vu Quan ly QH_BieuBaocaoQuyhoach2011 2" xfId="1461" xr:uid="{00000000-0005-0000-0000-0000BF1D0000}"/>
    <cellStyle name="Normal1" xfId="1462" xr:uid="{00000000-0005-0000-0000-0000C01D0000}"/>
    <cellStyle name="Normale_ PESO ELETTR." xfId="1463" xr:uid="{00000000-0005-0000-0000-0000C11D0000}"/>
    <cellStyle name="Normalny_Cennik obowiazuje od 06-08-2001 r (1)" xfId="1464" xr:uid="{00000000-0005-0000-0000-0000C21D0000}"/>
    <cellStyle name="Note 2" xfId="1465" xr:uid="{00000000-0005-0000-0000-0000C31D0000}"/>
    <cellStyle name="Note 2 10" xfId="4358" xr:uid="{00000000-0005-0000-0000-0000C41D0000}"/>
    <cellStyle name="Note 2 10 2" xfId="7633" xr:uid="{00000000-0005-0000-0000-0000C51D0000}"/>
    <cellStyle name="Note 2 10 2 2" xfId="7118" xr:uid="{00000000-0005-0000-0000-0000C61D0000}"/>
    <cellStyle name="Note 2 10 2 2 2" xfId="9769" xr:uid="{00000000-0005-0000-0000-0000C71D0000}"/>
    <cellStyle name="Note 2 10 2 2 2 2" xfId="9394" xr:uid="{00000000-0005-0000-0000-0000C81D0000}"/>
    <cellStyle name="Note 2 10 2 2 2 2 2" xfId="13024" xr:uid="{00000000-0005-0000-0000-0000C91D0000}"/>
    <cellStyle name="Note 2 10 2 2 2 3" xfId="11367" xr:uid="{00000000-0005-0000-0000-0000CA1D0000}"/>
    <cellStyle name="Note 2 10 2 2 3" xfId="11742" xr:uid="{00000000-0005-0000-0000-0000CB1D0000}"/>
    <cellStyle name="Note 2 10 2 3" xfId="8693" xr:uid="{00000000-0005-0000-0000-0000CC1D0000}"/>
    <cellStyle name="Note 2 10 2 3 2" xfId="12714" xr:uid="{00000000-0005-0000-0000-0000CD1D0000}"/>
    <cellStyle name="Note 2 10 2 4" xfId="10723" xr:uid="{00000000-0005-0000-0000-0000CE1D0000}"/>
    <cellStyle name="Note 2 10 3" xfId="7716" xr:uid="{00000000-0005-0000-0000-0000CF1D0000}"/>
    <cellStyle name="Note 2 10 3 2" xfId="6818" xr:uid="{00000000-0005-0000-0000-0000D01D0000}"/>
    <cellStyle name="Note 2 10 3 2 2" xfId="9835" xr:uid="{00000000-0005-0000-0000-0000D11D0000}"/>
    <cellStyle name="Note 2 10 3 2 2 2" xfId="9166" xr:uid="{00000000-0005-0000-0000-0000D21D0000}"/>
    <cellStyle name="Note 2 10 3 2 2 2 2" xfId="12806" xr:uid="{00000000-0005-0000-0000-0000D31D0000}"/>
    <cellStyle name="Note 2 10 3 2 2 3" xfId="11139" xr:uid="{00000000-0005-0000-0000-0000D41D0000}"/>
    <cellStyle name="Note 2 10 3 2 3" xfId="11808" xr:uid="{00000000-0005-0000-0000-0000D51D0000}"/>
    <cellStyle name="Note 2 10 3 3" xfId="8771" xr:uid="{00000000-0005-0000-0000-0000D61D0000}"/>
    <cellStyle name="Note 2 10 3 3 2" xfId="12417" xr:uid="{00000000-0005-0000-0000-0000D71D0000}"/>
    <cellStyle name="Note 2 10 3 4" xfId="10801" xr:uid="{00000000-0005-0000-0000-0000D81D0000}"/>
    <cellStyle name="Note 2 10 4" xfId="7525" xr:uid="{00000000-0005-0000-0000-0000D91D0000}"/>
    <cellStyle name="Note 2 10 4 2" xfId="7190" xr:uid="{00000000-0005-0000-0000-0000DA1D0000}"/>
    <cellStyle name="Note 2 10 4 2 2" xfId="9440" xr:uid="{00000000-0005-0000-0000-0000DB1D0000}"/>
    <cellStyle name="Note 2 10 4 2 2 2" xfId="13070" xr:uid="{00000000-0005-0000-0000-0000DC1D0000}"/>
    <cellStyle name="Note 2 10 4 2 3" xfId="11413" xr:uid="{00000000-0005-0000-0000-0000DD1D0000}"/>
    <cellStyle name="Note 2 10 4 3" xfId="8591" xr:uid="{00000000-0005-0000-0000-0000DE1D0000}"/>
    <cellStyle name="Note 2 10 4 3 2" xfId="12676" xr:uid="{00000000-0005-0000-0000-0000DF1D0000}"/>
    <cellStyle name="Note 2 10 4 4" xfId="10621" xr:uid="{00000000-0005-0000-0000-0000E01D0000}"/>
    <cellStyle name="Note 2 10 5" xfId="7587" xr:uid="{00000000-0005-0000-0000-0000E11D0000}"/>
    <cellStyle name="Note 2 10 5 2" xfId="7169" xr:uid="{00000000-0005-0000-0000-0000E21D0000}"/>
    <cellStyle name="Note 2 10 5 2 2" xfId="9734" xr:uid="{00000000-0005-0000-0000-0000E31D0000}"/>
    <cellStyle name="Note 2 10 5 2 2 2" xfId="9428" xr:uid="{00000000-0005-0000-0000-0000E41D0000}"/>
    <cellStyle name="Note 2 10 5 2 2 2 2" xfId="13058" xr:uid="{00000000-0005-0000-0000-0000E51D0000}"/>
    <cellStyle name="Note 2 10 5 2 2 3" xfId="11401" xr:uid="{00000000-0005-0000-0000-0000E61D0000}"/>
    <cellStyle name="Note 2 10 5 2 3" xfId="11707" xr:uid="{00000000-0005-0000-0000-0000E71D0000}"/>
    <cellStyle name="Note 2 10 5 3" xfId="8650" xr:uid="{00000000-0005-0000-0000-0000E81D0000}"/>
    <cellStyle name="Note 2 10 5 3 2" xfId="12341" xr:uid="{00000000-0005-0000-0000-0000E91D0000}"/>
    <cellStyle name="Note 2 10 5 4" xfId="10680" xr:uid="{00000000-0005-0000-0000-0000EA1D0000}"/>
    <cellStyle name="Note 2 10 6" xfId="7578" xr:uid="{00000000-0005-0000-0000-0000EB1D0000}"/>
    <cellStyle name="Note 2 10 6 2" xfId="7207" xr:uid="{00000000-0005-0000-0000-0000EC1D0000}"/>
    <cellStyle name="Note 2 10 6 2 2" xfId="9729" xr:uid="{00000000-0005-0000-0000-0000ED1D0000}"/>
    <cellStyle name="Note 2 10 6 2 2 2" xfId="9451" xr:uid="{00000000-0005-0000-0000-0000EE1D0000}"/>
    <cellStyle name="Note 2 10 6 2 2 2 2" xfId="13078" xr:uid="{00000000-0005-0000-0000-0000EF1D0000}"/>
    <cellStyle name="Note 2 10 6 2 2 3" xfId="11424" xr:uid="{00000000-0005-0000-0000-0000F01D0000}"/>
    <cellStyle name="Note 2 10 6 2 3" xfId="11702" xr:uid="{00000000-0005-0000-0000-0000F11D0000}"/>
    <cellStyle name="Note 2 10 6 3" xfId="8642" xr:uid="{00000000-0005-0000-0000-0000F21D0000}"/>
    <cellStyle name="Note 2 10 6 3 2" xfId="12340" xr:uid="{00000000-0005-0000-0000-0000F31D0000}"/>
    <cellStyle name="Note 2 10 6 4" xfId="10672" xr:uid="{00000000-0005-0000-0000-0000F41D0000}"/>
    <cellStyle name="Note 2 10 7" xfId="7903" xr:uid="{00000000-0005-0000-0000-0000F51D0000}"/>
    <cellStyle name="Note 2 10 7 2" xfId="8051" xr:uid="{00000000-0005-0000-0000-0000F61D0000}"/>
    <cellStyle name="Note 2 10 7 2 2" xfId="9989" xr:uid="{00000000-0005-0000-0000-0000F71D0000}"/>
    <cellStyle name="Note 2 10 7 2 2 2" xfId="10083" xr:uid="{00000000-0005-0000-0000-0000F81D0000}"/>
    <cellStyle name="Note 2 10 7 2 2 2 2" xfId="13281" xr:uid="{00000000-0005-0000-0000-0000F91D0000}"/>
    <cellStyle name="Note 2 10 7 2 2 3" xfId="12056" xr:uid="{00000000-0005-0000-0000-0000FA1D0000}"/>
    <cellStyle name="Note 2 10 7 2 3" xfId="11962" xr:uid="{00000000-0005-0000-0000-0000FB1D0000}"/>
    <cellStyle name="Note 2 10 7 3" xfId="8146" xr:uid="{00000000-0005-0000-0000-0000FC1D0000}"/>
    <cellStyle name="Note 2 10 7 3 2" xfId="10176" xr:uid="{00000000-0005-0000-0000-0000FD1D0000}"/>
    <cellStyle name="Note 2 10 7 3 2 2" xfId="13369" xr:uid="{00000000-0005-0000-0000-0000FE1D0000}"/>
    <cellStyle name="Note 2 10 7 3 3" xfId="12149" xr:uid="{00000000-0005-0000-0000-0000FF1D0000}"/>
    <cellStyle name="Note 2 10 7 4" xfId="8949" xr:uid="{00000000-0005-0000-0000-0000001E0000}"/>
    <cellStyle name="Note 2 10 7 4 2" xfId="12496" xr:uid="{00000000-0005-0000-0000-0000011E0000}"/>
    <cellStyle name="Note 2 10 7 5" xfId="10979" xr:uid="{00000000-0005-0000-0000-0000021E0000}"/>
    <cellStyle name="Note 2 10 8" xfId="8353" xr:uid="{00000000-0005-0000-0000-0000031E0000}"/>
    <cellStyle name="Note 2 10 8 2" xfId="9151" xr:uid="{00000000-0005-0000-0000-0000041E0000}"/>
    <cellStyle name="Note 2 10 8 2 2" xfId="12569" xr:uid="{00000000-0005-0000-0000-0000051E0000}"/>
    <cellStyle name="Note 2 10 8 3" xfId="11124" xr:uid="{00000000-0005-0000-0000-0000061E0000}"/>
    <cellStyle name="Note 2 10 9" xfId="10383" xr:uid="{00000000-0005-0000-0000-0000071E0000}"/>
    <cellStyle name="Note 2 11" xfId="5838" xr:uid="{00000000-0005-0000-0000-0000081E0000}"/>
    <cellStyle name="Note 2 11 2" xfId="7338" xr:uid="{00000000-0005-0000-0000-0000091E0000}"/>
    <cellStyle name="Note 2 11 2 2" xfId="7289" xr:uid="{00000000-0005-0000-0000-00000A1E0000}"/>
    <cellStyle name="Note 2 11 2 2 2" xfId="9547" xr:uid="{00000000-0005-0000-0000-00000B1E0000}"/>
    <cellStyle name="Note 2 11 2 2 2 2" xfId="9511" xr:uid="{00000000-0005-0000-0000-00000C1E0000}"/>
    <cellStyle name="Note 2 11 2 2 2 2 2" xfId="13134" xr:uid="{00000000-0005-0000-0000-00000D1E0000}"/>
    <cellStyle name="Note 2 11 2 2 2 3" xfId="11484" xr:uid="{00000000-0005-0000-0000-00000E1E0000}"/>
    <cellStyle name="Note 2 11 2 2 3" xfId="11520" xr:uid="{00000000-0005-0000-0000-00000F1E0000}"/>
    <cellStyle name="Note 2 11 2 3" xfId="8410" xr:uid="{00000000-0005-0000-0000-0000101E0000}"/>
    <cellStyle name="Note 2 11 2 3 2" xfId="12602" xr:uid="{00000000-0005-0000-0000-0000111E0000}"/>
    <cellStyle name="Note 2 11 2 4" xfId="10440" xr:uid="{00000000-0005-0000-0000-0000121E0000}"/>
    <cellStyle name="Note 2 11 3" xfId="7647" xr:uid="{00000000-0005-0000-0000-0000131E0000}"/>
    <cellStyle name="Note 2 11 3 2" xfId="7259" xr:uid="{00000000-0005-0000-0000-0000141E0000}"/>
    <cellStyle name="Note 2 11 3 2 2" xfId="9778" xr:uid="{00000000-0005-0000-0000-0000151E0000}"/>
    <cellStyle name="Note 2 11 3 2 2 2" xfId="9490" xr:uid="{00000000-0005-0000-0000-0000161E0000}"/>
    <cellStyle name="Note 2 11 3 2 2 2 2" xfId="13114" xr:uid="{00000000-0005-0000-0000-0000171E0000}"/>
    <cellStyle name="Note 2 11 3 2 2 3" xfId="11463" xr:uid="{00000000-0005-0000-0000-0000181E0000}"/>
    <cellStyle name="Note 2 11 3 2 3" xfId="11751" xr:uid="{00000000-0005-0000-0000-0000191E0000}"/>
    <cellStyle name="Note 2 11 3 3" xfId="8705" xr:uid="{00000000-0005-0000-0000-00001A1E0000}"/>
    <cellStyle name="Note 2 11 3 3 2" xfId="12374" xr:uid="{00000000-0005-0000-0000-00001B1E0000}"/>
    <cellStyle name="Note 2 11 3 4" xfId="10735" xr:uid="{00000000-0005-0000-0000-00001C1E0000}"/>
    <cellStyle name="Note 2 11 4" xfId="7316" xr:uid="{00000000-0005-0000-0000-00001D1E0000}"/>
    <cellStyle name="Note 2 11 4 2" xfId="6854" xr:uid="{00000000-0005-0000-0000-00001E1E0000}"/>
    <cellStyle name="Note 2 11 4 2 2" xfId="9192" xr:uid="{00000000-0005-0000-0000-00001F1E0000}"/>
    <cellStyle name="Note 2 11 4 2 2 2" xfId="12832" xr:uid="{00000000-0005-0000-0000-0000201E0000}"/>
    <cellStyle name="Note 2 11 4 2 3" xfId="11165" xr:uid="{00000000-0005-0000-0000-0000211E0000}"/>
    <cellStyle name="Note 2 11 4 3" xfId="8389" xr:uid="{00000000-0005-0000-0000-0000221E0000}"/>
    <cellStyle name="Note 2 11 4 3 2" xfId="12593" xr:uid="{00000000-0005-0000-0000-0000231E0000}"/>
    <cellStyle name="Note 2 11 4 4" xfId="10419" xr:uid="{00000000-0005-0000-0000-0000241E0000}"/>
    <cellStyle name="Note 2 11 5" xfId="7382" xr:uid="{00000000-0005-0000-0000-0000251E0000}"/>
    <cellStyle name="Note 2 11 5 2" xfId="7179" xr:uid="{00000000-0005-0000-0000-0000261E0000}"/>
    <cellStyle name="Note 2 11 5 2 2" xfId="9579" xr:uid="{00000000-0005-0000-0000-0000271E0000}"/>
    <cellStyle name="Note 2 11 5 2 2 2" xfId="9434" xr:uid="{00000000-0005-0000-0000-0000281E0000}"/>
    <cellStyle name="Note 2 11 5 2 2 2 2" xfId="13064" xr:uid="{00000000-0005-0000-0000-0000291E0000}"/>
    <cellStyle name="Note 2 11 5 2 2 3" xfId="11407" xr:uid="{00000000-0005-0000-0000-00002A1E0000}"/>
    <cellStyle name="Note 2 11 5 2 3" xfId="11552" xr:uid="{00000000-0005-0000-0000-00002B1E0000}"/>
    <cellStyle name="Note 2 11 5 3" xfId="8452" xr:uid="{00000000-0005-0000-0000-00002C1E0000}"/>
    <cellStyle name="Note 2 11 5 3 2" xfId="12228" xr:uid="{00000000-0005-0000-0000-00002D1E0000}"/>
    <cellStyle name="Note 2 11 5 4" xfId="10482" xr:uid="{00000000-0005-0000-0000-00002E1E0000}"/>
    <cellStyle name="Note 2 11 6" xfId="7646" xr:uid="{00000000-0005-0000-0000-00002F1E0000}"/>
    <cellStyle name="Note 2 11 6 2" xfId="7189" xr:uid="{00000000-0005-0000-0000-0000301E0000}"/>
    <cellStyle name="Note 2 11 6 2 2" xfId="9777" xr:uid="{00000000-0005-0000-0000-0000311E0000}"/>
    <cellStyle name="Note 2 11 6 2 2 2" xfId="9439" xr:uid="{00000000-0005-0000-0000-0000321E0000}"/>
    <cellStyle name="Note 2 11 6 2 2 2 2" xfId="13069" xr:uid="{00000000-0005-0000-0000-0000331E0000}"/>
    <cellStyle name="Note 2 11 6 2 2 3" xfId="11412" xr:uid="{00000000-0005-0000-0000-0000341E0000}"/>
    <cellStyle name="Note 2 11 6 2 3" xfId="11750" xr:uid="{00000000-0005-0000-0000-0000351E0000}"/>
    <cellStyle name="Note 2 11 6 3" xfId="8704" xr:uid="{00000000-0005-0000-0000-0000361E0000}"/>
    <cellStyle name="Note 2 11 6 3 2" xfId="12373" xr:uid="{00000000-0005-0000-0000-0000371E0000}"/>
    <cellStyle name="Note 2 11 6 4" xfId="10734" xr:uid="{00000000-0005-0000-0000-0000381E0000}"/>
    <cellStyle name="Note 2 11 7" xfId="7912" xr:uid="{00000000-0005-0000-0000-0000391E0000}"/>
    <cellStyle name="Note 2 11 7 2" xfId="8059" xr:uid="{00000000-0005-0000-0000-00003A1E0000}"/>
    <cellStyle name="Note 2 11 7 2 2" xfId="9997" xr:uid="{00000000-0005-0000-0000-00003B1E0000}"/>
    <cellStyle name="Note 2 11 7 2 2 2" xfId="10090" xr:uid="{00000000-0005-0000-0000-00003C1E0000}"/>
    <cellStyle name="Note 2 11 7 2 2 2 2" xfId="13288" xr:uid="{00000000-0005-0000-0000-00003D1E0000}"/>
    <cellStyle name="Note 2 11 7 2 2 3" xfId="12063" xr:uid="{00000000-0005-0000-0000-00003E1E0000}"/>
    <cellStyle name="Note 2 11 7 2 3" xfId="11970" xr:uid="{00000000-0005-0000-0000-00003F1E0000}"/>
    <cellStyle name="Note 2 11 7 3" xfId="8154" xr:uid="{00000000-0005-0000-0000-0000401E0000}"/>
    <cellStyle name="Note 2 11 7 3 2" xfId="10184" xr:uid="{00000000-0005-0000-0000-0000411E0000}"/>
    <cellStyle name="Note 2 11 7 3 2 2" xfId="13376" xr:uid="{00000000-0005-0000-0000-0000421E0000}"/>
    <cellStyle name="Note 2 11 7 3 3" xfId="12157" xr:uid="{00000000-0005-0000-0000-0000431E0000}"/>
    <cellStyle name="Note 2 11 7 4" xfId="8958" xr:uid="{00000000-0005-0000-0000-0000441E0000}"/>
    <cellStyle name="Note 2 11 7 4 2" xfId="12503" xr:uid="{00000000-0005-0000-0000-0000451E0000}"/>
    <cellStyle name="Note 2 11 7 5" xfId="10988" xr:uid="{00000000-0005-0000-0000-0000461E0000}"/>
    <cellStyle name="Note 2 11 8" xfId="8360" xr:uid="{00000000-0005-0000-0000-0000471E0000}"/>
    <cellStyle name="Note 2 11 8 2" xfId="9158" xr:uid="{00000000-0005-0000-0000-0000481E0000}"/>
    <cellStyle name="Note 2 11 8 2 2" xfId="12576" xr:uid="{00000000-0005-0000-0000-0000491E0000}"/>
    <cellStyle name="Note 2 11 8 3" xfId="11131" xr:uid="{00000000-0005-0000-0000-00004A1E0000}"/>
    <cellStyle name="Note 2 11 9" xfId="10390" xr:uid="{00000000-0005-0000-0000-00004B1E0000}"/>
    <cellStyle name="Note 2 12" xfId="7297" xr:uid="{00000000-0005-0000-0000-00004C1E0000}"/>
    <cellStyle name="Note 2 12 2" xfId="6829" xr:uid="{00000000-0005-0000-0000-00004D1E0000}"/>
    <cellStyle name="Note 2 12 2 2" xfId="9517" xr:uid="{00000000-0005-0000-0000-00004E1E0000}"/>
    <cellStyle name="Note 2 12 2 2 2" xfId="9173" xr:uid="{00000000-0005-0000-0000-00004F1E0000}"/>
    <cellStyle name="Note 2 12 2 2 2 2" xfId="12813" xr:uid="{00000000-0005-0000-0000-0000501E0000}"/>
    <cellStyle name="Note 2 12 2 2 3" xfId="11146" xr:uid="{00000000-0005-0000-0000-0000511E0000}"/>
    <cellStyle name="Note 2 12 2 3" xfId="11490" xr:uid="{00000000-0005-0000-0000-0000521E0000}"/>
    <cellStyle name="Note 2 12 3" xfId="8370" xr:uid="{00000000-0005-0000-0000-0000531E0000}"/>
    <cellStyle name="Note 2 12 3 2" xfId="12584" xr:uid="{00000000-0005-0000-0000-0000541E0000}"/>
    <cellStyle name="Note 2 12 4" xfId="10400" xr:uid="{00000000-0005-0000-0000-0000551E0000}"/>
    <cellStyle name="Note 2 13" xfId="7736" xr:uid="{00000000-0005-0000-0000-0000561E0000}"/>
    <cellStyle name="Note 2 13 2" xfId="7940" xr:uid="{00000000-0005-0000-0000-0000571E0000}"/>
    <cellStyle name="Note 2 13 2 2" xfId="9851" xr:uid="{00000000-0005-0000-0000-0000581E0000}"/>
    <cellStyle name="Note 2 13 2 2 2" xfId="10007" xr:uid="{00000000-0005-0000-0000-0000591E0000}"/>
    <cellStyle name="Note 2 13 2 2 2 2" xfId="13222" xr:uid="{00000000-0005-0000-0000-00005A1E0000}"/>
    <cellStyle name="Note 2 13 2 2 3" xfId="11980" xr:uid="{00000000-0005-0000-0000-00005B1E0000}"/>
    <cellStyle name="Note 2 13 2 3" xfId="11824" xr:uid="{00000000-0005-0000-0000-00005C1E0000}"/>
    <cellStyle name="Note 2 13 3" xfId="8790" xr:uid="{00000000-0005-0000-0000-00005D1E0000}"/>
    <cellStyle name="Note 2 13 3 2" xfId="12432" xr:uid="{00000000-0005-0000-0000-00005E1E0000}"/>
    <cellStyle name="Note 2 13 4" xfId="10820" xr:uid="{00000000-0005-0000-0000-00005F1E0000}"/>
    <cellStyle name="Note 2 14" xfId="7681" xr:uid="{00000000-0005-0000-0000-0000601E0000}"/>
    <cellStyle name="Note 2 14 2" xfId="7054" xr:uid="{00000000-0005-0000-0000-0000611E0000}"/>
    <cellStyle name="Note 2 14 2 2" xfId="9346" xr:uid="{00000000-0005-0000-0000-0000621E0000}"/>
    <cellStyle name="Note 2 14 2 2 2" xfId="12977" xr:uid="{00000000-0005-0000-0000-0000631E0000}"/>
    <cellStyle name="Note 2 14 2 3" xfId="11319" xr:uid="{00000000-0005-0000-0000-0000641E0000}"/>
    <cellStyle name="Note 2 14 3" xfId="8736" xr:uid="{00000000-0005-0000-0000-0000651E0000}"/>
    <cellStyle name="Note 2 14 3 2" xfId="12733" xr:uid="{00000000-0005-0000-0000-0000661E0000}"/>
    <cellStyle name="Note 2 14 4" xfId="10766" xr:uid="{00000000-0005-0000-0000-0000671E0000}"/>
    <cellStyle name="Note 2 15" xfId="7607" xr:uid="{00000000-0005-0000-0000-0000681E0000}"/>
    <cellStyle name="Note 2 15 2" xfId="7030" xr:uid="{00000000-0005-0000-0000-0000691E0000}"/>
    <cellStyle name="Note 2 15 2 2" xfId="9749" xr:uid="{00000000-0005-0000-0000-00006A1E0000}"/>
    <cellStyle name="Note 2 15 2 2 2" xfId="9326" xr:uid="{00000000-0005-0000-0000-00006B1E0000}"/>
    <cellStyle name="Note 2 15 2 2 2 2" xfId="12957" xr:uid="{00000000-0005-0000-0000-00006C1E0000}"/>
    <cellStyle name="Note 2 15 2 2 3" xfId="11299" xr:uid="{00000000-0005-0000-0000-00006D1E0000}"/>
    <cellStyle name="Note 2 15 2 3" xfId="11722" xr:uid="{00000000-0005-0000-0000-00006E1E0000}"/>
    <cellStyle name="Note 2 15 3" xfId="8669" xr:uid="{00000000-0005-0000-0000-00006F1E0000}"/>
    <cellStyle name="Note 2 15 3 2" xfId="12355" xr:uid="{00000000-0005-0000-0000-0000701E0000}"/>
    <cellStyle name="Note 2 15 4" xfId="10699" xr:uid="{00000000-0005-0000-0000-0000711E0000}"/>
    <cellStyle name="Note 2 16" xfId="7754" xr:uid="{00000000-0005-0000-0000-0000721E0000}"/>
    <cellStyle name="Note 2 16 2" xfId="6835" xr:uid="{00000000-0005-0000-0000-0000731E0000}"/>
    <cellStyle name="Note 2 16 2 2" xfId="9866" xr:uid="{00000000-0005-0000-0000-0000741E0000}"/>
    <cellStyle name="Note 2 16 2 2 2" xfId="9178" xr:uid="{00000000-0005-0000-0000-0000751E0000}"/>
    <cellStyle name="Note 2 16 2 2 2 2" xfId="12818" xr:uid="{00000000-0005-0000-0000-0000761E0000}"/>
    <cellStyle name="Note 2 16 2 2 3" xfId="11151" xr:uid="{00000000-0005-0000-0000-0000771E0000}"/>
    <cellStyle name="Note 2 16 2 3" xfId="11839" xr:uid="{00000000-0005-0000-0000-0000781E0000}"/>
    <cellStyle name="Note 2 16 3" xfId="8808" xr:uid="{00000000-0005-0000-0000-0000791E0000}"/>
    <cellStyle name="Note 2 16 3 2" xfId="12446" xr:uid="{00000000-0005-0000-0000-00007A1E0000}"/>
    <cellStyle name="Note 2 16 4" xfId="10838" xr:uid="{00000000-0005-0000-0000-00007B1E0000}"/>
    <cellStyle name="Note 2 17" xfId="7811" xr:uid="{00000000-0005-0000-0000-00007C1E0000}"/>
    <cellStyle name="Note 2 17 2" xfId="7960" xr:uid="{00000000-0005-0000-0000-00007D1E0000}"/>
    <cellStyle name="Note 2 17 2 2" xfId="9914" xr:uid="{00000000-0005-0000-0000-00007E1E0000}"/>
    <cellStyle name="Note 2 17 2 2 2" xfId="10018" xr:uid="{00000000-0005-0000-0000-00007F1E0000}"/>
    <cellStyle name="Note 2 17 2 2 2 2" xfId="13232" xr:uid="{00000000-0005-0000-0000-0000801E0000}"/>
    <cellStyle name="Note 2 17 2 2 3" xfId="11991" xr:uid="{00000000-0005-0000-0000-0000811E0000}"/>
    <cellStyle name="Note 2 17 2 3" xfId="11887" xr:uid="{00000000-0005-0000-0000-0000821E0000}"/>
    <cellStyle name="Note 2 17 3" xfId="8071" xr:uid="{00000000-0005-0000-0000-0000831E0000}"/>
    <cellStyle name="Note 2 17 3 2" xfId="10101" xr:uid="{00000000-0005-0000-0000-0000841E0000}"/>
    <cellStyle name="Note 2 17 3 2 2" xfId="13295" xr:uid="{00000000-0005-0000-0000-0000851E0000}"/>
    <cellStyle name="Note 2 17 3 3" xfId="12074" xr:uid="{00000000-0005-0000-0000-0000861E0000}"/>
    <cellStyle name="Note 2 17 4" xfId="8858" xr:uid="{00000000-0005-0000-0000-0000871E0000}"/>
    <cellStyle name="Note 2 17 4 2" xfId="12447" xr:uid="{00000000-0005-0000-0000-0000881E0000}"/>
    <cellStyle name="Note 2 17 5" xfId="10888" xr:uid="{00000000-0005-0000-0000-0000891E0000}"/>
    <cellStyle name="Note 2 18" xfId="8267" xr:uid="{00000000-0005-0000-0000-00008A1E0000}"/>
    <cellStyle name="Note 2 18 2" xfId="9022" xr:uid="{00000000-0005-0000-0000-00008B1E0000}"/>
    <cellStyle name="Note 2 18 2 2" xfId="12519" xr:uid="{00000000-0005-0000-0000-00008C1E0000}"/>
    <cellStyle name="Note 2 18 3" xfId="11041" xr:uid="{00000000-0005-0000-0000-00008D1E0000}"/>
    <cellStyle name="Note 2 19" xfId="10297" xr:uid="{00000000-0005-0000-0000-00008E1E0000}"/>
    <cellStyle name="Note 2 2" xfId="1466" xr:uid="{00000000-0005-0000-0000-00008F1E0000}"/>
    <cellStyle name="Note 2 2 10" xfId="7361" xr:uid="{00000000-0005-0000-0000-0000901E0000}"/>
    <cellStyle name="Note 2 2 10 2" xfId="6857" xr:uid="{00000000-0005-0000-0000-0000911E0000}"/>
    <cellStyle name="Note 2 2 10 2 2" xfId="9562" xr:uid="{00000000-0005-0000-0000-0000921E0000}"/>
    <cellStyle name="Note 2 2 10 2 2 2" xfId="9195" xr:uid="{00000000-0005-0000-0000-0000931E0000}"/>
    <cellStyle name="Note 2 2 10 2 2 2 2" xfId="12835" xr:uid="{00000000-0005-0000-0000-0000941E0000}"/>
    <cellStyle name="Note 2 2 10 2 2 3" xfId="11168" xr:uid="{00000000-0005-0000-0000-0000951E0000}"/>
    <cellStyle name="Note 2 2 10 2 3" xfId="11535" xr:uid="{00000000-0005-0000-0000-0000961E0000}"/>
    <cellStyle name="Note 2 2 10 3" xfId="8432" xr:uid="{00000000-0005-0000-0000-0000971E0000}"/>
    <cellStyle name="Note 2 2 10 3 2" xfId="12613" xr:uid="{00000000-0005-0000-0000-0000981E0000}"/>
    <cellStyle name="Note 2 2 10 4" xfId="10462" xr:uid="{00000000-0005-0000-0000-0000991E0000}"/>
    <cellStyle name="Note 2 2 11" xfId="7575" xr:uid="{00000000-0005-0000-0000-00009A1E0000}"/>
    <cellStyle name="Note 2 2 11 2" xfId="6896" xr:uid="{00000000-0005-0000-0000-00009B1E0000}"/>
    <cellStyle name="Note 2 2 11 2 2" xfId="9728" xr:uid="{00000000-0005-0000-0000-00009C1E0000}"/>
    <cellStyle name="Note 2 2 11 2 2 2" xfId="9227" xr:uid="{00000000-0005-0000-0000-00009D1E0000}"/>
    <cellStyle name="Note 2 2 11 2 2 2 2" xfId="12863" xr:uid="{00000000-0005-0000-0000-00009E1E0000}"/>
    <cellStyle name="Note 2 2 11 2 2 3" xfId="11200" xr:uid="{00000000-0005-0000-0000-00009F1E0000}"/>
    <cellStyle name="Note 2 2 11 2 3" xfId="11701" xr:uid="{00000000-0005-0000-0000-0000A01E0000}"/>
    <cellStyle name="Note 2 2 11 3" xfId="8639" xr:uid="{00000000-0005-0000-0000-0000A11E0000}"/>
    <cellStyle name="Note 2 2 11 3 2" xfId="12339" xr:uid="{00000000-0005-0000-0000-0000A21E0000}"/>
    <cellStyle name="Note 2 2 11 4" xfId="10669" xr:uid="{00000000-0005-0000-0000-0000A31E0000}"/>
    <cellStyle name="Note 2 2 12" xfId="7467" xr:uid="{00000000-0005-0000-0000-0000A41E0000}"/>
    <cellStyle name="Note 2 2 12 2" xfId="7047" xr:uid="{00000000-0005-0000-0000-0000A51E0000}"/>
    <cellStyle name="Note 2 2 12 2 2" xfId="9340" xr:uid="{00000000-0005-0000-0000-0000A61E0000}"/>
    <cellStyle name="Note 2 2 12 2 2 2" xfId="12971" xr:uid="{00000000-0005-0000-0000-0000A71E0000}"/>
    <cellStyle name="Note 2 2 12 2 3" xfId="11313" xr:uid="{00000000-0005-0000-0000-0000A81E0000}"/>
    <cellStyle name="Note 2 2 12 3" xfId="8534" xr:uid="{00000000-0005-0000-0000-0000A91E0000}"/>
    <cellStyle name="Note 2 2 12 3 2" xfId="12661" xr:uid="{00000000-0005-0000-0000-0000AA1E0000}"/>
    <cellStyle name="Note 2 2 12 4" xfId="10564" xr:uid="{00000000-0005-0000-0000-0000AB1E0000}"/>
    <cellStyle name="Note 2 2 13" xfId="7518" xr:uid="{00000000-0005-0000-0000-0000AC1E0000}"/>
    <cellStyle name="Note 2 2 13 2" xfId="7084" xr:uid="{00000000-0005-0000-0000-0000AD1E0000}"/>
    <cellStyle name="Note 2 2 13 2 2" xfId="9683" xr:uid="{00000000-0005-0000-0000-0000AE1E0000}"/>
    <cellStyle name="Note 2 2 13 2 2 2" xfId="9370" xr:uid="{00000000-0005-0000-0000-0000AF1E0000}"/>
    <cellStyle name="Note 2 2 13 2 2 2 2" xfId="13001" xr:uid="{00000000-0005-0000-0000-0000B01E0000}"/>
    <cellStyle name="Note 2 2 13 2 2 3" xfId="11343" xr:uid="{00000000-0005-0000-0000-0000B11E0000}"/>
    <cellStyle name="Note 2 2 13 2 3" xfId="11656" xr:uid="{00000000-0005-0000-0000-0000B21E0000}"/>
    <cellStyle name="Note 2 2 13 3" xfId="8584" xr:uid="{00000000-0005-0000-0000-0000B31E0000}"/>
    <cellStyle name="Note 2 2 13 3 2" xfId="12303" xr:uid="{00000000-0005-0000-0000-0000B41E0000}"/>
    <cellStyle name="Note 2 2 13 4" xfId="10614" xr:uid="{00000000-0005-0000-0000-0000B51E0000}"/>
    <cellStyle name="Note 2 2 14" xfId="7532" xr:uid="{00000000-0005-0000-0000-0000B61E0000}"/>
    <cellStyle name="Note 2 2 14 2" xfId="7114" xr:uid="{00000000-0005-0000-0000-0000B71E0000}"/>
    <cellStyle name="Note 2 2 14 2 2" xfId="9695" xr:uid="{00000000-0005-0000-0000-0000B81E0000}"/>
    <cellStyle name="Note 2 2 14 2 2 2" xfId="9392" xr:uid="{00000000-0005-0000-0000-0000B91E0000}"/>
    <cellStyle name="Note 2 2 14 2 2 2 2" xfId="13022" xr:uid="{00000000-0005-0000-0000-0000BA1E0000}"/>
    <cellStyle name="Note 2 2 14 2 2 3" xfId="11365" xr:uid="{00000000-0005-0000-0000-0000BB1E0000}"/>
    <cellStyle name="Note 2 2 14 2 3" xfId="11668" xr:uid="{00000000-0005-0000-0000-0000BC1E0000}"/>
    <cellStyle name="Note 2 2 14 3" xfId="8598" xr:uid="{00000000-0005-0000-0000-0000BD1E0000}"/>
    <cellStyle name="Note 2 2 14 3 2" xfId="12312" xr:uid="{00000000-0005-0000-0000-0000BE1E0000}"/>
    <cellStyle name="Note 2 2 14 4" xfId="10628" xr:uid="{00000000-0005-0000-0000-0000BF1E0000}"/>
    <cellStyle name="Note 2 2 15" xfId="7812" xr:uid="{00000000-0005-0000-0000-0000C01E0000}"/>
    <cellStyle name="Note 2 2 15 2" xfId="7961" xr:uid="{00000000-0005-0000-0000-0000C11E0000}"/>
    <cellStyle name="Note 2 2 15 2 2" xfId="9915" xr:uid="{00000000-0005-0000-0000-0000C21E0000}"/>
    <cellStyle name="Note 2 2 15 2 2 2" xfId="10019" xr:uid="{00000000-0005-0000-0000-0000C31E0000}"/>
    <cellStyle name="Note 2 2 15 2 2 2 2" xfId="13233" xr:uid="{00000000-0005-0000-0000-0000C41E0000}"/>
    <cellStyle name="Note 2 2 15 2 2 3" xfId="11992" xr:uid="{00000000-0005-0000-0000-0000C51E0000}"/>
    <cellStyle name="Note 2 2 15 2 3" xfId="11888" xr:uid="{00000000-0005-0000-0000-0000C61E0000}"/>
    <cellStyle name="Note 2 2 15 3" xfId="8072" xr:uid="{00000000-0005-0000-0000-0000C71E0000}"/>
    <cellStyle name="Note 2 2 15 3 2" xfId="10102" xr:uid="{00000000-0005-0000-0000-0000C81E0000}"/>
    <cellStyle name="Note 2 2 15 3 2 2" xfId="13296" xr:uid="{00000000-0005-0000-0000-0000C91E0000}"/>
    <cellStyle name="Note 2 2 15 3 3" xfId="12075" xr:uid="{00000000-0005-0000-0000-0000CA1E0000}"/>
    <cellStyle name="Note 2 2 15 4" xfId="8859" xr:uid="{00000000-0005-0000-0000-0000CB1E0000}"/>
    <cellStyle name="Note 2 2 15 4 2" xfId="12448" xr:uid="{00000000-0005-0000-0000-0000CC1E0000}"/>
    <cellStyle name="Note 2 2 15 5" xfId="10889" xr:uid="{00000000-0005-0000-0000-0000CD1E0000}"/>
    <cellStyle name="Note 2 2 16" xfId="8268" xr:uid="{00000000-0005-0000-0000-0000CE1E0000}"/>
    <cellStyle name="Note 2 2 16 2" xfId="9021" xr:uid="{00000000-0005-0000-0000-0000CF1E0000}"/>
    <cellStyle name="Note 2 2 16 2 2" xfId="12520" xr:uid="{00000000-0005-0000-0000-0000D01E0000}"/>
    <cellStyle name="Note 2 2 16 3" xfId="11040" xr:uid="{00000000-0005-0000-0000-0000D11E0000}"/>
    <cellStyle name="Note 2 2 17" xfId="10298" xr:uid="{00000000-0005-0000-0000-0000D21E0000}"/>
    <cellStyle name="Note 2 2 2" xfId="1743" xr:uid="{00000000-0005-0000-0000-0000D31E0000}"/>
    <cellStyle name="Note 2 2 2 2" xfId="7480" xr:uid="{00000000-0005-0000-0000-0000D41E0000}"/>
    <cellStyle name="Note 2 2 2 2 2" xfId="6956" xr:uid="{00000000-0005-0000-0000-0000D51E0000}"/>
    <cellStyle name="Note 2 2 2 2 2 2" xfId="9651" xr:uid="{00000000-0005-0000-0000-0000D61E0000}"/>
    <cellStyle name="Note 2 2 2 2 2 2 2" xfId="9271" xr:uid="{00000000-0005-0000-0000-0000D71E0000}"/>
    <cellStyle name="Note 2 2 2 2 2 2 2 2" xfId="12905" xr:uid="{00000000-0005-0000-0000-0000D81E0000}"/>
    <cellStyle name="Note 2 2 2 2 2 2 3" xfId="11244" xr:uid="{00000000-0005-0000-0000-0000D91E0000}"/>
    <cellStyle name="Note 2 2 2 2 2 3" xfId="11624" xr:uid="{00000000-0005-0000-0000-0000DA1E0000}"/>
    <cellStyle name="Note 2 2 2 2 3" xfId="8547" xr:uid="{00000000-0005-0000-0000-0000DB1E0000}"/>
    <cellStyle name="Note 2 2 2 2 3 2" xfId="12664" xr:uid="{00000000-0005-0000-0000-0000DC1E0000}"/>
    <cellStyle name="Note 2 2 2 2 4" xfId="10577" xr:uid="{00000000-0005-0000-0000-0000DD1E0000}"/>
    <cellStyle name="Note 2 2 2 3" xfId="7475" xr:uid="{00000000-0005-0000-0000-0000DE1E0000}"/>
    <cellStyle name="Note 2 2 2 3 2" xfId="6910" xr:uid="{00000000-0005-0000-0000-0000DF1E0000}"/>
    <cellStyle name="Note 2 2 2 3 2 2" xfId="9646" xr:uid="{00000000-0005-0000-0000-0000E01E0000}"/>
    <cellStyle name="Note 2 2 2 3 2 2 2" xfId="9235" xr:uid="{00000000-0005-0000-0000-0000E11E0000}"/>
    <cellStyle name="Note 2 2 2 3 2 2 2 2" xfId="12871" xr:uid="{00000000-0005-0000-0000-0000E21E0000}"/>
    <cellStyle name="Note 2 2 2 3 2 2 3" xfId="11208" xr:uid="{00000000-0005-0000-0000-0000E31E0000}"/>
    <cellStyle name="Note 2 2 2 3 2 3" xfId="11619" xr:uid="{00000000-0005-0000-0000-0000E41E0000}"/>
    <cellStyle name="Note 2 2 2 3 3" xfId="8542" xr:uid="{00000000-0005-0000-0000-0000E51E0000}"/>
    <cellStyle name="Note 2 2 2 3 3 2" xfId="12275" xr:uid="{00000000-0005-0000-0000-0000E61E0000}"/>
    <cellStyle name="Note 2 2 2 3 4" xfId="10572" xr:uid="{00000000-0005-0000-0000-0000E71E0000}"/>
    <cellStyle name="Note 2 2 2 4" xfId="7592" xr:uid="{00000000-0005-0000-0000-0000E81E0000}"/>
    <cellStyle name="Note 2 2 2 4 2" xfId="7097" xr:uid="{00000000-0005-0000-0000-0000E91E0000}"/>
    <cellStyle name="Note 2 2 2 4 2 2" xfId="9380" xr:uid="{00000000-0005-0000-0000-0000EA1E0000}"/>
    <cellStyle name="Note 2 2 2 4 2 2 2" xfId="13010" xr:uid="{00000000-0005-0000-0000-0000EB1E0000}"/>
    <cellStyle name="Note 2 2 2 4 2 3" xfId="11353" xr:uid="{00000000-0005-0000-0000-0000EC1E0000}"/>
    <cellStyle name="Note 2 2 2 4 3" xfId="8655" xr:uid="{00000000-0005-0000-0000-0000ED1E0000}"/>
    <cellStyle name="Note 2 2 2 4 3 2" xfId="12702" xr:uid="{00000000-0005-0000-0000-0000EE1E0000}"/>
    <cellStyle name="Note 2 2 2 4 4" xfId="10685" xr:uid="{00000000-0005-0000-0000-0000EF1E0000}"/>
    <cellStyle name="Note 2 2 2 5" xfId="7691" xr:uid="{00000000-0005-0000-0000-0000F01E0000}"/>
    <cellStyle name="Note 2 2 2 5 2" xfId="6996" xr:uid="{00000000-0005-0000-0000-0000F11E0000}"/>
    <cellStyle name="Note 2 2 2 5 2 2" xfId="9814" xr:uid="{00000000-0005-0000-0000-0000F21E0000}"/>
    <cellStyle name="Note 2 2 2 5 2 2 2" xfId="9301" xr:uid="{00000000-0005-0000-0000-0000F31E0000}"/>
    <cellStyle name="Note 2 2 2 5 2 2 2 2" xfId="12934" xr:uid="{00000000-0005-0000-0000-0000F41E0000}"/>
    <cellStyle name="Note 2 2 2 5 2 2 3" xfId="11274" xr:uid="{00000000-0005-0000-0000-0000F51E0000}"/>
    <cellStyle name="Note 2 2 2 5 2 3" xfId="11787" xr:uid="{00000000-0005-0000-0000-0000F61E0000}"/>
    <cellStyle name="Note 2 2 2 5 3" xfId="8746" xr:uid="{00000000-0005-0000-0000-0000F71E0000}"/>
    <cellStyle name="Note 2 2 2 5 3 2" xfId="12400" xr:uid="{00000000-0005-0000-0000-0000F81E0000}"/>
    <cellStyle name="Note 2 2 2 5 4" xfId="10776" xr:uid="{00000000-0005-0000-0000-0000F91E0000}"/>
    <cellStyle name="Note 2 2 2 6" xfId="7543" xr:uid="{00000000-0005-0000-0000-0000FA1E0000}"/>
    <cellStyle name="Note 2 2 2 6 2" xfId="7252" xr:uid="{00000000-0005-0000-0000-0000FB1E0000}"/>
    <cellStyle name="Note 2 2 2 6 2 2" xfId="9704" xr:uid="{00000000-0005-0000-0000-0000FC1E0000}"/>
    <cellStyle name="Note 2 2 2 6 2 2 2" xfId="9487" xr:uid="{00000000-0005-0000-0000-0000FD1E0000}"/>
    <cellStyle name="Note 2 2 2 6 2 2 2 2" xfId="13111" xr:uid="{00000000-0005-0000-0000-0000FE1E0000}"/>
    <cellStyle name="Note 2 2 2 6 2 2 3" xfId="11460" xr:uid="{00000000-0005-0000-0000-0000FF1E0000}"/>
    <cellStyle name="Note 2 2 2 6 2 3" xfId="11677" xr:uid="{00000000-0005-0000-0000-0000001F0000}"/>
    <cellStyle name="Note 2 2 2 6 3" xfId="8609" xr:uid="{00000000-0005-0000-0000-0000011F0000}"/>
    <cellStyle name="Note 2 2 2 6 3 2" xfId="12320" xr:uid="{00000000-0005-0000-0000-0000021F0000}"/>
    <cellStyle name="Note 2 2 2 6 4" xfId="10639" xr:uid="{00000000-0005-0000-0000-0000031F0000}"/>
    <cellStyle name="Note 2 2 2 7" xfId="7864" xr:uid="{00000000-0005-0000-0000-0000041F0000}"/>
    <cellStyle name="Note 2 2 2 7 2" xfId="8013" xr:uid="{00000000-0005-0000-0000-0000051F0000}"/>
    <cellStyle name="Note 2 2 2 7 2 2" xfId="9955" xr:uid="{00000000-0005-0000-0000-0000061F0000}"/>
    <cellStyle name="Note 2 2 2 7 2 2 2" xfId="10045" xr:uid="{00000000-0005-0000-0000-0000071F0000}"/>
    <cellStyle name="Note 2 2 2 7 2 2 2 2" xfId="13247" xr:uid="{00000000-0005-0000-0000-0000081F0000}"/>
    <cellStyle name="Note 2 2 2 7 2 2 3" xfId="12018" xr:uid="{00000000-0005-0000-0000-0000091F0000}"/>
    <cellStyle name="Note 2 2 2 7 2 3" xfId="11928" xr:uid="{00000000-0005-0000-0000-00000A1F0000}"/>
    <cellStyle name="Note 2 2 2 7 3" xfId="8112" xr:uid="{00000000-0005-0000-0000-00000B1F0000}"/>
    <cellStyle name="Note 2 2 2 7 3 2" xfId="10142" xr:uid="{00000000-0005-0000-0000-00000C1F0000}"/>
    <cellStyle name="Note 2 2 2 7 3 2 2" xfId="13335" xr:uid="{00000000-0005-0000-0000-00000D1F0000}"/>
    <cellStyle name="Note 2 2 2 7 3 3" xfId="12115" xr:uid="{00000000-0005-0000-0000-00000E1F0000}"/>
    <cellStyle name="Note 2 2 2 7 4" xfId="8911" xr:uid="{00000000-0005-0000-0000-00000F1F0000}"/>
    <cellStyle name="Note 2 2 2 7 4 2" xfId="12462" xr:uid="{00000000-0005-0000-0000-0000101F0000}"/>
    <cellStyle name="Note 2 2 2 7 5" xfId="10941" xr:uid="{00000000-0005-0000-0000-0000111F0000}"/>
    <cellStyle name="Note 2 2 2 8" xfId="8319" xr:uid="{00000000-0005-0000-0000-0000121F0000}"/>
    <cellStyle name="Note 2 2 2 8 2" xfId="9117" xr:uid="{00000000-0005-0000-0000-0000131F0000}"/>
    <cellStyle name="Note 2 2 2 8 2 2" xfId="12535" xr:uid="{00000000-0005-0000-0000-0000141F0000}"/>
    <cellStyle name="Note 2 2 2 8 3" xfId="11090" xr:uid="{00000000-0005-0000-0000-0000151F0000}"/>
    <cellStyle name="Note 2 2 2 9" xfId="10349" xr:uid="{00000000-0005-0000-0000-0000161F0000}"/>
    <cellStyle name="Note 2 2 3" xfId="1625" xr:uid="{00000000-0005-0000-0000-0000171F0000}"/>
    <cellStyle name="Note 2 2 3 2" xfId="7721" xr:uid="{00000000-0005-0000-0000-0000181F0000}"/>
    <cellStyle name="Note 2 2 3 2 2" xfId="6845" xr:uid="{00000000-0005-0000-0000-0000191F0000}"/>
    <cellStyle name="Note 2 2 3 2 2 2" xfId="9839" xr:uid="{00000000-0005-0000-0000-00001A1F0000}"/>
    <cellStyle name="Note 2 2 3 2 2 2 2" xfId="9184" xr:uid="{00000000-0005-0000-0000-00001B1F0000}"/>
    <cellStyle name="Note 2 2 3 2 2 2 2 2" xfId="12824" xr:uid="{00000000-0005-0000-0000-00001C1F0000}"/>
    <cellStyle name="Note 2 2 3 2 2 2 3" xfId="11157" xr:uid="{00000000-0005-0000-0000-00001D1F0000}"/>
    <cellStyle name="Note 2 2 3 2 2 3" xfId="11812" xr:uid="{00000000-0005-0000-0000-00001E1F0000}"/>
    <cellStyle name="Note 2 2 3 2 3" xfId="8776" xr:uid="{00000000-0005-0000-0000-00001F1F0000}"/>
    <cellStyle name="Note 2 2 3 2 3 2" xfId="12746" xr:uid="{00000000-0005-0000-0000-0000201F0000}"/>
    <cellStyle name="Note 2 2 3 2 4" xfId="10806" xr:uid="{00000000-0005-0000-0000-0000211F0000}"/>
    <cellStyle name="Note 2 2 3 3" xfId="7705" xr:uid="{00000000-0005-0000-0000-0000221F0000}"/>
    <cellStyle name="Note 2 2 3 3 2" xfId="7137" xr:uid="{00000000-0005-0000-0000-0000231F0000}"/>
    <cellStyle name="Note 2 2 3 3 2 2" xfId="9825" xr:uid="{00000000-0005-0000-0000-0000241F0000}"/>
    <cellStyle name="Note 2 2 3 3 2 2 2" xfId="9407" xr:uid="{00000000-0005-0000-0000-0000251F0000}"/>
    <cellStyle name="Note 2 2 3 3 2 2 2 2" xfId="13037" xr:uid="{00000000-0005-0000-0000-0000261F0000}"/>
    <cellStyle name="Note 2 2 3 3 2 2 3" xfId="11380" xr:uid="{00000000-0005-0000-0000-0000271F0000}"/>
    <cellStyle name="Note 2 2 3 3 2 3" xfId="11798" xr:uid="{00000000-0005-0000-0000-0000281F0000}"/>
    <cellStyle name="Note 2 2 3 3 3" xfId="8760" xr:uid="{00000000-0005-0000-0000-0000291F0000}"/>
    <cellStyle name="Note 2 2 3 3 3 2" xfId="12409" xr:uid="{00000000-0005-0000-0000-00002A1F0000}"/>
    <cellStyle name="Note 2 2 3 3 4" xfId="10790" xr:uid="{00000000-0005-0000-0000-00002B1F0000}"/>
    <cellStyle name="Note 2 2 3 4" xfId="7331" xr:uid="{00000000-0005-0000-0000-00002C1F0000}"/>
    <cellStyle name="Note 2 2 3 4 2" xfId="7183" xr:uid="{00000000-0005-0000-0000-00002D1F0000}"/>
    <cellStyle name="Note 2 2 3 4 2 2" xfId="9435" xr:uid="{00000000-0005-0000-0000-00002E1F0000}"/>
    <cellStyle name="Note 2 2 3 4 2 2 2" xfId="13065" xr:uid="{00000000-0005-0000-0000-00002F1F0000}"/>
    <cellStyle name="Note 2 2 3 4 2 3" xfId="11408" xr:uid="{00000000-0005-0000-0000-0000301F0000}"/>
    <cellStyle name="Note 2 2 3 4 3" xfId="8403" xr:uid="{00000000-0005-0000-0000-0000311F0000}"/>
    <cellStyle name="Note 2 2 3 4 3 2" xfId="12599" xr:uid="{00000000-0005-0000-0000-0000321F0000}"/>
    <cellStyle name="Note 2 2 3 4 4" xfId="10433" xr:uid="{00000000-0005-0000-0000-0000331F0000}"/>
    <cellStyle name="Note 2 2 3 5" xfId="7643" xr:uid="{00000000-0005-0000-0000-0000341F0000}"/>
    <cellStyle name="Note 2 2 3 5 2" xfId="7048" xr:uid="{00000000-0005-0000-0000-0000351F0000}"/>
    <cellStyle name="Note 2 2 3 5 2 2" xfId="9775" xr:uid="{00000000-0005-0000-0000-0000361F0000}"/>
    <cellStyle name="Note 2 2 3 5 2 2 2" xfId="9341" xr:uid="{00000000-0005-0000-0000-0000371F0000}"/>
    <cellStyle name="Note 2 2 3 5 2 2 2 2" xfId="12972" xr:uid="{00000000-0005-0000-0000-0000381F0000}"/>
    <cellStyle name="Note 2 2 3 5 2 2 3" xfId="11314" xr:uid="{00000000-0005-0000-0000-0000391F0000}"/>
    <cellStyle name="Note 2 2 3 5 2 3" xfId="11748" xr:uid="{00000000-0005-0000-0000-00003A1F0000}"/>
    <cellStyle name="Note 2 2 3 5 3" xfId="8701" xr:uid="{00000000-0005-0000-0000-00003B1F0000}"/>
    <cellStyle name="Note 2 2 3 5 3 2" xfId="12372" xr:uid="{00000000-0005-0000-0000-00003C1F0000}"/>
    <cellStyle name="Note 2 2 3 5 4" xfId="10731" xr:uid="{00000000-0005-0000-0000-00003D1F0000}"/>
    <cellStyle name="Note 2 2 3 6" xfId="7483" xr:uid="{00000000-0005-0000-0000-00003E1F0000}"/>
    <cellStyle name="Note 2 2 3 6 2" xfId="7146" xr:uid="{00000000-0005-0000-0000-00003F1F0000}"/>
    <cellStyle name="Note 2 2 3 6 2 2" xfId="9654" xr:uid="{00000000-0005-0000-0000-0000401F0000}"/>
    <cellStyle name="Note 2 2 3 6 2 2 2" xfId="9412" xr:uid="{00000000-0005-0000-0000-0000411F0000}"/>
    <cellStyle name="Note 2 2 3 6 2 2 2 2" xfId="13042" xr:uid="{00000000-0005-0000-0000-0000421F0000}"/>
    <cellStyle name="Note 2 2 3 6 2 2 3" xfId="11385" xr:uid="{00000000-0005-0000-0000-0000431F0000}"/>
    <cellStyle name="Note 2 2 3 6 2 3" xfId="11627" xr:uid="{00000000-0005-0000-0000-0000441F0000}"/>
    <cellStyle name="Note 2 2 3 6 3" xfId="8550" xr:uid="{00000000-0005-0000-0000-0000451F0000}"/>
    <cellStyle name="Note 2 2 3 6 3 2" xfId="12282" xr:uid="{00000000-0005-0000-0000-0000461F0000}"/>
    <cellStyle name="Note 2 2 3 6 4" xfId="10580" xr:uid="{00000000-0005-0000-0000-0000471F0000}"/>
    <cellStyle name="Note 2 2 3 7" xfId="7861" xr:uid="{00000000-0005-0000-0000-0000481F0000}"/>
    <cellStyle name="Note 2 2 3 7 2" xfId="8010" xr:uid="{00000000-0005-0000-0000-0000491F0000}"/>
    <cellStyle name="Note 2 2 3 7 2 2" xfId="9952" xr:uid="{00000000-0005-0000-0000-00004A1F0000}"/>
    <cellStyle name="Note 2 2 3 7 2 2 2" xfId="10042" xr:uid="{00000000-0005-0000-0000-00004B1F0000}"/>
    <cellStyle name="Note 2 2 3 7 2 2 2 2" xfId="13244" xr:uid="{00000000-0005-0000-0000-00004C1F0000}"/>
    <cellStyle name="Note 2 2 3 7 2 2 3" xfId="12015" xr:uid="{00000000-0005-0000-0000-00004D1F0000}"/>
    <cellStyle name="Note 2 2 3 7 2 3" xfId="11925" xr:uid="{00000000-0005-0000-0000-00004E1F0000}"/>
    <cellStyle name="Note 2 2 3 7 3" xfId="8109" xr:uid="{00000000-0005-0000-0000-00004F1F0000}"/>
    <cellStyle name="Note 2 2 3 7 3 2" xfId="10139" xr:uid="{00000000-0005-0000-0000-0000501F0000}"/>
    <cellStyle name="Note 2 2 3 7 3 2 2" xfId="13332" xr:uid="{00000000-0005-0000-0000-0000511F0000}"/>
    <cellStyle name="Note 2 2 3 7 3 3" xfId="12112" xr:uid="{00000000-0005-0000-0000-0000521F0000}"/>
    <cellStyle name="Note 2 2 3 7 4" xfId="8908" xr:uid="{00000000-0005-0000-0000-0000531F0000}"/>
    <cellStyle name="Note 2 2 3 7 4 2" xfId="12459" xr:uid="{00000000-0005-0000-0000-0000541F0000}"/>
    <cellStyle name="Note 2 2 3 7 5" xfId="10938" xr:uid="{00000000-0005-0000-0000-0000551F0000}"/>
    <cellStyle name="Note 2 2 3 8" xfId="8316" xr:uid="{00000000-0005-0000-0000-0000561F0000}"/>
    <cellStyle name="Note 2 2 3 8 2" xfId="8970" xr:uid="{00000000-0005-0000-0000-0000571F0000}"/>
    <cellStyle name="Note 2 2 3 8 2 2" xfId="12532" xr:uid="{00000000-0005-0000-0000-0000581F0000}"/>
    <cellStyle name="Note 2 2 3 8 3" xfId="11000" xr:uid="{00000000-0005-0000-0000-0000591F0000}"/>
    <cellStyle name="Note 2 2 3 9" xfId="10346" xr:uid="{00000000-0005-0000-0000-00005A1F0000}"/>
    <cellStyle name="Note 2 2 4" xfId="2073" xr:uid="{00000000-0005-0000-0000-00005B1F0000}"/>
    <cellStyle name="Note 2 2 4 2" xfId="7370" xr:uid="{00000000-0005-0000-0000-00005C1F0000}"/>
    <cellStyle name="Note 2 2 4 2 2" xfId="7143" xr:uid="{00000000-0005-0000-0000-00005D1F0000}"/>
    <cellStyle name="Note 2 2 4 2 2 2" xfId="9570" xr:uid="{00000000-0005-0000-0000-00005E1F0000}"/>
    <cellStyle name="Note 2 2 4 2 2 2 2" xfId="9410" xr:uid="{00000000-0005-0000-0000-00005F1F0000}"/>
    <cellStyle name="Note 2 2 4 2 2 2 2 2" xfId="13040" xr:uid="{00000000-0005-0000-0000-0000601F0000}"/>
    <cellStyle name="Note 2 2 4 2 2 2 3" xfId="11383" xr:uid="{00000000-0005-0000-0000-0000611F0000}"/>
    <cellStyle name="Note 2 2 4 2 2 3" xfId="11543" xr:uid="{00000000-0005-0000-0000-0000621F0000}"/>
    <cellStyle name="Note 2 2 4 2 3" xfId="8441" xr:uid="{00000000-0005-0000-0000-0000631F0000}"/>
    <cellStyle name="Note 2 2 4 2 3 2" xfId="12618" xr:uid="{00000000-0005-0000-0000-0000641F0000}"/>
    <cellStyle name="Note 2 2 4 2 4" xfId="10471" xr:uid="{00000000-0005-0000-0000-0000651F0000}"/>
    <cellStyle name="Note 2 2 4 3" xfId="7676" xr:uid="{00000000-0005-0000-0000-0000661F0000}"/>
    <cellStyle name="Note 2 2 4 3 2" xfId="6873" xr:uid="{00000000-0005-0000-0000-0000671F0000}"/>
    <cellStyle name="Note 2 2 4 3 2 2" xfId="9801" xr:uid="{00000000-0005-0000-0000-0000681F0000}"/>
    <cellStyle name="Note 2 2 4 3 2 2 2" xfId="9210" xr:uid="{00000000-0005-0000-0000-0000691F0000}"/>
    <cellStyle name="Note 2 2 4 3 2 2 2 2" xfId="12848" xr:uid="{00000000-0005-0000-0000-00006A1F0000}"/>
    <cellStyle name="Note 2 2 4 3 2 2 3" xfId="11183" xr:uid="{00000000-0005-0000-0000-00006B1F0000}"/>
    <cellStyle name="Note 2 2 4 3 2 3" xfId="11774" xr:uid="{00000000-0005-0000-0000-00006C1F0000}"/>
    <cellStyle name="Note 2 2 4 3 3" xfId="8731" xr:uid="{00000000-0005-0000-0000-00006D1F0000}"/>
    <cellStyle name="Note 2 2 4 3 3 2" xfId="12389" xr:uid="{00000000-0005-0000-0000-00006E1F0000}"/>
    <cellStyle name="Note 2 2 4 3 4" xfId="10761" xr:uid="{00000000-0005-0000-0000-00006F1F0000}"/>
    <cellStyle name="Note 2 2 4 4" xfId="7566" xr:uid="{00000000-0005-0000-0000-0000701F0000}"/>
    <cellStyle name="Note 2 2 4 4 2" xfId="7208" xr:uid="{00000000-0005-0000-0000-0000711F0000}"/>
    <cellStyle name="Note 2 2 4 4 2 2" xfId="9452" xr:uid="{00000000-0005-0000-0000-0000721F0000}"/>
    <cellStyle name="Note 2 2 4 4 2 2 2" xfId="13079" xr:uid="{00000000-0005-0000-0000-0000731F0000}"/>
    <cellStyle name="Note 2 2 4 4 2 3" xfId="11425" xr:uid="{00000000-0005-0000-0000-0000741F0000}"/>
    <cellStyle name="Note 2 2 4 4 3" xfId="8630" xr:uid="{00000000-0005-0000-0000-0000751F0000}"/>
    <cellStyle name="Note 2 2 4 4 3 2" xfId="12686" xr:uid="{00000000-0005-0000-0000-0000761F0000}"/>
    <cellStyle name="Note 2 2 4 4 4" xfId="10660" xr:uid="{00000000-0005-0000-0000-0000771F0000}"/>
    <cellStyle name="Note 2 2 4 5" xfId="7682" xr:uid="{00000000-0005-0000-0000-0000781F0000}"/>
    <cellStyle name="Note 2 2 4 5 2" xfId="7279" xr:uid="{00000000-0005-0000-0000-0000791F0000}"/>
    <cellStyle name="Note 2 2 4 5 2 2" xfId="9806" xr:uid="{00000000-0005-0000-0000-00007A1F0000}"/>
    <cellStyle name="Note 2 2 4 5 2 2 2" xfId="9503" xr:uid="{00000000-0005-0000-0000-00007B1F0000}"/>
    <cellStyle name="Note 2 2 4 5 2 2 2 2" xfId="13127" xr:uid="{00000000-0005-0000-0000-00007C1F0000}"/>
    <cellStyle name="Note 2 2 4 5 2 2 3" xfId="11476" xr:uid="{00000000-0005-0000-0000-00007D1F0000}"/>
    <cellStyle name="Note 2 2 4 5 2 3" xfId="11779" xr:uid="{00000000-0005-0000-0000-00007E1F0000}"/>
    <cellStyle name="Note 2 2 4 5 3" xfId="8737" xr:uid="{00000000-0005-0000-0000-00007F1F0000}"/>
    <cellStyle name="Note 2 2 4 5 3 2" xfId="12393" xr:uid="{00000000-0005-0000-0000-0000801F0000}"/>
    <cellStyle name="Note 2 2 4 5 4" xfId="10767" xr:uid="{00000000-0005-0000-0000-0000811F0000}"/>
    <cellStyle name="Note 2 2 4 6" xfId="7512" xr:uid="{00000000-0005-0000-0000-0000821F0000}"/>
    <cellStyle name="Note 2 2 4 6 2" xfId="6990" xr:uid="{00000000-0005-0000-0000-0000831F0000}"/>
    <cellStyle name="Note 2 2 4 6 2 2" xfId="9678" xr:uid="{00000000-0005-0000-0000-0000841F0000}"/>
    <cellStyle name="Note 2 2 4 6 2 2 2" xfId="9297" xr:uid="{00000000-0005-0000-0000-0000851F0000}"/>
    <cellStyle name="Note 2 2 4 6 2 2 2 2" xfId="12930" xr:uid="{00000000-0005-0000-0000-0000861F0000}"/>
    <cellStyle name="Note 2 2 4 6 2 2 3" xfId="11270" xr:uid="{00000000-0005-0000-0000-0000871F0000}"/>
    <cellStyle name="Note 2 2 4 6 2 3" xfId="11651" xr:uid="{00000000-0005-0000-0000-0000881F0000}"/>
    <cellStyle name="Note 2 2 4 6 3" xfId="8579" xr:uid="{00000000-0005-0000-0000-0000891F0000}"/>
    <cellStyle name="Note 2 2 4 6 3 2" xfId="12300" xr:uid="{00000000-0005-0000-0000-00008A1F0000}"/>
    <cellStyle name="Note 2 2 4 6 4" xfId="10609" xr:uid="{00000000-0005-0000-0000-00008B1F0000}"/>
    <cellStyle name="Note 2 2 4 7" xfId="7876" xr:uid="{00000000-0005-0000-0000-00008C1F0000}"/>
    <cellStyle name="Note 2 2 4 7 2" xfId="8025" xr:uid="{00000000-0005-0000-0000-00008D1F0000}"/>
    <cellStyle name="Note 2 2 4 7 2 2" xfId="9967" xr:uid="{00000000-0005-0000-0000-00008E1F0000}"/>
    <cellStyle name="Note 2 2 4 7 2 2 2" xfId="10057" xr:uid="{00000000-0005-0000-0000-00008F1F0000}"/>
    <cellStyle name="Note 2 2 4 7 2 2 2 2" xfId="13259" xr:uid="{00000000-0005-0000-0000-0000901F0000}"/>
    <cellStyle name="Note 2 2 4 7 2 2 3" xfId="12030" xr:uid="{00000000-0005-0000-0000-0000911F0000}"/>
    <cellStyle name="Note 2 2 4 7 2 3" xfId="11940" xr:uid="{00000000-0005-0000-0000-0000921F0000}"/>
    <cellStyle name="Note 2 2 4 7 3" xfId="8124" xr:uid="{00000000-0005-0000-0000-0000931F0000}"/>
    <cellStyle name="Note 2 2 4 7 3 2" xfId="10154" xr:uid="{00000000-0005-0000-0000-0000941F0000}"/>
    <cellStyle name="Note 2 2 4 7 3 2 2" xfId="13347" xr:uid="{00000000-0005-0000-0000-0000951F0000}"/>
    <cellStyle name="Note 2 2 4 7 3 3" xfId="12127" xr:uid="{00000000-0005-0000-0000-0000961F0000}"/>
    <cellStyle name="Note 2 2 4 7 4" xfId="8923" xr:uid="{00000000-0005-0000-0000-0000971F0000}"/>
    <cellStyle name="Note 2 2 4 7 4 2" xfId="12474" xr:uid="{00000000-0005-0000-0000-0000981F0000}"/>
    <cellStyle name="Note 2 2 4 7 5" xfId="10953" xr:uid="{00000000-0005-0000-0000-0000991F0000}"/>
    <cellStyle name="Note 2 2 4 8" xfId="8331" xr:uid="{00000000-0005-0000-0000-00009A1F0000}"/>
    <cellStyle name="Note 2 2 4 8 2" xfId="9129" xr:uid="{00000000-0005-0000-0000-00009B1F0000}"/>
    <cellStyle name="Note 2 2 4 8 2 2" xfId="12547" xr:uid="{00000000-0005-0000-0000-00009C1F0000}"/>
    <cellStyle name="Note 2 2 4 8 3" xfId="11102" xr:uid="{00000000-0005-0000-0000-00009D1F0000}"/>
    <cellStyle name="Note 2 2 4 9" xfId="10361" xr:uid="{00000000-0005-0000-0000-00009E1F0000}"/>
    <cellStyle name="Note 2 2 5" xfId="2186" xr:uid="{00000000-0005-0000-0000-00009F1F0000}"/>
    <cellStyle name="Note 2 2 5 2" xfId="7326" xr:uid="{00000000-0005-0000-0000-0000A01F0000}"/>
    <cellStyle name="Note 2 2 5 2 2" xfId="7248" xr:uid="{00000000-0005-0000-0000-0000A11F0000}"/>
    <cellStyle name="Note 2 2 5 2 2 2" xfId="9539" xr:uid="{00000000-0005-0000-0000-0000A21F0000}"/>
    <cellStyle name="Note 2 2 5 2 2 2 2" xfId="9483" xr:uid="{00000000-0005-0000-0000-0000A31F0000}"/>
    <cellStyle name="Note 2 2 5 2 2 2 2 2" xfId="13108" xr:uid="{00000000-0005-0000-0000-0000A41F0000}"/>
    <cellStyle name="Note 2 2 5 2 2 2 3" xfId="11456" xr:uid="{00000000-0005-0000-0000-0000A51F0000}"/>
    <cellStyle name="Note 2 2 5 2 2 3" xfId="11512" xr:uid="{00000000-0005-0000-0000-0000A61F0000}"/>
    <cellStyle name="Note 2 2 5 2 3" xfId="8399" xr:uid="{00000000-0005-0000-0000-0000A71F0000}"/>
    <cellStyle name="Note 2 2 5 2 3 2" xfId="12597" xr:uid="{00000000-0005-0000-0000-0000A81F0000}"/>
    <cellStyle name="Note 2 2 5 2 4" xfId="10429" xr:uid="{00000000-0005-0000-0000-0000A91F0000}"/>
    <cellStyle name="Note 2 2 5 3" xfId="7419" xr:uid="{00000000-0005-0000-0000-0000AA1F0000}"/>
    <cellStyle name="Note 2 2 5 3 2" xfId="6950" xr:uid="{00000000-0005-0000-0000-0000AB1F0000}"/>
    <cellStyle name="Note 2 2 5 3 2 2" xfId="9606" xr:uid="{00000000-0005-0000-0000-0000AC1F0000}"/>
    <cellStyle name="Note 2 2 5 3 2 2 2" xfId="9267" xr:uid="{00000000-0005-0000-0000-0000AD1F0000}"/>
    <cellStyle name="Note 2 2 5 3 2 2 2 2" xfId="12901" xr:uid="{00000000-0005-0000-0000-0000AE1F0000}"/>
    <cellStyle name="Note 2 2 5 3 2 2 3" xfId="11240" xr:uid="{00000000-0005-0000-0000-0000AF1F0000}"/>
    <cellStyle name="Note 2 2 5 3 2 3" xfId="11579" xr:uid="{00000000-0005-0000-0000-0000B01F0000}"/>
    <cellStyle name="Note 2 2 5 3 3" xfId="8489" xr:uid="{00000000-0005-0000-0000-0000B11F0000}"/>
    <cellStyle name="Note 2 2 5 3 3 2" xfId="12247" xr:uid="{00000000-0005-0000-0000-0000B21F0000}"/>
    <cellStyle name="Note 2 2 5 3 4" xfId="10519" xr:uid="{00000000-0005-0000-0000-0000B31F0000}"/>
    <cellStyle name="Note 2 2 5 4" xfId="7528" xr:uid="{00000000-0005-0000-0000-0000B41F0000}"/>
    <cellStyle name="Note 2 2 5 4 2" xfId="7270" xr:uid="{00000000-0005-0000-0000-0000B51F0000}"/>
    <cellStyle name="Note 2 2 5 4 2 2" xfId="9497" xr:uid="{00000000-0005-0000-0000-0000B61F0000}"/>
    <cellStyle name="Note 2 2 5 4 2 2 2" xfId="13121" xr:uid="{00000000-0005-0000-0000-0000B71F0000}"/>
    <cellStyle name="Note 2 2 5 4 2 3" xfId="11470" xr:uid="{00000000-0005-0000-0000-0000B81F0000}"/>
    <cellStyle name="Note 2 2 5 4 3" xfId="8594" xr:uid="{00000000-0005-0000-0000-0000B91F0000}"/>
    <cellStyle name="Note 2 2 5 4 3 2" xfId="12677" xr:uid="{00000000-0005-0000-0000-0000BA1F0000}"/>
    <cellStyle name="Note 2 2 5 4 4" xfId="10624" xr:uid="{00000000-0005-0000-0000-0000BB1F0000}"/>
    <cellStyle name="Note 2 2 5 5" xfId="7751" xr:uid="{00000000-0005-0000-0000-0000BC1F0000}"/>
    <cellStyle name="Note 2 2 5 5 2" xfId="6958" xr:uid="{00000000-0005-0000-0000-0000BD1F0000}"/>
    <cellStyle name="Note 2 2 5 5 2 2" xfId="9863" xr:uid="{00000000-0005-0000-0000-0000BE1F0000}"/>
    <cellStyle name="Note 2 2 5 5 2 2 2" xfId="9273" xr:uid="{00000000-0005-0000-0000-0000BF1F0000}"/>
    <cellStyle name="Note 2 2 5 5 2 2 2 2" xfId="12907" xr:uid="{00000000-0005-0000-0000-0000C01F0000}"/>
    <cellStyle name="Note 2 2 5 5 2 2 3" xfId="11246" xr:uid="{00000000-0005-0000-0000-0000C11F0000}"/>
    <cellStyle name="Note 2 2 5 5 2 3" xfId="11836" xr:uid="{00000000-0005-0000-0000-0000C21F0000}"/>
    <cellStyle name="Note 2 2 5 5 3" xfId="8805" xr:uid="{00000000-0005-0000-0000-0000C31F0000}"/>
    <cellStyle name="Note 2 2 5 5 3 2" xfId="12443" xr:uid="{00000000-0005-0000-0000-0000C41F0000}"/>
    <cellStyle name="Note 2 2 5 5 4" xfId="10835" xr:uid="{00000000-0005-0000-0000-0000C51F0000}"/>
    <cellStyle name="Note 2 2 5 6" xfId="7476" xr:uid="{00000000-0005-0000-0000-0000C61F0000}"/>
    <cellStyle name="Note 2 2 5 6 2" xfId="7120" xr:uid="{00000000-0005-0000-0000-0000C71F0000}"/>
    <cellStyle name="Note 2 2 5 6 2 2" xfId="9647" xr:uid="{00000000-0005-0000-0000-0000C81F0000}"/>
    <cellStyle name="Note 2 2 5 6 2 2 2" xfId="9395" xr:uid="{00000000-0005-0000-0000-0000C91F0000}"/>
    <cellStyle name="Note 2 2 5 6 2 2 2 2" xfId="13025" xr:uid="{00000000-0005-0000-0000-0000CA1F0000}"/>
    <cellStyle name="Note 2 2 5 6 2 2 3" xfId="11368" xr:uid="{00000000-0005-0000-0000-0000CB1F0000}"/>
    <cellStyle name="Note 2 2 5 6 2 3" xfId="11620" xr:uid="{00000000-0005-0000-0000-0000CC1F0000}"/>
    <cellStyle name="Note 2 2 5 6 3" xfId="8543" xr:uid="{00000000-0005-0000-0000-0000CD1F0000}"/>
    <cellStyle name="Note 2 2 5 6 3 2" xfId="12276" xr:uid="{00000000-0005-0000-0000-0000CE1F0000}"/>
    <cellStyle name="Note 2 2 5 6 4" xfId="10573" xr:uid="{00000000-0005-0000-0000-0000CF1F0000}"/>
    <cellStyle name="Note 2 2 5 7" xfId="7883" xr:uid="{00000000-0005-0000-0000-0000D01F0000}"/>
    <cellStyle name="Note 2 2 5 7 2" xfId="8031" xr:uid="{00000000-0005-0000-0000-0000D11F0000}"/>
    <cellStyle name="Note 2 2 5 7 2 2" xfId="9973" xr:uid="{00000000-0005-0000-0000-0000D21F0000}"/>
    <cellStyle name="Note 2 2 5 7 2 2 2" xfId="10063" xr:uid="{00000000-0005-0000-0000-0000D31F0000}"/>
    <cellStyle name="Note 2 2 5 7 2 2 2 2" xfId="13265" xr:uid="{00000000-0005-0000-0000-0000D41F0000}"/>
    <cellStyle name="Note 2 2 5 7 2 2 3" xfId="12036" xr:uid="{00000000-0005-0000-0000-0000D51F0000}"/>
    <cellStyle name="Note 2 2 5 7 2 3" xfId="11946" xr:uid="{00000000-0005-0000-0000-0000D61F0000}"/>
    <cellStyle name="Note 2 2 5 7 3" xfId="8130" xr:uid="{00000000-0005-0000-0000-0000D71F0000}"/>
    <cellStyle name="Note 2 2 5 7 3 2" xfId="10160" xr:uid="{00000000-0005-0000-0000-0000D81F0000}"/>
    <cellStyle name="Note 2 2 5 7 3 2 2" xfId="13353" xr:uid="{00000000-0005-0000-0000-0000D91F0000}"/>
    <cellStyle name="Note 2 2 5 7 3 3" xfId="12133" xr:uid="{00000000-0005-0000-0000-0000DA1F0000}"/>
    <cellStyle name="Note 2 2 5 7 4" xfId="8929" xr:uid="{00000000-0005-0000-0000-0000DB1F0000}"/>
    <cellStyle name="Note 2 2 5 7 4 2" xfId="12480" xr:uid="{00000000-0005-0000-0000-0000DC1F0000}"/>
    <cellStyle name="Note 2 2 5 7 5" xfId="10959" xr:uid="{00000000-0005-0000-0000-0000DD1F0000}"/>
    <cellStyle name="Note 2 2 5 8" xfId="8337" xr:uid="{00000000-0005-0000-0000-0000DE1F0000}"/>
    <cellStyle name="Note 2 2 5 8 2" xfId="9135" xr:uid="{00000000-0005-0000-0000-0000DF1F0000}"/>
    <cellStyle name="Note 2 2 5 8 2 2" xfId="12553" xr:uid="{00000000-0005-0000-0000-0000E01F0000}"/>
    <cellStyle name="Note 2 2 5 8 3" xfId="11108" xr:uid="{00000000-0005-0000-0000-0000E11F0000}"/>
    <cellStyle name="Note 2 2 5 9" xfId="10367" xr:uid="{00000000-0005-0000-0000-0000E21F0000}"/>
    <cellStyle name="Note 2 2 6" xfId="2763" xr:uid="{00000000-0005-0000-0000-0000E31F0000}"/>
    <cellStyle name="Note 2 2 6 2" xfId="7371" xr:uid="{00000000-0005-0000-0000-0000E41F0000}"/>
    <cellStyle name="Note 2 2 6 2 2" xfId="7251" xr:uid="{00000000-0005-0000-0000-0000E51F0000}"/>
    <cellStyle name="Note 2 2 6 2 2 2" xfId="9571" xr:uid="{00000000-0005-0000-0000-0000E61F0000}"/>
    <cellStyle name="Note 2 2 6 2 2 2 2" xfId="9486" xr:uid="{00000000-0005-0000-0000-0000E71F0000}"/>
    <cellStyle name="Note 2 2 6 2 2 2 2 2" xfId="13110" xr:uid="{00000000-0005-0000-0000-0000E81F0000}"/>
    <cellStyle name="Note 2 2 6 2 2 2 3" xfId="11459" xr:uid="{00000000-0005-0000-0000-0000E91F0000}"/>
    <cellStyle name="Note 2 2 6 2 2 3" xfId="11544" xr:uid="{00000000-0005-0000-0000-0000EA1F0000}"/>
    <cellStyle name="Note 2 2 6 2 3" xfId="8442" xr:uid="{00000000-0005-0000-0000-0000EB1F0000}"/>
    <cellStyle name="Note 2 2 6 2 3 2" xfId="12619" xr:uid="{00000000-0005-0000-0000-0000EC1F0000}"/>
    <cellStyle name="Note 2 2 6 2 4" xfId="10472" xr:uid="{00000000-0005-0000-0000-0000ED1F0000}"/>
    <cellStyle name="Note 2 2 6 3" xfId="7678" xr:uid="{00000000-0005-0000-0000-0000EE1F0000}"/>
    <cellStyle name="Note 2 2 6 3 2" xfId="7015" xr:uid="{00000000-0005-0000-0000-0000EF1F0000}"/>
    <cellStyle name="Note 2 2 6 3 2 2" xfId="9803" xr:uid="{00000000-0005-0000-0000-0000F01F0000}"/>
    <cellStyle name="Note 2 2 6 3 2 2 2" xfId="9313" xr:uid="{00000000-0005-0000-0000-0000F11F0000}"/>
    <cellStyle name="Note 2 2 6 3 2 2 2 2" xfId="12946" xr:uid="{00000000-0005-0000-0000-0000F21F0000}"/>
    <cellStyle name="Note 2 2 6 3 2 2 3" xfId="11286" xr:uid="{00000000-0005-0000-0000-0000F31F0000}"/>
    <cellStyle name="Note 2 2 6 3 2 3" xfId="11776" xr:uid="{00000000-0005-0000-0000-0000F41F0000}"/>
    <cellStyle name="Note 2 2 6 3 3" xfId="8733" xr:uid="{00000000-0005-0000-0000-0000F51F0000}"/>
    <cellStyle name="Note 2 2 6 3 3 2" xfId="12390" xr:uid="{00000000-0005-0000-0000-0000F61F0000}"/>
    <cellStyle name="Note 2 2 6 3 4" xfId="10763" xr:uid="{00000000-0005-0000-0000-0000F71F0000}"/>
    <cellStyle name="Note 2 2 6 4" xfId="7463" xr:uid="{00000000-0005-0000-0000-0000F81F0000}"/>
    <cellStyle name="Note 2 2 6 4 2" xfId="6887" xr:uid="{00000000-0005-0000-0000-0000F91F0000}"/>
    <cellStyle name="Note 2 2 6 4 2 2" xfId="9220" xr:uid="{00000000-0005-0000-0000-0000FA1F0000}"/>
    <cellStyle name="Note 2 2 6 4 2 2 2" xfId="12856" xr:uid="{00000000-0005-0000-0000-0000FB1F0000}"/>
    <cellStyle name="Note 2 2 6 4 2 3" xfId="11193" xr:uid="{00000000-0005-0000-0000-0000FC1F0000}"/>
    <cellStyle name="Note 2 2 6 4 3" xfId="8530" xr:uid="{00000000-0005-0000-0000-0000FD1F0000}"/>
    <cellStyle name="Note 2 2 6 4 3 2" xfId="12658" xr:uid="{00000000-0005-0000-0000-0000FE1F0000}"/>
    <cellStyle name="Note 2 2 6 4 4" xfId="10560" xr:uid="{00000000-0005-0000-0000-0000FF1F0000}"/>
    <cellStyle name="Note 2 2 6 5" xfId="7322" xr:uid="{00000000-0005-0000-0000-000000200000}"/>
    <cellStyle name="Note 2 2 6 5 2" xfId="6977" xr:uid="{00000000-0005-0000-0000-000001200000}"/>
    <cellStyle name="Note 2 2 6 5 2 2" xfId="9535" xr:uid="{00000000-0005-0000-0000-000002200000}"/>
    <cellStyle name="Note 2 2 6 5 2 2 2" xfId="9287" xr:uid="{00000000-0005-0000-0000-000003200000}"/>
    <cellStyle name="Note 2 2 6 5 2 2 2 2" xfId="12920" xr:uid="{00000000-0005-0000-0000-000004200000}"/>
    <cellStyle name="Note 2 2 6 5 2 2 3" xfId="11260" xr:uid="{00000000-0005-0000-0000-000005200000}"/>
    <cellStyle name="Note 2 2 6 5 2 3" xfId="11508" xr:uid="{00000000-0005-0000-0000-000006200000}"/>
    <cellStyle name="Note 2 2 6 5 3" xfId="8395" xr:uid="{00000000-0005-0000-0000-000007200000}"/>
    <cellStyle name="Note 2 2 6 5 3 2" xfId="12200" xr:uid="{00000000-0005-0000-0000-000008200000}"/>
    <cellStyle name="Note 2 2 6 5 4" xfId="10425" xr:uid="{00000000-0005-0000-0000-000009200000}"/>
    <cellStyle name="Note 2 2 6 6" xfId="7717" xr:uid="{00000000-0005-0000-0000-00000A200000}"/>
    <cellStyle name="Note 2 2 6 6 2" xfId="7040" xr:uid="{00000000-0005-0000-0000-00000B200000}"/>
    <cellStyle name="Note 2 2 6 6 2 2" xfId="9836" xr:uid="{00000000-0005-0000-0000-00000C200000}"/>
    <cellStyle name="Note 2 2 6 6 2 2 2" xfId="9334" xr:uid="{00000000-0005-0000-0000-00000D200000}"/>
    <cellStyle name="Note 2 2 6 6 2 2 2 2" xfId="12965" xr:uid="{00000000-0005-0000-0000-00000E200000}"/>
    <cellStyle name="Note 2 2 6 6 2 2 3" xfId="11307" xr:uid="{00000000-0005-0000-0000-00000F200000}"/>
    <cellStyle name="Note 2 2 6 6 2 3" xfId="11809" xr:uid="{00000000-0005-0000-0000-000010200000}"/>
    <cellStyle name="Note 2 2 6 6 3" xfId="8772" xr:uid="{00000000-0005-0000-0000-000011200000}"/>
    <cellStyle name="Note 2 2 6 6 3 2" xfId="12418" xr:uid="{00000000-0005-0000-0000-000012200000}"/>
    <cellStyle name="Note 2 2 6 6 4" xfId="10802" xr:uid="{00000000-0005-0000-0000-000013200000}"/>
    <cellStyle name="Note 2 2 6 7" xfId="7887" xr:uid="{00000000-0005-0000-0000-000014200000}"/>
    <cellStyle name="Note 2 2 6 7 2" xfId="8035" xr:uid="{00000000-0005-0000-0000-000015200000}"/>
    <cellStyle name="Note 2 2 6 7 2 2" xfId="9976" xr:uid="{00000000-0005-0000-0000-000016200000}"/>
    <cellStyle name="Note 2 2 6 7 2 2 2" xfId="10067" xr:uid="{00000000-0005-0000-0000-000017200000}"/>
    <cellStyle name="Note 2 2 6 7 2 2 2 2" xfId="13268" xr:uid="{00000000-0005-0000-0000-000018200000}"/>
    <cellStyle name="Note 2 2 6 7 2 2 3" xfId="12040" xr:uid="{00000000-0005-0000-0000-000019200000}"/>
    <cellStyle name="Note 2 2 6 7 2 3" xfId="11949" xr:uid="{00000000-0005-0000-0000-00001A200000}"/>
    <cellStyle name="Note 2 2 6 7 3" xfId="8133" xr:uid="{00000000-0005-0000-0000-00001B200000}"/>
    <cellStyle name="Note 2 2 6 7 3 2" xfId="10163" xr:uid="{00000000-0005-0000-0000-00001C200000}"/>
    <cellStyle name="Note 2 2 6 7 3 2 2" xfId="13356" xr:uid="{00000000-0005-0000-0000-00001D200000}"/>
    <cellStyle name="Note 2 2 6 7 3 3" xfId="12136" xr:uid="{00000000-0005-0000-0000-00001E200000}"/>
    <cellStyle name="Note 2 2 6 7 4" xfId="8933" xr:uid="{00000000-0005-0000-0000-00001F200000}"/>
    <cellStyle name="Note 2 2 6 7 4 2" xfId="12483" xr:uid="{00000000-0005-0000-0000-000020200000}"/>
    <cellStyle name="Note 2 2 6 7 5" xfId="10963" xr:uid="{00000000-0005-0000-0000-000021200000}"/>
    <cellStyle name="Note 2 2 6 8" xfId="8340" xr:uid="{00000000-0005-0000-0000-000022200000}"/>
    <cellStyle name="Note 2 2 6 8 2" xfId="9138" xr:uid="{00000000-0005-0000-0000-000023200000}"/>
    <cellStyle name="Note 2 2 6 8 2 2" xfId="12556" xr:uid="{00000000-0005-0000-0000-000024200000}"/>
    <cellStyle name="Note 2 2 6 8 3" xfId="11111" xr:uid="{00000000-0005-0000-0000-000025200000}"/>
    <cellStyle name="Note 2 2 6 9" xfId="10370" xr:uid="{00000000-0005-0000-0000-000026200000}"/>
    <cellStyle name="Note 2 2 7" xfId="2799" xr:uid="{00000000-0005-0000-0000-000027200000}"/>
    <cellStyle name="Note 2 2 7 2" xfId="7659" xr:uid="{00000000-0005-0000-0000-000028200000}"/>
    <cellStyle name="Note 2 2 7 2 2" xfId="7023" xr:uid="{00000000-0005-0000-0000-000029200000}"/>
    <cellStyle name="Note 2 2 7 2 2 2" xfId="9787" xr:uid="{00000000-0005-0000-0000-00002A200000}"/>
    <cellStyle name="Note 2 2 7 2 2 2 2" xfId="9320" xr:uid="{00000000-0005-0000-0000-00002B200000}"/>
    <cellStyle name="Note 2 2 7 2 2 2 2 2" xfId="12952" xr:uid="{00000000-0005-0000-0000-00002C200000}"/>
    <cellStyle name="Note 2 2 7 2 2 2 3" xfId="11293" xr:uid="{00000000-0005-0000-0000-00002D200000}"/>
    <cellStyle name="Note 2 2 7 2 2 3" xfId="11760" xr:uid="{00000000-0005-0000-0000-00002E200000}"/>
    <cellStyle name="Note 2 2 7 2 3" xfId="8716" xr:uid="{00000000-0005-0000-0000-00002F200000}"/>
    <cellStyle name="Note 2 2 7 2 3 2" xfId="12725" xr:uid="{00000000-0005-0000-0000-000030200000}"/>
    <cellStyle name="Note 2 2 7 2 4" xfId="10746" xr:uid="{00000000-0005-0000-0000-000031200000}"/>
    <cellStyle name="Note 2 2 7 3" xfId="7537" xr:uid="{00000000-0005-0000-0000-000032200000}"/>
    <cellStyle name="Note 2 2 7 3 2" xfId="7150" xr:uid="{00000000-0005-0000-0000-000033200000}"/>
    <cellStyle name="Note 2 2 7 3 2 2" xfId="9698" xr:uid="{00000000-0005-0000-0000-000034200000}"/>
    <cellStyle name="Note 2 2 7 3 2 2 2" xfId="9415" xr:uid="{00000000-0005-0000-0000-000035200000}"/>
    <cellStyle name="Note 2 2 7 3 2 2 2 2" xfId="13045" xr:uid="{00000000-0005-0000-0000-000036200000}"/>
    <cellStyle name="Note 2 2 7 3 2 2 3" xfId="11388" xr:uid="{00000000-0005-0000-0000-000037200000}"/>
    <cellStyle name="Note 2 2 7 3 2 3" xfId="11671" xr:uid="{00000000-0005-0000-0000-000038200000}"/>
    <cellStyle name="Note 2 2 7 3 3" xfId="8603" xr:uid="{00000000-0005-0000-0000-000039200000}"/>
    <cellStyle name="Note 2 2 7 3 3 2" xfId="12315" xr:uid="{00000000-0005-0000-0000-00003A200000}"/>
    <cellStyle name="Note 2 2 7 3 4" xfId="10633" xr:uid="{00000000-0005-0000-0000-00003B200000}"/>
    <cellStyle name="Note 2 2 7 4" xfId="7374" xr:uid="{00000000-0005-0000-0000-00003C200000}"/>
    <cellStyle name="Note 2 2 7 4 2" xfId="6952" xr:uid="{00000000-0005-0000-0000-00003D200000}"/>
    <cellStyle name="Note 2 2 7 4 2 2" xfId="9269" xr:uid="{00000000-0005-0000-0000-00003E200000}"/>
    <cellStyle name="Note 2 2 7 4 2 2 2" xfId="12903" xr:uid="{00000000-0005-0000-0000-00003F200000}"/>
    <cellStyle name="Note 2 2 7 4 2 3" xfId="11242" xr:uid="{00000000-0005-0000-0000-000040200000}"/>
    <cellStyle name="Note 2 2 7 4 3" xfId="8445" xr:uid="{00000000-0005-0000-0000-000041200000}"/>
    <cellStyle name="Note 2 2 7 4 3 2" xfId="12621" xr:uid="{00000000-0005-0000-0000-000042200000}"/>
    <cellStyle name="Note 2 2 7 4 4" xfId="10475" xr:uid="{00000000-0005-0000-0000-000043200000}"/>
    <cellStyle name="Note 2 2 7 5" xfId="7703" xr:uid="{00000000-0005-0000-0000-000044200000}"/>
    <cellStyle name="Note 2 2 7 5 2" xfId="7247" xr:uid="{00000000-0005-0000-0000-000045200000}"/>
    <cellStyle name="Note 2 2 7 5 2 2" xfId="9823" xr:uid="{00000000-0005-0000-0000-000046200000}"/>
    <cellStyle name="Note 2 2 7 5 2 2 2" xfId="9482" xr:uid="{00000000-0005-0000-0000-000047200000}"/>
    <cellStyle name="Note 2 2 7 5 2 2 2 2" xfId="13107" xr:uid="{00000000-0005-0000-0000-000048200000}"/>
    <cellStyle name="Note 2 2 7 5 2 2 3" xfId="11455" xr:uid="{00000000-0005-0000-0000-000049200000}"/>
    <cellStyle name="Note 2 2 7 5 2 3" xfId="11796" xr:uid="{00000000-0005-0000-0000-00004A200000}"/>
    <cellStyle name="Note 2 2 7 5 3" xfId="8758" xr:uid="{00000000-0005-0000-0000-00004B200000}"/>
    <cellStyle name="Note 2 2 7 5 3 2" xfId="12407" xr:uid="{00000000-0005-0000-0000-00004C200000}"/>
    <cellStyle name="Note 2 2 7 5 4" xfId="10788" xr:uid="{00000000-0005-0000-0000-00004D200000}"/>
    <cellStyle name="Note 2 2 7 6" xfId="7725" xr:uid="{00000000-0005-0000-0000-00004E200000}"/>
    <cellStyle name="Note 2 2 7 6 2" xfId="7107" xr:uid="{00000000-0005-0000-0000-00004F200000}"/>
    <cellStyle name="Note 2 2 7 6 2 2" xfId="9843" xr:uid="{00000000-0005-0000-0000-000050200000}"/>
    <cellStyle name="Note 2 2 7 6 2 2 2" xfId="9387" xr:uid="{00000000-0005-0000-0000-000051200000}"/>
    <cellStyle name="Note 2 2 7 6 2 2 2 2" xfId="13017" xr:uid="{00000000-0005-0000-0000-000052200000}"/>
    <cellStyle name="Note 2 2 7 6 2 2 3" xfId="11360" xr:uid="{00000000-0005-0000-0000-000053200000}"/>
    <cellStyle name="Note 2 2 7 6 2 3" xfId="11816" xr:uid="{00000000-0005-0000-0000-000054200000}"/>
    <cellStyle name="Note 2 2 7 6 3" xfId="8780" xr:uid="{00000000-0005-0000-0000-000055200000}"/>
    <cellStyle name="Note 2 2 7 6 3 2" xfId="12424" xr:uid="{00000000-0005-0000-0000-000056200000}"/>
    <cellStyle name="Note 2 2 7 6 4" xfId="10810" xr:uid="{00000000-0005-0000-0000-000057200000}"/>
    <cellStyle name="Note 2 2 7 7" xfId="7894" xr:uid="{00000000-0005-0000-0000-000058200000}"/>
    <cellStyle name="Note 2 2 7 7 2" xfId="8042" xr:uid="{00000000-0005-0000-0000-000059200000}"/>
    <cellStyle name="Note 2 2 7 7 2 2" xfId="9983" xr:uid="{00000000-0005-0000-0000-00005A200000}"/>
    <cellStyle name="Note 2 2 7 7 2 2 2" xfId="10074" xr:uid="{00000000-0005-0000-0000-00005B200000}"/>
    <cellStyle name="Note 2 2 7 7 2 2 2 2" xfId="13275" xr:uid="{00000000-0005-0000-0000-00005C200000}"/>
    <cellStyle name="Note 2 2 7 7 2 2 3" xfId="12047" xr:uid="{00000000-0005-0000-0000-00005D200000}"/>
    <cellStyle name="Note 2 2 7 7 2 3" xfId="11956" xr:uid="{00000000-0005-0000-0000-00005E200000}"/>
    <cellStyle name="Note 2 2 7 7 3" xfId="8140" xr:uid="{00000000-0005-0000-0000-00005F200000}"/>
    <cellStyle name="Note 2 2 7 7 3 2" xfId="10170" xr:uid="{00000000-0005-0000-0000-000060200000}"/>
    <cellStyle name="Note 2 2 7 7 3 2 2" xfId="13363" xr:uid="{00000000-0005-0000-0000-000061200000}"/>
    <cellStyle name="Note 2 2 7 7 3 3" xfId="12143" xr:uid="{00000000-0005-0000-0000-000062200000}"/>
    <cellStyle name="Note 2 2 7 7 4" xfId="8940" xr:uid="{00000000-0005-0000-0000-000063200000}"/>
    <cellStyle name="Note 2 2 7 7 4 2" xfId="12490" xr:uid="{00000000-0005-0000-0000-000064200000}"/>
    <cellStyle name="Note 2 2 7 7 5" xfId="10970" xr:uid="{00000000-0005-0000-0000-000065200000}"/>
    <cellStyle name="Note 2 2 7 8" xfId="8347" xr:uid="{00000000-0005-0000-0000-000066200000}"/>
    <cellStyle name="Note 2 2 7 8 2" xfId="9145" xr:uid="{00000000-0005-0000-0000-000067200000}"/>
    <cellStyle name="Note 2 2 7 8 2 2" xfId="12563" xr:uid="{00000000-0005-0000-0000-000068200000}"/>
    <cellStyle name="Note 2 2 7 8 3" xfId="11118" xr:uid="{00000000-0005-0000-0000-000069200000}"/>
    <cellStyle name="Note 2 2 7 9" xfId="10377" xr:uid="{00000000-0005-0000-0000-00006A200000}"/>
    <cellStyle name="Note 2 2 8" xfId="4359" xr:uid="{00000000-0005-0000-0000-00006B200000}"/>
    <cellStyle name="Note 2 2 8 2" xfId="7555" xr:uid="{00000000-0005-0000-0000-00006C200000}"/>
    <cellStyle name="Note 2 2 8 2 2" xfId="6991" xr:uid="{00000000-0005-0000-0000-00006D200000}"/>
    <cellStyle name="Note 2 2 8 2 2 2" xfId="9714" xr:uid="{00000000-0005-0000-0000-00006E200000}"/>
    <cellStyle name="Note 2 2 8 2 2 2 2" xfId="9298" xr:uid="{00000000-0005-0000-0000-00006F200000}"/>
    <cellStyle name="Note 2 2 8 2 2 2 2 2" xfId="12931" xr:uid="{00000000-0005-0000-0000-000070200000}"/>
    <cellStyle name="Note 2 2 8 2 2 2 3" xfId="11271" xr:uid="{00000000-0005-0000-0000-000071200000}"/>
    <cellStyle name="Note 2 2 8 2 2 3" xfId="11687" xr:uid="{00000000-0005-0000-0000-000072200000}"/>
    <cellStyle name="Note 2 2 8 2 3" xfId="8620" xr:uid="{00000000-0005-0000-0000-000073200000}"/>
    <cellStyle name="Note 2 2 8 2 3 2" xfId="12682" xr:uid="{00000000-0005-0000-0000-000074200000}"/>
    <cellStyle name="Note 2 2 8 2 4" xfId="10650" xr:uid="{00000000-0005-0000-0000-000075200000}"/>
    <cellStyle name="Note 2 2 8 3" xfId="7571" xr:uid="{00000000-0005-0000-0000-000076200000}"/>
    <cellStyle name="Note 2 2 8 3 2" xfId="7050" xr:uid="{00000000-0005-0000-0000-000077200000}"/>
    <cellStyle name="Note 2 2 8 3 2 2" xfId="9725" xr:uid="{00000000-0005-0000-0000-000078200000}"/>
    <cellStyle name="Note 2 2 8 3 2 2 2" xfId="9343" xr:uid="{00000000-0005-0000-0000-000079200000}"/>
    <cellStyle name="Note 2 2 8 3 2 2 2 2" xfId="12974" xr:uid="{00000000-0005-0000-0000-00007A200000}"/>
    <cellStyle name="Note 2 2 8 3 2 2 3" xfId="11316" xr:uid="{00000000-0005-0000-0000-00007B200000}"/>
    <cellStyle name="Note 2 2 8 3 2 3" xfId="11698" xr:uid="{00000000-0005-0000-0000-00007C200000}"/>
    <cellStyle name="Note 2 2 8 3 3" xfId="8635" xr:uid="{00000000-0005-0000-0000-00007D200000}"/>
    <cellStyle name="Note 2 2 8 3 3 2" xfId="12336" xr:uid="{00000000-0005-0000-0000-00007E200000}"/>
    <cellStyle name="Note 2 2 8 3 4" xfId="10665" xr:uid="{00000000-0005-0000-0000-00007F200000}"/>
    <cellStyle name="Note 2 2 8 4" xfId="7347" xr:uid="{00000000-0005-0000-0000-000080200000}"/>
    <cellStyle name="Note 2 2 8 4 2" xfId="7100" xr:uid="{00000000-0005-0000-0000-000081200000}"/>
    <cellStyle name="Note 2 2 8 4 2 2" xfId="9382" xr:uid="{00000000-0005-0000-0000-000082200000}"/>
    <cellStyle name="Note 2 2 8 4 2 2 2" xfId="13012" xr:uid="{00000000-0005-0000-0000-000083200000}"/>
    <cellStyle name="Note 2 2 8 4 2 3" xfId="11355" xr:uid="{00000000-0005-0000-0000-000084200000}"/>
    <cellStyle name="Note 2 2 8 4 3" xfId="8419" xr:uid="{00000000-0005-0000-0000-000085200000}"/>
    <cellStyle name="Note 2 2 8 4 3 2" xfId="12608" xr:uid="{00000000-0005-0000-0000-000086200000}"/>
    <cellStyle name="Note 2 2 8 4 4" xfId="10449" xr:uid="{00000000-0005-0000-0000-000087200000}"/>
    <cellStyle name="Note 2 2 8 5" xfId="7296" xr:uid="{00000000-0005-0000-0000-000088200000}"/>
    <cellStyle name="Note 2 2 8 5 2" xfId="7242" xr:uid="{00000000-0005-0000-0000-000089200000}"/>
    <cellStyle name="Note 2 2 8 5 2 2" xfId="9516" xr:uid="{00000000-0005-0000-0000-00008A200000}"/>
    <cellStyle name="Note 2 2 8 5 2 2 2" xfId="9479" xr:uid="{00000000-0005-0000-0000-00008B200000}"/>
    <cellStyle name="Note 2 2 8 5 2 2 2 2" xfId="13104" xr:uid="{00000000-0005-0000-0000-00008C200000}"/>
    <cellStyle name="Note 2 2 8 5 2 2 3" xfId="11452" xr:uid="{00000000-0005-0000-0000-00008D200000}"/>
    <cellStyle name="Note 2 2 8 5 2 3" xfId="11489" xr:uid="{00000000-0005-0000-0000-00008E200000}"/>
    <cellStyle name="Note 2 2 8 5 3" xfId="8369" xr:uid="{00000000-0005-0000-0000-00008F200000}"/>
    <cellStyle name="Note 2 2 8 5 3 2" xfId="12187" xr:uid="{00000000-0005-0000-0000-000090200000}"/>
    <cellStyle name="Note 2 2 8 5 4" xfId="10399" xr:uid="{00000000-0005-0000-0000-000091200000}"/>
    <cellStyle name="Note 2 2 8 6" xfId="7495" xr:uid="{00000000-0005-0000-0000-000092200000}"/>
    <cellStyle name="Note 2 2 8 6 2" xfId="7159" xr:uid="{00000000-0005-0000-0000-000093200000}"/>
    <cellStyle name="Note 2 2 8 6 2 2" xfId="9666" xr:uid="{00000000-0005-0000-0000-000094200000}"/>
    <cellStyle name="Note 2 2 8 6 2 2 2" xfId="9420" xr:uid="{00000000-0005-0000-0000-000095200000}"/>
    <cellStyle name="Note 2 2 8 6 2 2 2 2" xfId="13050" xr:uid="{00000000-0005-0000-0000-000096200000}"/>
    <cellStyle name="Note 2 2 8 6 2 2 3" xfId="11393" xr:uid="{00000000-0005-0000-0000-000097200000}"/>
    <cellStyle name="Note 2 2 8 6 2 3" xfId="11639" xr:uid="{00000000-0005-0000-0000-000098200000}"/>
    <cellStyle name="Note 2 2 8 6 3" xfId="8562" xr:uid="{00000000-0005-0000-0000-000099200000}"/>
    <cellStyle name="Note 2 2 8 6 3 2" xfId="12293" xr:uid="{00000000-0005-0000-0000-00009A200000}"/>
    <cellStyle name="Note 2 2 8 6 4" xfId="10592" xr:uid="{00000000-0005-0000-0000-00009B200000}"/>
    <cellStyle name="Note 2 2 8 7" xfId="7904" xr:uid="{00000000-0005-0000-0000-00009C200000}"/>
    <cellStyle name="Note 2 2 8 7 2" xfId="8052" xr:uid="{00000000-0005-0000-0000-00009D200000}"/>
    <cellStyle name="Note 2 2 8 7 2 2" xfId="9990" xr:uid="{00000000-0005-0000-0000-00009E200000}"/>
    <cellStyle name="Note 2 2 8 7 2 2 2" xfId="10084" xr:uid="{00000000-0005-0000-0000-00009F200000}"/>
    <cellStyle name="Note 2 2 8 7 2 2 2 2" xfId="13282" xr:uid="{00000000-0005-0000-0000-0000A0200000}"/>
    <cellStyle name="Note 2 2 8 7 2 2 3" xfId="12057" xr:uid="{00000000-0005-0000-0000-0000A1200000}"/>
    <cellStyle name="Note 2 2 8 7 2 3" xfId="11963" xr:uid="{00000000-0005-0000-0000-0000A2200000}"/>
    <cellStyle name="Note 2 2 8 7 3" xfId="8147" xr:uid="{00000000-0005-0000-0000-0000A3200000}"/>
    <cellStyle name="Note 2 2 8 7 3 2" xfId="10177" xr:uid="{00000000-0005-0000-0000-0000A4200000}"/>
    <cellStyle name="Note 2 2 8 7 3 2 2" xfId="13370" xr:uid="{00000000-0005-0000-0000-0000A5200000}"/>
    <cellStyle name="Note 2 2 8 7 3 3" xfId="12150" xr:uid="{00000000-0005-0000-0000-0000A6200000}"/>
    <cellStyle name="Note 2 2 8 7 4" xfId="8950" xr:uid="{00000000-0005-0000-0000-0000A7200000}"/>
    <cellStyle name="Note 2 2 8 7 4 2" xfId="12497" xr:uid="{00000000-0005-0000-0000-0000A8200000}"/>
    <cellStyle name="Note 2 2 8 7 5" xfId="10980" xr:uid="{00000000-0005-0000-0000-0000A9200000}"/>
    <cellStyle name="Note 2 2 8 8" xfId="8354" xr:uid="{00000000-0005-0000-0000-0000AA200000}"/>
    <cellStyle name="Note 2 2 8 8 2" xfId="9152" xr:uid="{00000000-0005-0000-0000-0000AB200000}"/>
    <cellStyle name="Note 2 2 8 8 2 2" xfId="12570" xr:uid="{00000000-0005-0000-0000-0000AC200000}"/>
    <cellStyle name="Note 2 2 8 8 3" xfId="11125" xr:uid="{00000000-0005-0000-0000-0000AD200000}"/>
    <cellStyle name="Note 2 2 8 9" xfId="10384" xr:uid="{00000000-0005-0000-0000-0000AE200000}"/>
    <cellStyle name="Note 2 2 9" xfId="5839" xr:uid="{00000000-0005-0000-0000-0000AF200000}"/>
    <cellStyle name="Note 2 2 9 2" xfId="7530" xr:uid="{00000000-0005-0000-0000-0000B0200000}"/>
    <cellStyle name="Note 2 2 9 2 2" xfId="7209" xr:uid="{00000000-0005-0000-0000-0000B1200000}"/>
    <cellStyle name="Note 2 2 9 2 2 2" xfId="9693" xr:uid="{00000000-0005-0000-0000-0000B2200000}"/>
    <cellStyle name="Note 2 2 9 2 2 2 2" xfId="9453" xr:uid="{00000000-0005-0000-0000-0000B3200000}"/>
    <cellStyle name="Note 2 2 9 2 2 2 2 2" xfId="13080" xr:uid="{00000000-0005-0000-0000-0000B4200000}"/>
    <cellStyle name="Note 2 2 9 2 2 2 3" xfId="11426" xr:uid="{00000000-0005-0000-0000-0000B5200000}"/>
    <cellStyle name="Note 2 2 9 2 2 3" xfId="11666" xr:uid="{00000000-0005-0000-0000-0000B6200000}"/>
    <cellStyle name="Note 2 2 9 2 3" xfId="8596" xr:uid="{00000000-0005-0000-0000-0000B7200000}"/>
    <cellStyle name="Note 2 2 9 2 3 2" xfId="12678" xr:uid="{00000000-0005-0000-0000-0000B8200000}"/>
    <cellStyle name="Note 2 2 9 2 4" xfId="10626" xr:uid="{00000000-0005-0000-0000-0000B9200000}"/>
    <cellStyle name="Note 2 2 9 3" xfId="7527" xr:uid="{00000000-0005-0000-0000-0000BA200000}"/>
    <cellStyle name="Note 2 2 9 3 2" xfId="6989" xr:uid="{00000000-0005-0000-0000-0000BB200000}"/>
    <cellStyle name="Note 2 2 9 3 2 2" xfId="9691" xr:uid="{00000000-0005-0000-0000-0000BC200000}"/>
    <cellStyle name="Note 2 2 9 3 2 2 2" xfId="9296" xr:uid="{00000000-0005-0000-0000-0000BD200000}"/>
    <cellStyle name="Note 2 2 9 3 2 2 2 2" xfId="12929" xr:uid="{00000000-0005-0000-0000-0000BE200000}"/>
    <cellStyle name="Note 2 2 9 3 2 2 3" xfId="11269" xr:uid="{00000000-0005-0000-0000-0000BF200000}"/>
    <cellStyle name="Note 2 2 9 3 2 3" xfId="11664" xr:uid="{00000000-0005-0000-0000-0000C0200000}"/>
    <cellStyle name="Note 2 2 9 3 3" xfId="8593" xr:uid="{00000000-0005-0000-0000-0000C1200000}"/>
    <cellStyle name="Note 2 2 9 3 3 2" xfId="12309" xr:uid="{00000000-0005-0000-0000-0000C2200000}"/>
    <cellStyle name="Note 2 2 9 3 4" xfId="10623" xr:uid="{00000000-0005-0000-0000-0000C3200000}"/>
    <cellStyle name="Note 2 2 9 4" xfId="7686" xr:uid="{00000000-0005-0000-0000-0000C4200000}"/>
    <cellStyle name="Note 2 2 9 4 2" xfId="7254" xr:uid="{00000000-0005-0000-0000-0000C5200000}"/>
    <cellStyle name="Note 2 2 9 4 2 2" xfId="9488" xr:uid="{00000000-0005-0000-0000-0000C6200000}"/>
    <cellStyle name="Note 2 2 9 4 2 2 2" xfId="13112" xr:uid="{00000000-0005-0000-0000-0000C7200000}"/>
    <cellStyle name="Note 2 2 9 4 2 3" xfId="11461" xr:uid="{00000000-0005-0000-0000-0000C8200000}"/>
    <cellStyle name="Note 2 2 9 4 3" xfId="8741" xr:uid="{00000000-0005-0000-0000-0000C9200000}"/>
    <cellStyle name="Note 2 2 9 4 3 2" xfId="12736" xr:uid="{00000000-0005-0000-0000-0000CA200000}"/>
    <cellStyle name="Note 2 2 9 4 4" xfId="10771" xr:uid="{00000000-0005-0000-0000-0000CB200000}"/>
    <cellStyle name="Note 2 2 9 5" xfId="7741" xr:uid="{00000000-0005-0000-0000-0000CC200000}"/>
    <cellStyle name="Note 2 2 9 5 2" xfId="7952" xr:uid="{00000000-0005-0000-0000-0000CD200000}"/>
    <cellStyle name="Note 2 2 9 5 2 2" xfId="9855" xr:uid="{00000000-0005-0000-0000-0000CE200000}"/>
    <cellStyle name="Note 2 2 9 5 2 2 2" xfId="10013" xr:uid="{00000000-0005-0000-0000-0000CF200000}"/>
    <cellStyle name="Note 2 2 9 5 2 2 2 2" xfId="13227" xr:uid="{00000000-0005-0000-0000-0000D0200000}"/>
    <cellStyle name="Note 2 2 9 5 2 2 3" xfId="11986" xr:uid="{00000000-0005-0000-0000-0000D1200000}"/>
    <cellStyle name="Note 2 2 9 5 2 3" xfId="11828" xr:uid="{00000000-0005-0000-0000-0000D2200000}"/>
    <cellStyle name="Note 2 2 9 5 3" xfId="8795" xr:uid="{00000000-0005-0000-0000-0000D3200000}"/>
    <cellStyle name="Note 2 2 9 5 3 2" xfId="12435" xr:uid="{00000000-0005-0000-0000-0000D4200000}"/>
    <cellStyle name="Note 2 2 9 5 4" xfId="10825" xr:uid="{00000000-0005-0000-0000-0000D5200000}"/>
    <cellStyle name="Note 2 2 9 6" xfId="7489" xr:uid="{00000000-0005-0000-0000-0000D6200000}"/>
    <cellStyle name="Note 2 2 9 6 2" xfId="6859" xr:uid="{00000000-0005-0000-0000-0000D7200000}"/>
    <cellStyle name="Note 2 2 9 6 2 2" xfId="9660" xr:uid="{00000000-0005-0000-0000-0000D8200000}"/>
    <cellStyle name="Note 2 2 9 6 2 2 2" xfId="9197" xr:uid="{00000000-0005-0000-0000-0000D9200000}"/>
    <cellStyle name="Note 2 2 9 6 2 2 2 2" xfId="12837" xr:uid="{00000000-0005-0000-0000-0000DA200000}"/>
    <cellStyle name="Note 2 2 9 6 2 2 3" xfId="11170" xr:uid="{00000000-0005-0000-0000-0000DB200000}"/>
    <cellStyle name="Note 2 2 9 6 2 3" xfId="11633" xr:uid="{00000000-0005-0000-0000-0000DC200000}"/>
    <cellStyle name="Note 2 2 9 6 3" xfId="8556" xr:uid="{00000000-0005-0000-0000-0000DD200000}"/>
    <cellStyle name="Note 2 2 9 6 3 2" xfId="12288" xr:uid="{00000000-0005-0000-0000-0000DE200000}"/>
    <cellStyle name="Note 2 2 9 6 4" xfId="10586" xr:uid="{00000000-0005-0000-0000-0000DF200000}"/>
    <cellStyle name="Note 2 2 9 7" xfId="7913" xr:uid="{00000000-0005-0000-0000-0000E0200000}"/>
    <cellStyle name="Note 2 2 9 7 2" xfId="8060" xr:uid="{00000000-0005-0000-0000-0000E1200000}"/>
    <cellStyle name="Note 2 2 9 7 2 2" xfId="9998" xr:uid="{00000000-0005-0000-0000-0000E2200000}"/>
    <cellStyle name="Note 2 2 9 7 2 2 2" xfId="10091" xr:uid="{00000000-0005-0000-0000-0000E3200000}"/>
    <cellStyle name="Note 2 2 9 7 2 2 2 2" xfId="13289" xr:uid="{00000000-0005-0000-0000-0000E4200000}"/>
    <cellStyle name="Note 2 2 9 7 2 2 3" xfId="12064" xr:uid="{00000000-0005-0000-0000-0000E5200000}"/>
    <cellStyle name="Note 2 2 9 7 2 3" xfId="11971" xr:uid="{00000000-0005-0000-0000-0000E6200000}"/>
    <cellStyle name="Note 2 2 9 7 3" xfId="8155" xr:uid="{00000000-0005-0000-0000-0000E7200000}"/>
    <cellStyle name="Note 2 2 9 7 3 2" xfId="10185" xr:uid="{00000000-0005-0000-0000-0000E8200000}"/>
    <cellStyle name="Note 2 2 9 7 3 2 2" xfId="13377" xr:uid="{00000000-0005-0000-0000-0000E9200000}"/>
    <cellStyle name="Note 2 2 9 7 3 3" xfId="12158" xr:uid="{00000000-0005-0000-0000-0000EA200000}"/>
    <cellStyle name="Note 2 2 9 7 4" xfId="8959" xr:uid="{00000000-0005-0000-0000-0000EB200000}"/>
    <cellStyle name="Note 2 2 9 7 4 2" xfId="12504" xr:uid="{00000000-0005-0000-0000-0000EC200000}"/>
    <cellStyle name="Note 2 2 9 7 5" xfId="10989" xr:uid="{00000000-0005-0000-0000-0000ED200000}"/>
    <cellStyle name="Note 2 2 9 8" xfId="8361" xr:uid="{00000000-0005-0000-0000-0000EE200000}"/>
    <cellStyle name="Note 2 2 9 8 2" xfId="9159" xr:uid="{00000000-0005-0000-0000-0000EF200000}"/>
    <cellStyle name="Note 2 2 9 8 2 2" xfId="12577" xr:uid="{00000000-0005-0000-0000-0000F0200000}"/>
    <cellStyle name="Note 2 2 9 8 3" xfId="11132" xr:uid="{00000000-0005-0000-0000-0000F1200000}"/>
    <cellStyle name="Note 2 2 9 9" xfId="10391" xr:uid="{00000000-0005-0000-0000-0000F2200000}"/>
    <cellStyle name="Note 2 3" xfId="1467" xr:uid="{00000000-0005-0000-0000-0000F3200000}"/>
    <cellStyle name="Note 2 3 10" xfId="7583" xr:uid="{00000000-0005-0000-0000-0000F4200000}"/>
    <cellStyle name="Note 2 3 10 2" xfId="6945" xr:uid="{00000000-0005-0000-0000-0000F5200000}"/>
    <cellStyle name="Note 2 3 10 2 2" xfId="9732" xr:uid="{00000000-0005-0000-0000-0000F6200000}"/>
    <cellStyle name="Note 2 3 10 2 2 2" xfId="9262" xr:uid="{00000000-0005-0000-0000-0000F7200000}"/>
    <cellStyle name="Note 2 3 10 2 2 2 2" xfId="12896" xr:uid="{00000000-0005-0000-0000-0000F8200000}"/>
    <cellStyle name="Note 2 3 10 2 2 3" xfId="11235" xr:uid="{00000000-0005-0000-0000-0000F9200000}"/>
    <cellStyle name="Note 2 3 10 2 3" xfId="11705" xr:uid="{00000000-0005-0000-0000-0000FA200000}"/>
    <cellStyle name="Note 2 3 10 3" xfId="8646" xr:uid="{00000000-0005-0000-0000-0000FB200000}"/>
    <cellStyle name="Note 2 3 10 3 2" xfId="12696" xr:uid="{00000000-0005-0000-0000-0000FC200000}"/>
    <cellStyle name="Note 2 3 10 4" xfId="10676" xr:uid="{00000000-0005-0000-0000-0000FD200000}"/>
    <cellStyle name="Note 2 3 11" xfId="7689" xr:uid="{00000000-0005-0000-0000-0000FE200000}"/>
    <cellStyle name="Note 2 3 11 2" xfId="7282" xr:uid="{00000000-0005-0000-0000-0000FF200000}"/>
    <cellStyle name="Note 2 3 11 2 2" xfId="9812" xr:uid="{00000000-0005-0000-0000-000000210000}"/>
    <cellStyle name="Note 2 3 11 2 2 2" xfId="9505" xr:uid="{00000000-0005-0000-0000-000001210000}"/>
    <cellStyle name="Note 2 3 11 2 2 2 2" xfId="13129" xr:uid="{00000000-0005-0000-0000-000002210000}"/>
    <cellStyle name="Note 2 3 11 2 2 3" xfId="11478" xr:uid="{00000000-0005-0000-0000-000003210000}"/>
    <cellStyle name="Note 2 3 11 2 3" xfId="11785" xr:uid="{00000000-0005-0000-0000-000004210000}"/>
    <cellStyle name="Note 2 3 11 3" xfId="8744" xr:uid="{00000000-0005-0000-0000-000005210000}"/>
    <cellStyle name="Note 2 3 11 3 2" xfId="12398" xr:uid="{00000000-0005-0000-0000-000006210000}"/>
    <cellStyle name="Note 2 3 11 4" xfId="10774" xr:uid="{00000000-0005-0000-0000-000007210000}"/>
    <cellStyle name="Note 2 3 12" xfId="7586" xr:uid="{00000000-0005-0000-0000-000008210000}"/>
    <cellStyle name="Note 2 3 12 2" xfId="7046" xr:uid="{00000000-0005-0000-0000-000009210000}"/>
    <cellStyle name="Note 2 3 12 2 2" xfId="9339" xr:uid="{00000000-0005-0000-0000-00000A210000}"/>
    <cellStyle name="Note 2 3 12 2 2 2" xfId="12970" xr:uid="{00000000-0005-0000-0000-00000B210000}"/>
    <cellStyle name="Note 2 3 12 2 3" xfId="11312" xr:uid="{00000000-0005-0000-0000-00000C210000}"/>
    <cellStyle name="Note 2 3 12 3" xfId="8649" xr:uid="{00000000-0005-0000-0000-00000D210000}"/>
    <cellStyle name="Note 2 3 12 3 2" xfId="12699" xr:uid="{00000000-0005-0000-0000-00000E210000}"/>
    <cellStyle name="Note 2 3 12 4" xfId="10679" xr:uid="{00000000-0005-0000-0000-00000F210000}"/>
    <cellStyle name="Note 2 3 13" xfId="7482" xr:uid="{00000000-0005-0000-0000-000010210000}"/>
    <cellStyle name="Note 2 3 13 2" xfId="6995" xr:uid="{00000000-0005-0000-0000-000011210000}"/>
    <cellStyle name="Note 2 3 13 2 2" xfId="9653" xr:uid="{00000000-0005-0000-0000-000012210000}"/>
    <cellStyle name="Note 2 3 13 2 2 2" xfId="9300" xr:uid="{00000000-0005-0000-0000-000013210000}"/>
    <cellStyle name="Note 2 3 13 2 2 2 2" xfId="12933" xr:uid="{00000000-0005-0000-0000-000014210000}"/>
    <cellStyle name="Note 2 3 13 2 2 3" xfId="11273" xr:uid="{00000000-0005-0000-0000-000015210000}"/>
    <cellStyle name="Note 2 3 13 2 3" xfId="11626" xr:uid="{00000000-0005-0000-0000-000016210000}"/>
    <cellStyle name="Note 2 3 13 3" xfId="8549" xr:uid="{00000000-0005-0000-0000-000017210000}"/>
    <cellStyle name="Note 2 3 13 3 2" xfId="12281" xr:uid="{00000000-0005-0000-0000-000018210000}"/>
    <cellStyle name="Note 2 3 13 4" xfId="10579" xr:uid="{00000000-0005-0000-0000-000019210000}"/>
    <cellStyle name="Note 2 3 14" xfId="7620" xr:uid="{00000000-0005-0000-0000-00001A210000}"/>
    <cellStyle name="Note 2 3 14 2" xfId="6904" xr:uid="{00000000-0005-0000-0000-00001B210000}"/>
    <cellStyle name="Note 2 3 14 2 2" xfId="9759" xr:uid="{00000000-0005-0000-0000-00001C210000}"/>
    <cellStyle name="Note 2 3 14 2 2 2" xfId="9231" xr:uid="{00000000-0005-0000-0000-00001D210000}"/>
    <cellStyle name="Note 2 3 14 2 2 2 2" xfId="12867" xr:uid="{00000000-0005-0000-0000-00001E210000}"/>
    <cellStyle name="Note 2 3 14 2 2 3" xfId="11204" xr:uid="{00000000-0005-0000-0000-00001F210000}"/>
    <cellStyle name="Note 2 3 14 2 3" xfId="11732" xr:uid="{00000000-0005-0000-0000-000020210000}"/>
    <cellStyle name="Note 2 3 14 3" xfId="8681" xr:uid="{00000000-0005-0000-0000-000021210000}"/>
    <cellStyle name="Note 2 3 14 3 2" xfId="12362" xr:uid="{00000000-0005-0000-0000-000022210000}"/>
    <cellStyle name="Note 2 3 14 4" xfId="10711" xr:uid="{00000000-0005-0000-0000-000023210000}"/>
    <cellStyle name="Note 2 3 15" xfId="7813" xr:uid="{00000000-0005-0000-0000-000024210000}"/>
    <cellStyle name="Note 2 3 15 2" xfId="7962" xr:uid="{00000000-0005-0000-0000-000025210000}"/>
    <cellStyle name="Note 2 3 15 2 2" xfId="9916" xr:uid="{00000000-0005-0000-0000-000026210000}"/>
    <cellStyle name="Note 2 3 15 2 2 2" xfId="10020" xr:uid="{00000000-0005-0000-0000-000027210000}"/>
    <cellStyle name="Note 2 3 15 2 2 2 2" xfId="13234" xr:uid="{00000000-0005-0000-0000-000028210000}"/>
    <cellStyle name="Note 2 3 15 2 2 3" xfId="11993" xr:uid="{00000000-0005-0000-0000-000029210000}"/>
    <cellStyle name="Note 2 3 15 2 3" xfId="11889" xr:uid="{00000000-0005-0000-0000-00002A210000}"/>
    <cellStyle name="Note 2 3 15 3" xfId="8073" xr:uid="{00000000-0005-0000-0000-00002B210000}"/>
    <cellStyle name="Note 2 3 15 3 2" xfId="10103" xr:uid="{00000000-0005-0000-0000-00002C210000}"/>
    <cellStyle name="Note 2 3 15 3 2 2" xfId="13297" xr:uid="{00000000-0005-0000-0000-00002D210000}"/>
    <cellStyle name="Note 2 3 15 3 3" xfId="12076" xr:uid="{00000000-0005-0000-0000-00002E210000}"/>
    <cellStyle name="Note 2 3 15 4" xfId="8860" xr:uid="{00000000-0005-0000-0000-00002F210000}"/>
    <cellStyle name="Note 2 3 15 4 2" xfId="12449" xr:uid="{00000000-0005-0000-0000-000030210000}"/>
    <cellStyle name="Note 2 3 15 5" xfId="10890" xr:uid="{00000000-0005-0000-0000-000031210000}"/>
    <cellStyle name="Note 2 3 16" xfId="8269" xr:uid="{00000000-0005-0000-0000-000032210000}"/>
    <cellStyle name="Note 2 3 16 2" xfId="9020" xr:uid="{00000000-0005-0000-0000-000033210000}"/>
    <cellStyle name="Note 2 3 16 2 2" xfId="12521" xr:uid="{00000000-0005-0000-0000-000034210000}"/>
    <cellStyle name="Note 2 3 16 3" xfId="11039" xr:uid="{00000000-0005-0000-0000-000035210000}"/>
    <cellStyle name="Note 2 3 17" xfId="10299" xr:uid="{00000000-0005-0000-0000-000036210000}"/>
    <cellStyle name="Note 2 3 2" xfId="1744" xr:uid="{00000000-0005-0000-0000-000037210000}"/>
    <cellStyle name="Note 2 3 2 2" xfId="7430" xr:uid="{00000000-0005-0000-0000-000038210000}"/>
    <cellStyle name="Note 2 3 2 2 2" xfId="6983" xr:uid="{00000000-0005-0000-0000-000039210000}"/>
    <cellStyle name="Note 2 3 2 2 2 2" xfId="9614" xr:uid="{00000000-0005-0000-0000-00003A210000}"/>
    <cellStyle name="Note 2 3 2 2 2 2 2" xfId="9291" xr:uid="{00000000-0005-0000-0000-00003B210000}"/>
    <cellStyle name="Note 2 3 2 2 2 2 2 2" xfId="12924" xr:uid="{00000000-0005-0000-0000-00003C210000}"/>
    <cellStyle name="Note 2 3 2 2 2 2 3" xfId="11264" xr:uid="{00000000-0005-0000-0000-00003D210000}"/>
    <cellStyle name="Note 2 3 2 2 2 3" xfId="11587" xr:uid="{00000000-0005-0000-0000-00003E210000}"/>
    <cellStyle name="Note 2 3 2 2 3" xfId="8500" xr:uid="{00000000-0005-0000-0000-00003F210000}"/>
    <cellStyle name="Note 2 3 2 2 3 2" xfId="12646" xr:uid="{00000000-0005-0000-0000-000040210000}"/>
    <cellStyle name="Note 2 3 2 2 4" xfId="10530" xr:uid="{00000000-0005-0000-0000-000041210000}"/>
    <cellStyle name="Note 2 3 2 3" xfId="7449" xr:uid="{00000000-0005-0000-0000-000042210000}"/>
    <cellStyle name="Note 2 3 2 3 2" xfId="6957" xr:uid="{00000000-0005-0000-0000-000043210000}"/>
    <cellStyle name="Note 2 3 2 3 2 2" xfId="9628" xr:uid="{00000000-0005-0000-0000-000044210000}"/>
    <cellStyle name="Note 2 3 2 3 2 2 2" xfId="9272" xr:uid="{00000000-0005-0000-0000-000045210000}"/>
    <cellStyle name="Note 2 3 2 3 2 2 2 2" xfId="12906" xr:uid="{00000000-0005-0000-0000-000046210000}"/>
    <cellStyle name="Note 2 3 2 3 2 2 3" xfId="11245" xr:uid="{00000000-0005-0000-0000-000047210000}"/>
    <cellStyle name="Note 2 3 2 3 2 3" xfId="11601" xr:uid="{00000000-0005-0000-0000-000048210000}"/>
    <cellStyle name="Note 2 3 2 3 3" xfId="8518" xr:uid="{00000000-0005-0000-0000-000049210000}"/>
    <cellStyle name="Note 2 3 2 3 3 2" xfId="12262" xr:uid="{00000000-0005-0000-0000-00004A210000}"/>
    <cellStyle name="Note 2 3 2 3 4" xfId="10548" xr:uid="{00000000-0005-0000-0000-00004B210000}"/>
    <cellStyle name="Note 2 3 2 4" xfId="7444" xr:uid="{00000000-0005-0000-0000-00004C210000}"/>
    <cellStyle name="Note 2 3 2 4 2" xfId="7067" xr:uid="{00000000-0005-0000-0000-00004D210000}"/>
    <cellStyle name="Note 2 3 2 4 2 2" xfId="9356" xr:uid="{00000000-0005-0000-0000-00004E210000}"/>
    <cellStyle name="Note 2 3 2 4 2 2 2" xfId="12987" xr:uid="{00000000-0005-0000-0000-00004F210000}"/>
    <cellStyle name="Note 2 3 2 4 2 3" xfId="11329" xr:uid="{00000000-0005-0000-0000-000050210000}"/>
    <cellStyle name="Note 2 3 2 4 3" xfId="8514" xr:uid="{00000000-0005-0000-0000-000051210000}"/>
    <cellStyle name="Note 2 3 2 4 3 2" xfId="12653" xr:uid="{00000000-0005-0000-0000-000052210000}"/>
    <cellStyle name="Note 2 3 2 4 4" xfId="10544" xr:uid="{00000000-0005-0000-0000-000053210000}"/>
    <cellStyle name="Note 2 3 2 5" xfId="7707" xr:uid="{00000000-0005-0000-0000-000054210000}"/>
    <cellStyle name="Note 2 3 2 5 2" xfId="7138" xr:uid="{00000000-0005-0000-0000-000055210000}"/>
    <cellStyle name="Note 2 3 2 5 2 2" xfId="9827" xr:uid="{00000000-0005-0000-0000-000056210000}"/>
    <cellStyle name="Note 2 3 2 5 2 2 2" xfId="9408" xr:uid="{00000000-0005-0000-0000-000057210000}"/>
    <cellStyle name="Note 2 3 2 5 2 2 2 2" xfId="13038" xr:uid="{00000000-0005-0000-0000-000058210000}"/>
    <cellStyle name="Note 2 3 2 5 2 2 3" xfId="11381" xr:uid="{00000000-0005-0000-0000-000059210000}"/>
    <cellStyle name="Note 2 3 2 5 2 3" xfId="11800" xr:uid="{00000000-0005-0000-0000-00005A210000}"/>
    <cellStyle name="Note 2 3 2 5 3" xfId="8762" xr:uid="{00000000-0005-0000-0000-00005B210000}"/>
    <cellStyle name="Note 2 3 2 5 3 2" xfId="12411" xr:uid="{00000000-0005-0000-0000-00005C210000}"/>
    <cellStyle name="Note 2 3 2 5 4" xfId="10792" xr:uid="{00000000-0005-0000-0000-00005D210000}"/>
    <cellStyle name="Note 2 3 2 6" xfId="7750" xr:uid="{00000000-0005-0000-0000-00005E210000}"/>
    <cellStyle name="Note 2 3 2 6 2" xfId="6948" xr:uid="{00000000-0005-0000-0000-00005F210000}"/>
    <cellStyle name="Note 2 3 2 6 2 2" xfId="9862" xr:uid="{00000000-0005-0000-0000-000060210000}"/>
    <cellStyle name="Note 2 3 2 6 2 2 2" xfId="9265" xr:uid="{00000000-0005-0000-0000-000061210000}"/>
    <cellStyle name="Note 2 3 2 6 2 2 2 2" xfId="12899" xr:uid="{00000000-0005-0000-0000-000062210000}"/>
    <cellStyle name="Note 2 3 2 6 2 2 3" xfId="11238" xr:uid="{00000000-0005-0000-0000-000063210000}"/>
    <cellStyle name="Note 2 3 2 6 2 3" xfId="11835" xr:uid="{00000000-0005-0000-0000-000064210000}"/>
    <cellStyle name="Note 2 3 2 6 3" xfId="8804" xr:uid="{00000000-0005-0000-0000-000065210000}"/>
    <cellStyle name="Note 2 3 2 6 3 2" xfId="12442" xr:uid="{00000000-0005-0000-0000-000066210000}"/>
    <cellStyle name="Note 2 3 2 6 4" xfId="10834" xr:uid="{00000000-0005-0000-0000-000067210000}"/>
    <cellStyle name="Note 2 3 2 7" xfId="7865" xr:uid="{00000000-0005-0000-0000-000068210000}"/>
    <cellStyle name="Note 2 3 2 7 2" xfId="8014" xr:uid="{00000000-0005-0000-0000-000069210000}"/>
    <cellStyle name="Note 2 3 2 7 2 2" xfId="9956" xr:uid="{00000000-0005-0000-0000-00006A210000}"/>
    <cellStyle name="Note 2 3 2 7 2 2 2" xfId="10046" xr:uid="{00000000-0005-0000-0000-00006B210000}"/>
    <cellStyle name="Note 2 3 2 7 2 2 2 2" xfId="13248" xr:uid="{00000000-0005-0000-0000-00006C210000}"/>
    <cellStyle name="Note 2 3 2 7 2 2 3" xfId="12019" xr:uid="{00000000-0005-0000-0000-00006D210000}"/>
    <cellStyle name="Note 2 3 2 7 2 3" xfId="11929" xr:uid="{00000000-0005-0000-0000-00006E210000}"/>
    <cellStyle name="Note 2 3 2 7 3" xfId="8113" xr:uid="{00000000-0005-0000-0000-00006F210000}"/>
    <cellStyle name="Note 2 3 2 7 3 2" xfId="10143" xr:uid="{00000000-0005-0000-0000-000070210000}"/>
    <cellStyle name="Note 2 3 2 7 3 2 2" xfId="13336" xr:uid="{00000000-0005-0000-0000-000071210000}"/>
    <cellStyle name="Note 2 3 2 7 3 3" xfId="12116" xr:uid="{00000000-0005-0000-0000-000072210000}"/>
    <cellStyle name="Note 2 3 2 7 4" xfId="8912" xr:uid="{00000000-0005-0000-0000-000073210000}"/>
    <cellStyle name="Note 2 3 2 7 4 2" xfId="12463" xr:uid="{00000000-0005-0000-0000-000074210000}"/>
    <cellStyle name="Note 2 3 2 7 5" xfId="10942" xr:uid="{00000000-0005-0000-0000-000075210000}"/>
    <cellStyle name="Note 2 3 2 8" xfId="8320" xr:uid="{00000000-0005-0000-0000-000076210000}"/>
    <cellStyle name="Note 2 3 2 8 2" xfId="9118" xr:uid="{00000000-0005-0000-0000-000077210000}"/>
    <cellStyle name="Note 2 3 2 8 2 2" xfId="12536" xr:uid="{00000000-0005-0000-0000-000078210000}"/>
    <cellStyle name="Note 2 3 2 8 3" xfId="11091" xr:uid="{00000000-0005-0000-0000-000079210000}"/>
    <cellStyle name="Note 2 3 2 9" xfId="10350" xr:uid="{00000000-0005-0000-0000-00007A210000}"/>
    <cellStyle name="Note 2 3 3" xfId="1624" xr:uid="{00000000-0005-0000-0000-00007B210000}"/>
    <cellStyle name="Note 2 3 3 2" xfId="7439" xr:uid="{00000000-0005-0000-0000-00007C210000}"/>
    <cellStyle name="Note 2 3 3 2 2" xfId="7101" xr:uid="{00000000-0005-0000-0000-00007D210000}"/>
    <cellStyle name="Note 2 3 3 2 2 2" xfId="9621" xr:uid="{00000000-0005-0000-0000-00007E210000}"/>
    <cellStyle name="Note 2 3 3 2 2 2 2" xfId="9383" xr:uid="{00000000-0005-0000-0000-00007F210000}"/>
    <cellStyle name="Note 2 3 3 2 2 2 2 2" xfId="13013" xr:uid="{00000000-0005-0000-0000-000080210000}"/>
    <cellStyle name="Note 2 3 3 2 2 2 3" xfId="11356" xr:uid="{00000000-0005-0000-0000-000081210000}"/>
    <cellStyle name="Note 2 3 3 2 2 3" xfId="11594" xr:uid="{00000000-0005-0000-0000-000082210000}"/>
    <cellStyle name="Note 2 3 3 2 3" xfId="8509" xr:uid="{00000000-0005-0000-0000-000083210000}"/>
    <cellStyle name="Note 2 3 3 2 3 2" xfId="12651" xr:uid="{00000000-0005-0000-0000-000084210000}"/>
    <cellStyle name="Note 2 3 3 2 4" xfId="10539" xr:uid="{00000000-0005-0000-0000-000085210000}"/>
    <cellStyle name="Note 2 3 3 3" xfId="7558" xr:uid="{00000000-0005-0000-0000-000086210000}"/>
    <cellStyle name="Note 2 3 3 3 2" xfId="6906" xr:uid="{00000000-0005-0000-0000-000087210000}"/>
    <cellStyle name="Note 2 3 3 3 2 2" xfId="9716" xr:uid="{00000000-0005-0000-0000-000088210000}"/>
    <cellStyle name="Note 2 3 3 3 2 2 2" xfId="9232" xr:uid="{00000000-0005-0000-0000-000089210000}"/>
    <cellStyle name="Note 2 3 3 3 2 2 2 2" xfId="12868" xr:uid="{00000000-0005-0000-0000-00008A210000}"/>
    <cellStyle name="Note 2 3 3 3 2 2 3" xfId="11205" xr:uid="{00000000-0005-0000-0000-00008B210000}"/>
    <cellStyle name="Note 2 3 3 3 2 3" xfId="11689" xr:uid="{00000000-0005-0000-0000-00008C210000}"/>
    <cellStyle name="Note 2 3 3 3 3" xfId="8623" xr:uid="{00000000-0005-0000-0000-00008D210000}"/>
    <cellStyle name="Note 2 3 3 3 3 2" xfId="12330" xr:uid="{00000000-0005-0000-0000-00008E210000}"/>
    <cellStyle name="Note 2 3 3 3 4" xfId="10653" xr:uid="{00000000-0005-0000-0000-00008F210000}"/>
    <cellStyle name="Note 2 3 3 4" xfId="7505" xr:uid="{00000000-0005-0000-0000-000090210000}"/>
    <cellStyle name="Note 2 3 3 4 2" xfId="6902" xr:uid="{00000000-0005-0000-0000-000091210000}"/>
    <cellStyle name="Note 2 3 3 4 2 2" xfId="9230" xr:uid="{00000000-0005-0000-0000-000092210000}"/>
    <cellStyle name="Note 2 3 3 4 2 2 2" xfId="12866" xr:uid="{00000000-0005-0000-0000-000093210000}"/>
    <cellStyle name="Note 2 3 3 4 2 3" xfId="11203" xr:uid="{00000000-0005-0000-0000-000094210000}"/>
    <cellStyle name="Note 2 3 3 4 3" xfId="8572" xr:uid="{00000000-0005-0000-0000-000095210000}"/>
    <cellStyle name="Note 2 3 3 4 3 2" xfId="12671" xr:uid="{00000000-0005-0000-0000-000096210000}"/>
    <cellStyle name="Note 2 3 3 4 4" xfId="10602" xr:uid="{00000000-0005-0000-0000-000097210000}"/>
    <cellStyle name="Note 2 3 3 5" xfId="7565" xr:uid="{00000000-0005-0000-0000-000098210000}"/>
    <cellStyle name="Note 2 3 3 5 2" xfId="6926" xr:uid="{00000000-0005-0000-0000-000099210000}"/>
    <cellStyle name="Note 2 3 3 5 2 2" xfId="9721" xr:uid="{00000000-0005-0000-0000-00009A210000}"/>
    <cellStyle name="Note 2 3 3 5 2 2 2" xfId="9248" xr:uid="{00000000-0005-0000-0000-00009B210000}"/>
    <cellStyle name="Note 2 3 3 5 2 2 2 2" xfId="12882" xr:uid="{00000000-0005-0000-0000-00009C210000}"/>
    <cellStyle name="Note 2 3 3 5 2 2 3" xfId="11221" xr:uid="{00000000-0005-0000-0000-00009D210000}"/>
    <cellStyle name="Note 2 3 3 5 2 3" xfId="11694" xr:uid="{00000000-0005-0000-0000-00009E210000}"/>
    <cellStyle name="Note 2 3 3 5 3" xfId="8629" xr:uid="{00000000-0005-0000-0000-00009F210000}"/>
    <cellStyle name="Note 2 3 3 5 3 2" xfId="12334" xr:uid="{00000000-0005-0000-0000-0000A0210000}"/>
    <cellStyle name="Note 2 3 3 5 4" xfId="10659" xr:uid="{00000000-0005-0000-0000-0000A1210000}"/>
    <cellStyle name="Note 2 3 3 6" xfId="7595" xr:uid="{00000000-0005-0000-0000-0000A2210000}"/>
    <cellStyle name="Note 2 3 3 6 2" xfId="6962" xr:uid="{00000000-0005-0000-0000-0000A3210000}"/>
    <cellStyle name="Note 2 3 3 6 2 2" xfId="9739" xr:uid="{00000000-0005-0000-0000-0000A4210000}"/>
    <cellStyle name="Note 2 3 3 6 2 2 2" xfId="9276" xr:uid="{00000000-0005-0000-0000-0000A5210000}"/>
    <cellStyle name="Note 2 3 3 6 2 2 2 2" xfId="12910" xr:uid="{00000000-0005-0000-0000-0000A6210000}"/>
    <cellStyle name="Note 2 3 3 6 2 2 3" xfId="11249" xr:uid="{00000000-0005-0000-0000-0000A7210000}"/>
    <cellStyle name="Note 2 3 3 6 2 3" xfId="11712" xr:uid="{00000000-0005-0000-0000-0000A8210000}"/>
    <cellStyle name="Note 2 3 3 6 3" xfId="8658" xr:uid="{00000000-0005-0000-0000-0000A9210000}"/>
    <cellStyle name="Note 2 3 3 6 3 2" xfId="12346" xr:uid="{00000000-0005-0000-0000-0000AA210000}"/>
    <cellStyle name="Note 2 3 3 6 4" xfId="10688" xr:uid="{00000000-0005-0000-0000-0000AB210000}"/>
    <cellStyle name="Note 2 3 3 7" xfId="7860" xr:uid="{00000000-0005-0000-0000-0000AC210000}"/>
    <cellStyle name="Note 2 3 3 7 2" xfId="8009" xr:uid="{00000000-0005-0000-0000-0000AD210000}"/>
    <cellStyle name="Note 2 3 3 7 2 2" xfId="9951" xr:uid="{00000000-0005-0000-0000-0000AE210000}"/>
    <cellStyle name="Note 2 3 3 7 2 2 2" xfId="10041" xr:uid="{00000000-0005-0000-0000-0000AF210000}"/>
    <cellStyle name="Note 2 3 3 7 2 2 2 2" xfId="13243" xr:uid="{00000000-0005-0000-0000-0000B0210000}"/>
    <cellStyle name="Note 2 3 3 7 2 2 3" xfId="12014" xr:uid="{00000000-0005-0000-0000-0000B1210000}"/>
    <cellStyle name="Note 2 3 3 7 2 3" xfId="11924" xr:uid="{00000000-0005-0000-0000-0000B2210000}"/>
    <cellStyle name="Note 2 3 3 7 3" xfId="8108" xr:uid="{00000000-0005-0000-0000-0000B3210000}"/>
    <cellStyle name="Note 2 3 3 7 3 2" xfId="10138" xr:uid="{00000000-0005-0000-0000-0000B4210000}"/>
    <cellStyle name="Note 2 3 3 7 3 2 2" xfId="13331" xr:uid="{00000000-0005-0000-0000-0000B5210000}"/>
    <cellStyle name="Note 2 3 3 7 3 3" xfId="12111" xr:uid="{00000000-0005-0000-0000-0000B6210000}"/>
    <cellStyle name="Note 2 3 3 7 4" xfId="8907" xr:uid="{00000000-0005-0000-0000-0000B7210000}"/>
    <cellStyle name="Note 2 3 3 7 4 2" xfId="12458" xr:uid="{00000000-0005-0000-0000-0000B8210000}"/>
    <cellStyle name="Note 2 3 3 7 5" xfId="10937" xr:uid="{00000000-0005-0000-0000-0000B9210000}"/>
    <cellStyle name="Note 2 3 3 8" xfId="8315" xr:uid="{00000000-0005-0000-0000-0000BA210000}"/>
    <cellStyle name="Note 2 3 3 8 2" xfId="8971" xr:uid="{00000000-0005-0000-0000-0000BB210000}"/>
    <cellStyle name="Note 2 3 3 8 2 2" xfId="12531" xr:uid="{00000000-0005-0000-0000-0000BC210000}"/>
    <cellStyle name="Note 2 3 3 8 3" xfId="11001" xr:uid="{00000000-0005-0000-0000-0000BD210000}"/>
    <cellStyle name="Note 2 3 3 9" xfId="10345" xr:uid="{00000000-0005-0000-0000-0000BE210000}"/>
    <cellStyle name="Note 2 3 4" xfId="2075" xr:uid="{00000000-0005-0000-0000-0000BF210000}"/>
    <cellStyle name="Note 2 3 4 2" xfId="7336" xr:uid="{00000000-0005-0000-0000-0000C0210000}"/>
    <cellStyle name="Note 2 3 4 2 2" xfId="7186" xr:uid="{00000000-0005-0000-0000-0000C1210000}"/>
    <cellStyle name="Note 2 3 4 2 2 2" xfId="9545" xr:uid="{00000000-0005-0000-0000-0000C2210000}"/>
    <cellStyle name="Note 2 3 4 2 2 2 2" xfId="9437" xr:uid="{00000000-0005-0000-0000-0000C3210000}"/>
    <cellStyle name="Note 2 3 4 2 2 2 2 2" xfId="13067" xr:uid="{00000000-0005-0000-0000-0000C4210000}"/>
    <cellStyle name="Note 2 3 4 2 2 2 3" xfId="11410" xr:uid="{00000000-0005-0000-0000-0000C5210000}"/>
    <cellStyle name="Note 2 3 4 2 2 3" xfId="11518" xr:uid="{00000000-0005-0000-0000-0000C6210000}"/>
    <cellStyle name="Note 2 3 4 2 3" xfId="8408" xr:uid="{00000000-0005-0000-0000-0000C7210000}"/>
    <cellStyle name="Note 2 3 4 2 3 2" xfId="12601" xr:uid="{00000000-0005-0000-0000-0000C8210000}"/>
    <cellStyle name="Note 2 3 4 2 4" xfId="10438" xr:uid="{00000000-0005-0000-0000-0000C9210000}"/>
    <cellStyle name="Note 2 3 4 3" xfId="7294" xr:uid="{00000000-0005-0000-0000-0000CA210000}"/>
    <cellStyle name="Note 2 3 4 3 2" xfId="7037" xr:uid="{00000000-0005-0000-0000-0000CB210000}"/>
    <cellStyle name="Note 2 3 4 3 2 2" xfId="9515" xr:uid="{00000000-0005-0000-0000-0000CC210000}"/>
    <cellStyle name="Note 2 3 4 3 2 2 2" xfId="9332" xr:uid="{00000000-0005-0000-0000-0000CD210000}"/>
    <cellStyle name="Note 2 3 4 3 2 2 2 2" xfId="12963" xr:uid="{00000000-0005-0000-0000-0000CE210000}"/>
    <cellStyle name="Note 2 3 4 3 2 2 3" xfId="11305" xr:uid="{00000000-0005-0000-0000-0000CF210000}"/>
    <cellStyle name="Note 2 3 4 3 2 3" xfId="11488" xr:uid="{00000000-0005-0000-0000-0000D0210000}"/>
    <cellStyle name="Note 2 3 4 3 3" xfId="8367" xr:uid="{00000000-0005-0000-0000-0000D1210000}"/>
    <cellStyle name="Note 2 3 4 3 3 2" xfId="12186" xr:uid="{00000000-0005-0000-0000-0000D2210000}"/>
    <cellStyle name="Note 2 3 4 3 4" xfId="10397" xr:uid="{00000000-0005-0000-0000-0000D3210000}"/>
    <cellStyle name="Note 2 3 4 4" xfId="7434" xr:uid="{00000000-0005-0000-0000-0000D4210000}"/>
    <cellStyle name="Note 2 3 4 4 2" xfId="6846" xr:uid="{00000000-0005-0000-0000-0000D5210000}"/>
    <cellStyle name="Note 2 3 4 4 2 2" xfId="9185" xr:uid="{00000000-0005-0000-0000-0000D6210000}"/>
    <cellStyle name="Note 2 3 4 4 2 2 2" xfId="12825" xr:uid="{00000000-0005-0000-0000-0000D7210000}"/>
    <cellStyle name="Note 2 3 4 4 2 3" xfId="11158" xr:uid="{00000000-0005-0000-0000-0000D8210000}"/>
    <cellStyle name="Note 2 3 4 4 3" xfId="8504" xr:uid="{00000000-0005-0000-0000-0000D9210000}"/>
    <cellStyle name="Note 2 3 4 4 3 2" xfId="12649" xr:uid="{00000000-0005-0000-0000-0000DA210000}"/>
    <cellStyle name="Note 2 3 4 4 4" xfId="10534" xr:uid="{00000000-0005-0000-0000-0000DB210000}"/>
    <cellStyle name="Note 2 3 4 5" xfId="7601" xr:uid="{00000000-0005-0000-0000-0000DC210000}"/>
    <cellStyle name="Note 2 3 4 5 2" xfId="7115" xr:uid="{00000000-0005-0000-0000-0000DD210000}"/>
    <cellStyle name="Note 2 3 4 5 2 2" xfId="9744" xr:uid="{00000000-0005-0000-0000-0000DE210000}"/>
    <cellStyle name="Note 2 3 4 5 2 2 2" xfId="9393" xr:uid="{00000000-0005-0000-0000-0000DF210000}"/>
    <cellStyle name="Note 2 3 4 5 2 2 2 2" xfId="13023" xr:uid="{00000000-0005-0000-0000-0000E0210000}"/>
    <cellStyle name="Note 2 3 4 5 2 2 3" xfId="11366" xr:uid="{00000000-0005-0000-0000-0000E1210000}"/>
    <cellStyle name="Note 2 3 4 5 2 3" xfId="11717" xr:uid="{00000000-0005-0000-0000-0000E2210000}"/>
    <cellStyle name="Note 2 3 4 5 3" xfId="8663" xr:uid="{00000000-0005-0000-0000-0000E3210000}"/>
    <cellStyle name="Note 2 3 4 5 3 2" xfId="12351" xr:uid="{00000000-0005-0000-0000-0000E4210000}"/>
    <cellStyle name="Note 2 3 4 5 4" xfId="10693" xr:uid="{00000000-0005-0000-0000-0000E5210000}"/>
    <cellStyle name="Note 2 3 4 6" xfId="7673" xr:uid="{00000000-0005-0000-0000-0000E6210000}"/>
    <cellStyle name="Note 2 3 4 6 2" xfId="6971" xr:uid="{00000000-0005-0000-0000-0000E7210000}"/>
    <cellStyle name="Note 2 3 4 6 2 2" xfId="9799" xr:uid="{00000000-0005-0000-0000-0000E8210000}"/>
    <cellStyle name="Note 2 3 4 6 2 2 2" xfId="9281" xr:uid="{00000000-0005-0000-0000-0000E9210000}"/>
    <cellStyle name="Note 2 3 4 6 2 2 2 2" xfId="12915" xr:uid="{00000000-0005-0000-0000-0000EA210000}"/>
    <cellStyle name="Note 2 3 4 6 2 2 3" xfId="11254" xr:uid="{00000000-0005-0000-0000-0000EB210000}"/>
    <cellStyle name="Note 2 3 4 6 2 3" xfId="11772" xr:uid="{00000000-0005-0000-0000-0000EC210000}"/>
    <cellStyle name="Note 2 3 4 6 3" xfId="8728" xr:uid="{00000000-0005-0000-0000-0000ED210000}"/>
    <cellStyle name="Note 2 3 4 6 3 2" xfId="12388" xr:uid="{00000000-0005-0000-0000-0000EE210000}"/>
    <cellStyle name="Note 2 3 4 6 4" xfId="10758" xr:uid="{00000000-0005-0000-0000-0000EF210000}"/>
    <cellStyle name="Note 2 3 4 7" xfId="7877" xr:uid="{00000000-0005-0000-0000-0000F0210000}"/>
    <cellStyle name="Note 2 3 4 7 2" xfId="8026" xr:uid="{00000000-0005-0000-0000-0000F1210000}"/>
    <cellStyle name="Note 2 3 4 7 2 2" xfId="9968" xr:uid="{00000000-0005-0000-0000-0000F2210000}"/>
    <cellStyle name="Note 2 3 4 7 2 2 2" xfId="10058" xr:uid="{00000000-0005-0000-0000-0000F3210000}"/>
    <cellStyle name="Note 2 3 4 7 2 2 2 2" xfId="13260" xr:uid="{00000000-0005-0000-0000-0000F4210000}"/>
    <cellStyle name="Note 2 3 4 7 2 2 3" xfId="12031" xr:uid="{00000000-0005-0000-0000-0000F5210000}"/>
    <cellStyle name="Note 2 3 4 7 2 3" xfId="11941" xr:uid="{00000000-0005-0000-0000-0000F6210000}"/>
    <cellStyle name="Note 2 3 4 7 3" xfId="8125" xr:uid="{00000000-0005-0000-0000-0000F7210000}"/>
    <cellStyle name="Note 2 3 4 7 3 2" xfId="10155" xr:uid="{00000000-0005-0000-0000-0000F8210000}"/>
    <cellStyle name="Note 2 3 4 7 3 2 2" xfId="13348" xr:uid="{00000000-0005-0000-0000-0000F9210000}"/>
    <cellStyle name="Note 2 3 4 7 3 3" xfId="12128" xr:uid="{00000000-0005-0000-0000-0000FA210000}"/>
    <cellStyle name="Note 2 3 4 7 4" xfId="8924" xr:uid="{00000000-0005-0000-0000-0000FB210000}"/>
    <cellStyle name="Note 2 3 4 7 4 2" xfId="12475" xr:uid="{00000000-0005-0000-0000-0000FC210000}"/>
    <cellStyle name="Note 2 3 4 7 5" xfId="10954" xr:uid="{00000000-0005-0000-0000-0000FD210000}"/>
    <cellStyle name="Note 2 3 4 8" xfId="8332" xr:uid="{00000000-0005-0000-0000-0000FE210000}"/>
    <cellStyle name="Note 2 3 4 8 2" xfId="9130" xr:uid="{00000000-0005-0000-0000-0000FF210000}"/>
    <cellStyle name="Note 2 3 4 8 2 2" xfId="12548" xr:uid="{00000000-0005-0000-0000-000000220000}"/>
    <cellStyle name="Note 2 3 4 8 3" xfId="11103" xr:uid="{00000000-0005-0000-0000-000001220000}"/>
    <cellStyle name="Note 2 3 4 9" xfId="10362" xr:uid="{00000000-0005-0000-0000-000002220000}"/>
    <cellStyle name="Note 2 3 5" xfId="2187" xr:uid="{00000000-0005-0000-0000-000003220000}"/>
    <cellStyle name="Note 2 3 5 2" xfId="7313" xr:uid="{00000000-0005-0000-0000-000004220000}"/>
    <cellStyle name="Note 2 3 5 2 2" xfId="6954" xr:uid="{00000000-0005-0000-0000-000005220000}"/>
    <cellStyle name="Note 2 3 5 2 2 2" xfId="9529" xr:uid="{00000000-0005-0000-0000-000006220000}"/>
    <cellStyle name="Note 2 3 5 2 2 2 2" xfId="9270" xr:uid="{00000000-0005-0000-0000-000007220000}"/>
    <cellStyle name="Note 2 3 5 2 2 2 2 2" xfId="12904" xr:uid="{00000000-0005-0000-0000-000008220000}"/>
    <cellStyle name="Note 2 3 5 2 2 2 3" xfId="11243" xr:uid="{00000000-0005-0000-0000-000009220000}"/>
    <cellStyle name="Note 2 3 5 2 2 3" xfId="11502" xr:uid="{00000000-0005-0000-0000-00000A220000}"/>
    <cellStyle name="Note 2 3 5 2 3" xfId="8386" xr:uid="{00000000-0005-0000-0000-00000B220000}"/>
    <cellStyle name="Note 2 3 5 2 3 2" xfId="12591" xr:uid="{00000000-0005-0000-0000-00000C220000}"/>
    <cellStyle name="Note 2 3 5 2 4" xfId="10416" xr:uid="{00000000-0005-0000-0000-00000D220000}"/>
    <cellStyle name="Note 2 3 5 3" xfId="7310" xr:uid="{00000000-0005-0000-0000-00000E220000}"/>
    <cellStyle name="Note 2 3 5 3 2" xfId="7272" xr:uid="{00000000-0005-0000-0000-00000F220000}"/>
    <cellStyle name="Note 2 3 5 3 2 2" xfId="9527" xr:uid="{00000000-0005-0000-0000-000010220000}"/>
    <cellStyle name="Note 2 3 5 3 2 2 2" xfId="9498" xr:uid="{00000000-0005-0000-0000-000011220000}"/>
    <cellStyle name="Note 2 3 5 3 2 2 2 2" xfId="13122" xr:uid="{00000000-0005-0000-0000-000012220000}"/>
    <cellStyle name="Note 2 3 5 3 2 2 3" xfId="11471" xr:uid="{00000000-0005-0000-0000-000013220000}"/>
    <cellStyle name="Note 2 3 5 3 2 3" xfId="11500" xr:uid="{00000000-0005-0000-0000-000014220000}"/>
    <cellStyle name="Note 2 3 5 3 3" xfId="8383" xr:uid="{00000000-0005-0000-0000-000015220000}"/>
    <cellStyle name="Note 2 3 5 3 3 2" xfId="12195" xr:uid="{00000000-0005-0000-0000-000016220000}"/>
    <cellStyle name="Note 2 3 5 3 4" xfId="10413" xr:uid="{00000000-0005-0000-0000-000017220000}"/>
    <cellStyle name="Note 2 3 5 4" xfId="7718" xr:uid="{00000000-0005-0000-0000-000018220000}"/>
    <cellStyle name="Note 2 3 5 4 2" xfId="7257" xr:uid="{00000000-0005-0000-0000-000019220000}"/>
    <cellStyle name="Note 2 3 5 4 2 2" xfId="9489" xr:uid="{00000000-0005-0000-0000-00001A220000}"/>
    <cellStyle name="Note 2 3 5 4 2 2 2" xfId="13113" xr:uid="{00000000-0005-0000-0000-00001B220000}"/>
    <cellStyle name="Note 2 3 5 4 2 3" xfId="11462" xr:uid="{00000000-0005-0000-0000-00001C220000}"/>
    <cellStyle name="Note 2 3 5 4 3" xfId="8773" xr:uid="{00000000-0005-0000-0000-00001D220000}"/>
    <cellStyle name="Note 2 3 5 4 3 2" xfId="12745" xr:uid="{00000000-0005-0000-0000-00001E220000}"/>
    <cellStyle name="Note 2 3 5 4 4" xfId="10803" xr:uid="{00000000-0005-0000-0000-00001F220000}"/>
    <cellStyle name="Note 2 3 5 5" xfId="7698" xr:uid="{00000000-0005-0000-0000-000020220000}"/>
    <cellStyle name="Note 2 3 5 5 2" xfId="7038" xr:uid="{00000000-0005-0000-0000-000021220000}"/>
    <cellStyle name="Note 2 3 5 5 2 2" xfId="9819" xr:uid="{00000000-0005-0000-0000-000022220000}"/>
    <cellStyle name="Note 2 3 5 5 2 2 2" xfId="9333" xr:uid="{00000000-0005-0000-0000-000023220000}"/>
    <cellStyle name="Note 2 3 5 5 2 2 2 2" xfId="12964" xr:uid="{00000000-0005-0000-0000-000024220000}"/>
    <cellStyle name="Note 2 3 5 5 2 2 3" xfId="11306" xr:uid="{00000000-0005-0000-0000-000025220000}"/>
    <cellStyle name="Note 2 3 5 5 2 3" xfId="11792" xr:uid="{00000000-0005-0000-0000-000026220000}"/>
    <cellStyle name="Note 2 3 5 5 3" xfId="8753" xr:uid="{00000000-0005-0000-0000-000027220000}"/>
    <cellStyle name="Note 2 3 5 5 3 2" xfId="12405" xr:uid="{00000000-0005-0000-0000-000028220000}"/>
    <cellStyle name="Note 2 3 5 5 4" xfId="10783" xr:uid="{00000000-0005-0000-0000-000029220000}"/>
    <cellStyle name="Note 2 3 5 6" xfId="7706" xr:uid="{00000000-0005-0000-0000-00002A220000}"/>
    <cellStyle name="Note 2 3 5 6 2" xfId="7168" xr:uid="{00000000-0005-0000-0000-00002B220000}"/>
    <cellStyle name="Note 2 3 5 6 2 2" xfId="9826" xr:uid="{00000000-0005-0000-0000-00002C220000}"/>
    <cellStyle name="Note 2 3 5 6 2 2 2" xfId="9427" xr:uid="{00000000-0005-0000-0000-00002D220000}"/>
    <cellStyle name="Note 2 3 5 6 2 2 2 2" xfId="13057" xr:uid="{00000000-0005-0000-0000-00002E220000}"/>
    <cellStyle name="Note 2 3 5 6 2 2 3" xfId="11400" xr:uid="{00000000-0005-0000-0000-00002F220000}"/>
    <cellStyle name="Note 2 3 5 6 2 3" xfId="11799" xr:uid="{00000000-0005-0000-0000-000030220000}"/>
    <cellStyle name="Note 2 3 5 6 3" xfId="8761" xr:uid="{00000000-0005-0000-0000-000031220000}"/>
    <cellStyle name="Note 2 3 5 6 3 2" xfId="12410" xr:uid="{00000000-0005-0000-0000-000032220000}"/>
    <cellStyle name="Note 2 3 5 6 4" xfId="10791" xr:uid="{00000000-0005-0000-0000-000033220000}"/>
    <cellStyle name="Note 2 3 5 7" xfId="7884" xr:uid="{00000000-0005-0000-0000-000034220000}"/>
    <cellStyle name="Note 2 3 5 7 2" xfId="8032" xr:uid="{00000000-0005-0000-0000-000035220000}"/>
    <cellStyle name="Note 2 3 5 7 2 2" xfId="9974" xr:uid="{00000000-0005-0000-0000-000036220000}"/>
    <cellStyle name="Note 2 3 5 7 2 2 2" xfId="10064" xr:uid="{00000000-0005-0000-0000-000037220000}"/>
    <cellStyle name="Note 2 3 5 7 2 2 2 2" xfId="13266" xr:uid="{00000000-0005-0000-0000-000038220000}"/>
    <cellStyle name="Note 2 3 5 7 2 2 3" xfId="12037" xr:uid="{00000000-0005-0000-0000-000039220000}"/>
    <cellStyle name="Note 2 3 5 7 2 3" xfId="11947" xr:uid="{00000000-0005-0000-0000-00003A220000}"/>
    <cellStyle name="Note 2 3 5 7 3" xfId="8131" xr:uid="{00000000-0005-0000-0000-00003B220000}"/>
    <cellStyle name="Note 2 3 5 7 3 2" xfId="10161" xr:uid="{00000000-0005-0000-0000-00003C220000}"/>
    <cellStyle name="Note 2 3 5 7 3 2 2" xfId="13354" xr:uid="{00000000-0005-0000-0000-00003D220000}"/>
    <cellStyle name="Note 2 3 5 7 3 3" xfId="12134" xr:uid="{00000000-0005-0000-0000-00003E220000}"/>
    <cellStyle name="Note 2 3 5 7 4" xfId="8930" xr:uid="{00000000-0005-0000-0000-00003F220000}"/>
    <cellStyle name="Note 2 3 5 7 4 2" xfId="12481" xr:uid="{00000000-0005-0000-0000-000040220000}"/>
    <cellStyle name="Note 2 3 5 7 5" xfId="10960" xr:uid="{00000000-0005-0000-0000-000041220000}"/>
    <cellStyle name="Note 2 3 5 8" xfId="8338" xr:uid="{00000000-0005-0000-0000-000042220000}"/>
    <cellStyle name="Note 2 3 5 8 2" xfId="9136" xr:uid="{00000000-0005-0000-0000-000043220000}"/>
    <cellStyle name="Note 2 3 5 8 2 2" xfId="12554" xr:uid="{00000000-0005-0000-0000-000044220000}"/>
    <cellStyle name="Note 2 3 5 8 3" xfId="11109" xr:uid="{00000000-0005-0000-0000-000045220000}"/>
    <cellStyle name="Note 2 3 5 9" xfId="10368" xr:uid="{00000000-0005-0000-0000-000046220000}"/>
    <cellStyle name="Note 2 3 6" xfId="2765" xr:uid="{00000000-0005-0000-0000-000047220000}"/>
    <cellStyle name="Note 2 3 6 2" xfId="7413" xr:uid="{00000000-0005-0000-0000-000048220000}"/>
    <cellStyle name="Note 2 3 6 2 2" xfId="6858" xr:uid="{00000000-0005-0000-0000-000049220000}"/>
    <cellStyle name="Note 2 3 6 2 2 2" xfId="9601" xr:uid="{00000000-0005-0000-0000-00004A220000}"/>
    <cellStyle name="Note 2 3 6 2 2 2 2" xfId="9196" xr:uid="{00000000-0005-0000-0000-00004B220000}"/>
    <cellStyle name="Note 2 3 6 2 2 2 2 2" xfId="12836" xr:uid="{00000000-0005-0000-0000-00004C220000}"/>
    <cellStyle name="Note 2 3 6 2 2 2 3" xfId="11169" xr:uid="{00000000-0005-0000-0000-00004D220000}"/>
    <cellStyle name="Note 2 3 6 2 2 3" xfId="11574" xr:uid="{00000000-0005-0000-0000-00004E220000}"/>
    <cellStyle name="Note 2 3 6 2 3" xfId="8483" xr:uid="{00000000-0005-0000-0000-00004F220000}"/>
    <cellStyle name="Note 2 3 6 2 3 2" xfId="12639" xr:uid="{00000000-0005-0000-0000-000050220000}"/>
    <cellStyle name="Note 2 3 6 2 4" xfId="10513" xr:uid="{00000000-0005-0000-0000-000051220000}"/>
    <cellStyle name="Note 2 3 6 3" xfId="7299" xr:uid="{00000000-0005-0000-0000-000052220000}"/>
    <cellStyle name="Note 2 3 6 3 2" xfId="7246" xr:uid="{00000000-0005-0000-0000-000053220000}"/>
    <cellStyle name="Note 2 3 6 3 2 2" xfId="9519" xr:uid="{00000000-0005-0000-0000-000054220000}"/>
    <cellStyle name="Note 2 3 6 3 2 2 2" xfId="9481" xr:uid="{00000000-0005-0000-0000-000055220000}"/>
    <cellStyle name="Note 2 3 6 3 2 2 2 2" xfId="13106" xr:uid="{00000000-0005-0000-0000-000056220000}"/>
    <cellStyle name="Note 2 3 6 3 2 2 3" xfId="11454" xr:uid="{00000000-0005-0000-0000-000057220000}"/>
    <cellStyle name="Note 2 3 6 3 2 3" xfId="11492" xr:uid="{00000000-0005-0000-0000-000058220000}"/>
    <cellStyle name="Note 2 3 6 3 3" xfId="8372" xr:uid="{00000000-0005-0000-0000-000059220000}"/>
    <cellStyle name="Note 2 3 6 3 3 2" xfId="12189" xr:uid="{00000000-0005-0000-0000-00005A220000}"/>
    <cellStyle name="Note 2 3 6 3 4" xfId="10402" xr:uid="{00000000-0005-0000-0000-00005B220000}"/>
    <cellStyle name="Note 2 3 6 4" xfId="7314" xr:uid="{00000000-0005-0000-0000-00005C220000}"/>
    <cellStyle name="Note 2 3 6 4 2" xfId="7109" xr:uid="{00000000-0005-0000-0000-00005D220000}"/>
    <cellStyle name="Note 2 3 6 4 2 2" xfId="9388" xr:uid="{00000000-0005-0000-0000-00005E220000}"/>
    <cellStyle name="Note 2 3 6 4 2 2 2" xfId="13018" xr:uid="{00000000-0005-0000-0000-00005F220000}"/>
    <cellStyle name="Note 2 3 6 4 2 3" xfId="11361" xr:uid="{00000000-0005-0000-0000-000060220000}"/>
    <cellStyle name="Note 2 3 6 4 3" xfId="8387" xr:uid="{00000000-0005-0000-0000-000061220000}"/>
    <cellStyle name="Note 2 3 6 4 3 2" xfId="12592" xr:uid="{00000000-0005-0000-0000-000062220000}"/>
    <cellStyle name="Note 2 3 6 4 4" xfId="10417" xr:uid="{00000000-0005-0000-0000-000063220000}"/>
    <cellStyle name="Note 2 3 6 5" xfId="7590" xr:uid="{00000000-0005-0000-0000-000064220000}"/>
    <cellStyle name="Note 2 3 6 5 2" xfId="7065" xr:uid="{00000000-0005-0000-0000-000065220000}"/>
    <cellStyle name="Note 2 3 6 5 2 2" xfId="9736" xr:uid="{00000000-0005-0000-0000-000066220000}"/>
    <cellStyle name="Note 2 3 6 5 2 2 2" xfId="9355" xr:uid="{00000000-0005-0000-0000-000067220000}"/>
    <cellStyle name="Note 2 3 6 5 2 2 2 2" xfId="12986" xr:uid="{00000000-0005-0000-0000-000068220000}"/>
    <cellStyle name="Note 2 3 6 5 2 2 3" xfId="11328" xr:uid="{00000000-0005-0000-0000-000069220000}"/>
    <cellStyle name="Note 2 3 6 5 2 3" xfId="11709" xr:uid="{00000000-0005-0000-0000-00006A220000}"/>
    <cellStyle name="Note 2 3 6 5 3" xfId="8653" xr:uid="{00000000-0005-0000-0000-00006B220000}"/>
    <cellStyle name="Note 2 3 6 5 3 2" xfId="12343" xr:uid="{00000000-0005-0000-0000-00006C220000}"/>
    <cellStyle name="Note 2 3 6 5 4" xfId="10683" xr:uid="{00000000-0005-0000-0000-00006D220000}"/>
    <cellStyle name="Note 2 3 6 6" xfId="7654" xr:uid="{00000000-0005-0000-0000-00006E220000}"/>
    <cellStyle name="Note 2 3 6 6 2" xfId="6853" xr:uid="{00000000-0005-0000-0000-00006F220000}"/>
    <cellStyle name="Note 2 3 6 6 2 2" xfId="9784" xr:uid="{00000000-0005-0000-0000-000070220000}"/>
    <cellStyle name="Note 2 3 6 6 2 2 2" xfId="9191" xr:uid="{00000000-0005-0000-0000-000071220000}"/>
    <cellStyle name="Note 2 3 6 6 2 2 2 2" xfId="12831" xr:uid="{00000000-0005-0000-0000-000072220000}"/>
    <cellStyle name="Note 2 3 6 6 2 2 3" xfId="11164" xr:uid="{00000000-0005-0000-0000-000073220000}"/>
    <cellStyle name="Note 2 3 6 6 2 3" xfId="11757" xr:uid="{00000000-0005-0000-0000-000074220000}"/>
    <cellStyle name="Note 2 3 6 6 3" xfId="8711" xr:uid="{00000000-0005-0000-0000-000075220000}"/>
    <cellStyle name="Note 2 3 6 6 3 2" xfId="12378" xr:uid="{00000000-0005-0000-0000-000076220000}"/>
    <cellStyle name="Note 2 3 6 6 4" xfId="10741" xr:uid="{00000000-0005-0000-0000-000077220000}"/>
    <cellStyle name="Note 2 3 6 7" xfId="7888" xr:uid="{00000000-0005-0000-0000-000078220000}"/>
    <cellStyle name="Note 2 3 6 7 2" xfId="8036" xr:uid="{00000000-0005-0000-0000-000079220000}"/>
    <cellStyle name="Note 2 3 6 7 2 2" xfId="9977" xr:uid="{00000000-0005-0000-0000-00007A220000}"/>
    <cellStyle name="Note 2 3 6 7 2 2 2" xfId="10068" xr:uid="{00000000-0005-0000-0000-00007B220000}"/>
    <cellStyle name="Note 2 3 6 7 2 2 2 2" xfId="13269" xr:uid="{00000000-0005-0000-0000-00007C220000}"/>
    <cellStyle name="Note 2 3 6 7 2 2 3" xfId="12041" xr:uid="{00000000-0005-0000-0000-00007D220000}"/>
    <cellStyle name="Note 2 3 6 7 2 3" xfId="11950" xr:uid="{00000000-0005-0000-0000-00007E220000}"/>
    <cellStyle name="Note 2 3 6 7 3" xfId="8134" xr:uid="{00000000-0005-0000-0000-00007F220000}"/>
    <cellStyle name="Note 2 3 6 7 3 2" xfId="10164" xr:uid="{00000000-0005-0000-0000-000080220000}"/>
    <cellStyle name="Note 2 3 6 7 3 2 2" xfId="13357" xr:uid="{00000000-0005-0000-0000-000081220000}"/>
    <cellStyle name="Note 2 3 6 7 3 3" xfId="12137" xr:uid="{00000000-0005-0000-0000-000082220000}"/>
    <cellStyle name="Note 2 3 6 7 4" xfId="8934" xr:uid="{00000000-0005-0000-0000-000083220000}"/>
    <cellStyle name="Note 2 3 6 7 4 2" xfId="12484" xr:uid="{00000000-0005-0000-0000-000084220000}"/>
    <cellStyle name="Note 2 3 6 7 5" xfId="10964" xr:uid="{00000000-0005-0000-0000-000085220000}"/>
    <cellStyle name="Note 2 3 6 8" xfId="8341" xr:uid="{00000000-0005-0000-0000-000086220000}"/>
    <cellStyle name="Note 2 3 6 8 2" xfId="9139" xr:uid="{00000000-0005-0000-0000-000087220000}"/>
    <cellStyle name="Note 2 3 6 8 2 2" xfId="12557" xr:uid="{00000000-0005-0000-0000-000088220000}"/>
    <cellStyle name="Note 2 3 6 8 3" xfId="11112" xr:uid="{00000000-0005-0000-0000-000089220000}"/>
    <cellStyle name="Note 2 3 6 9" xfId="10371" xr:uid="{00000000-0005-0000-0000-00008A220000}"/>
    <cellStyle name="Note 2 3 7" xfId="2800" xr:uid="{00000000-0005-0000-0000-00008B220000}"/>
    <cellStyle name="Note 2 3 7 2" xfId="7377" xr:uid="{00000000-0005-0000-0000-00008C220000}"/>
    <cellStyle name="Note 2 3 7 2 2" xfId="7049" xr:uid="{00000000-0005-0000-0000-00008D220000}"/>
    <cellStyle name="Note 2 3 7 2 2 2" xfId="9575" xr:uid="{00000000-0005-0000-0000-00008E220000}"/>
    <cellStyle name="Note 2 3 7 2 2 2 2" xfId="9342" xr:uid="{00000000-0005-0000-0000-00008F220000}"/>
    <cellStyle name="Note 2 3 7 2 2 2 2 2" xfId="12973" xr:uid="{00000000-0005-0000-0000-000090220000}"/>
    <cellStyle name="Note 2 3 7 2 2 2 3" xfId="11315" xr:uid="{00000000-0005-0000-0000-000091220000}"/>
    <cellStyle name="Note 2 3 7 2 2 3" xfId="11548" xr:uid="{00000000-0005-0000-0000-000092220000}"/>
    <cellStyle name="Note 2 3 7 2 3" xfId="8447" xr:uid="{00000000-0005-0000-0000-000093220000}"/>
    <cellStyle name="Note 2 3 7 2 3 2" xfId="12622" xr:uid="{00000000-0005-0000-0000-000094220000}"/>
    <cellStyle name="Note 2 3 7 2 4" xfId="10477" xr:uid="{00000000-0005-0000-0000-000095220000}"/>
    <cellStyle name="Note 2 3 7 3" xfId="7539" xr:uid="{00000000-0005-0000-0000-000096220000}"/>
    <cellStyle name="Note 2 3 7 3 2" xfId="7232" xr:uid="{00000000-0005-0000-0000-000097220000}"/>
    <cellStyle name="Note 2 3 7 3 2 2" xfId="9700" xr:uid="{00000000-0005-0000-0000-000098220000}"/>
    <cellStyle name="Note 2 3 7 3 2 2 2" xfId="9471" xr:uid="{00000000-0005-0000-0000-000099220000}"/>
    <cellStyle name="Note 2 3 7 3 2 2 2 2" xfId="13097" xr:uid="{00000000-0005-0000-0000-00009A220000}"/>
    <cellStyle name="Note 2 3 7 3 2 2 3" xfId="11444" xr:uid="{00000000-0005-0000-0000-00009B220000}"/>
    <cellStyle name="Note 2 3 7 3 2 3" xfId="11673" xr:uid="{00000000-0005-0000-0000-00009C220000}"/>
    <cellStyle name="Note 2 3 7 3 3" xfId="8605" xr:uid="{00000000-0005-0000-0000-00009D220000}"/>
    <cellStyle name="Note 2 3 7 3 3 2" xfId="12317" xr:uid="{00000000-0005-0000-0000-00009E220000}"/>
    <cellStyle name="Note 2 3 7 3 4" xfId="10635" xr:uid="{00000000-0005-0000-0000-00009F220000}"/>
    <cellStyle name="Note 2 3 7 4" xfId="7692" xr:uid="{00000000-0005-0000-0000-0000A0220000}"/>
    <cellStyle name="Note 2 3 7 4 2" xfId="7088" xr:uid="{00000000-0005-0000-0000-0000A1220000}"/>
    <cellStyle name="Note 2 3 7 4 2 2" xfId="9372" xr:uid="{00000000-0005-0000-0000-0000A2220000}"/>
    <cellStyle name="Note 2 3 7 4 2 2 2" xfId="13003" xr:uid="{00000000-0005-0000-0000-0000A3220000}"/>
    <cellStyle name="Note 2 3 7 4 2 3" xfId="11345" xr:uid="{00000000-0005-0000-0000-0000A4220000}"/>
    <cellStyle name="Note 2 3 7 4 3" xfId="8747" xr:uid="{00000000-0005-0000-0000-0000A5220000}"/>
    <cellStyle name="Note 2 3 7 4 3 2" xfId="12737" xr:uid="{00000000-0005-0000-0000-0000A6220000}"/>
    <cellStyle name="Note 2 3 7 4 4" xfId="10777" xr:uid="{00000000-0005-0000-0000-0000A7220000}"/>
    <cellStyle name="Note 2 3 7 5" xfId="7369" xr:uid="{00000000-0005-0000-0000-0000A8220000}"/>
    <cellStyle name="Note 2 3 7 5 2" xfId="7057" xr:uid="{00000000-0005-0000-0000-0000A9220000}"/>
    <cellStyle name="Note 2 3 7 5 2 2" xfId="9569" xr:uid="{00000000-0005-0000-0000-0000AA220000}"/>
    <cellStyle name="Note 2 3 7 5 2 2 2" xfId="9349" xr:uid="{00000000-0005-0000-0000-0000AB220000}"/>
    <cellStyle name="Note 2 3 7 5 2 2 2 2" xfId="12980" xr:uid="{00000000-0005-0000-0000-0000AC220000}"/>
    <cellStyle name="Note 2 3 7 5 2 2 3" xfId="11322" xr:uid="{00000000-0005-0000-0000-0000AD220000}"/>
    <cellStyle name="Note 2 3 7 5 2 3" xfId="11542" xr:uid="{00000000-0005-0000-0000-0000AE220000}"/>
    <cellStyle name="Note 2 3 7 5 3" xfId="8440" xr:uid="{00000000-0005-0000-0000-0000AF220000}"/>
    <cellStyle name="Note 2 3 7 5 3 2" xfId="12223" xr:uid="{00000000-0005-0000-0000-0000B0220000}"/>
    <cellStyle name="Note 2 3 7 5 4" xfId="10470" xr:uid="{00000000-0005-0000-0000-0000B1220000}"/>
    <cellStyle name="Note 2 3 7 6" xfId="7509" xr:uid="{00000000-0005-0000-0000-0000B2220000}"/>
    <cellStyle name="Note 2 3 7 6 2" xfId="6923" xr:uid="{00000000-0005-0000-0000-0000B3220000}"/>
    <cellStyle name="Note 2 3 7 6 2 2" xfId="9675" xr:uid="{00000000-0005-0000-0000-0000B4220000}"/>
    <cellStyle name="Note 2 3 7 6 2 2 2" xfId="9245" xr:uid="{00000000-0005-0000-0000-0000B5220000}"/>
    <cellStyle name="Note 2 3 7 6 2 2 2 2" xfId="12879" xr:uid="{00000000-0005-0000-0000-0000B6220000}"/>
    <cellStyle name="Note 2 3 7 6 2 2 3" xfId="11218" xr:uid="{00000000-0005-0000-0000-0000B7220000}"/>
    <cellStyle name="Note 2 3 7 6 2 3" xfId="11648" xr:uid="{00000000-0005-0000-0000-0000B8220000}"/>
    <cellStyle name="Note 2 3 7 6 3" xfId="8576" xr:uid="{00000000-0005-0000-0000-0000B9220000}"/>
    <cellStyle name="Note 2 3 7 6 3 2" xfId="12299" xr:uid="{00000000-0005-0000-0000-0000BA220000}"/>
    <cellStyle name="Note 2 3 7 6 4" xfId="10606" xr:uid="{00000000-0005-0000-0000-0000BB220000}"/>
    <cellStyle name="Note 2 3 7 7" xfId="7895" xr:uid="{00000000-0005-0000-0000-0000BC220000}"/>
    <cellStyle name="Note 2 3 7 7 2" xfId="8043" xr:uid="{00000000-0005-0000-0000-0000BD220000}"/>
    <cellStyle name="Note 2 3 7 7 2 2" xfId="9984" xr:uid="{00000000-0005-0000-0000-0000BE220000}"/>
    <cellStyle name="Note 2 3 7 7 2 2 2" xfId="10075" xr:uid="{00000000-0005-0000-0000-0000BF220000}"/>
    <cellStyle name="Note 2 3 7 7 2 2 2 2" xfId="13276" xr:uid="{00000000-0005-0000-0000-0000C0220000}"/>
    <cellStyle name="Note 2 3 7 7 2 2 3" xfId="12048" xr:uid="{00000000-0005-0000-0000-0000C1220000}"/>
    <cellStyle name="Note 2 3 7 7 2 3" xfId="11957" xr:uid="{00000000-0005-0000-0000-0000C2220000}"/>
    <cellStyle name="Note 2 3 7 7 3" xfId="8141" xr:uid="{00000000-0005-0000-0000-0000C3220000}"/>
    <cellStyle name="Note 2 3 7 7 3 2" xfId="10171" xr:uid="{00000000-0005-0000-0000-0000C4220000}"/>
    <cellStyle name="Note 2 3 7 7 3 2 2" xfId="13364" xr:uid="{00000000-0005-0000-0000-0000C5220000}"/>
    <cellStyle name="Note 2 3 7 7 3 3" xfId="12144" xr:uid="{00000000-0005-0000-0000-0000C6220000}"/>
    <cellStyle name="Note 2 3 7 7 4" xfId="8941" xr:uid="{00000000-0005-0000-0000-0000C7220000}"/>
    <cellStyle name="Note 2 3 7 7 4 2" xfId="12491" xr:uid="{00000000-0005-0000-0000-0000C8220000}"/>
    <cellStyle name="Note 2 3 7 7 5" xfId="10971" xr:uid="{00000000-0005-0000-0000-0000C9220000}"/>
    <cellStyle name="Note 2 3 7 8" xfId="8348" xr:uid="{00000000-0005-0000-0000-0000CA220000}"/>
    <cellStyle name="Note 2 3 7 8 2" xfId="9146" xr:uid="{00000000-0005-0000-0000-0000CB220000}"/>
    <cellStyle name="Note 2 3 7 8 2 2" xfId="12564" xr:uid="{00000000-0005-0000-0000-0000CC220000}"/>
    <cellStyle name="Note 2 3 7 8 3" xfId="11119" xr:uid="{00000000-0005-0000-0000-0000CD220000}"/>
    <cellStyle name="Note 2 3 7 9" xfId="10378" xr:uid="{00000000-0005-0000-0000-0000CE220000}"/>
    <cellStyle name="Note 2 3 8" xfId="4361" xr:uid="{00000000-0005-0000-0000-0000CF220000}"/>
    <cellStyle name="Note 2 3 8 2" xfId="7387" xr:uid="{00000000-0005-0000-0000-0000D0220000}"/>
    <cellStyle name="Note 2 3 8 2 2" xfId="7091" xr:uid="{00000000-0005-0000-0000-0000D1220000}"/>
    <cellStyle name="Note 2 3 8 2 2 2" xfId="9583" xr:uid="{00000000-0005-0000-0000-0000D2220000}"/>
    <cellStyle name="Note 2 3 8 2 2 2 2" xfId="9375" xr:uid="{00000000-0005-0000-0000-0000D3220000}"/>
    <cellStyle name="Note 2 3 8 2 2 2 2 2" xfId="13006" xr:uid="{00000000-0005-0000-0000-0000D4220000}"/>
    <cellStyle name="Note 2 3 8 2 2 2 3" xfId="11348" xr:uid="{00000000-0005-0000-0000-0000D5220000}"/>
    <cellStyle name="Note 2 3 8 2 2 3" xfId="11556" xr:uid="{00000000-0005-0000-0000-0000D6220000}"/>
    <cellStyle name="Note 2 3 8 2 3" xfId="8457" xr:uid="{00000000-0005-0000-0000-0000D7220000}"/>
    <cellStyle name="Note 2 3 8 2 3 2" xfId="12626" xr:uid="{00000000-0005-0000-0000-0000D8220000}"/>
    <cellStyle name="Note 2 3 8 2 4" xfId="10487" xr:uid="{00000000-0005-0000-0000-0000D9220000}"/>
    <cellStyle name="Note 2 3 8 3" xfId="7456" xr:uid="{00000000-0005-0000-0000-0000DA220000}"/>
    <cellStyle name="Note 2 3 8 3 2" xfId="7157" xr:uid="{00000000-0005-0000-0000-0000DB220000}"/>
    <cellStyle name="Note 2 3 8 3 2 2" xfId="9632" xr:uid="{00000000-0005-0000-0000-0000DC220000}"/>
    <cellStyle name="Note 2 3 8 3 2 2 2" xfId="9418" xr:uid="{00000000-0005-0000-0000-0000DD220000}"/>
    <cellStyle name="Note 2 3 8 3 2 2 2 2" xfId="13048" xr:uid="{00000000-0005-0000-0000-0000DE220000}"/>
    <cellStyle name="Note 2 3 8 3 2 2 3" xfId="11391" xr:uid="{00000000-0005-0000-0000-0000DF220000}"/>
    <cellStyle name="Note 2 3 8 3 2 3" xfId="11605" xr:uid="{00000000-0005-0000-0000-0000E0220000}"/>
    <cellStyle name="Note 2 3 8 3 3" xfId="8523" xr:uid="{00000000-0005-0000-0000-0000E1220000}"/>
    <cellStyle name="Note 2 3 8 3 3 2" xfId="12266" xr:uid="{00000000-0005-0000-0000-0000E2220000}"/>
    <cellStyle name="Note 2 3 8 3 4" xfId="10553" xr:uid="{00000000-0005-0000-0000-0000E3220000}"/>
    <cellStyle name="Note 2 3 8 4" xfId="7656" xr:uid="{00000000-0005-0000-0000-0000E4220000}"/>
    <cellStyle name="Note 2 3 8 4 2" xfId="7230" xr:uid="{00000000-0005-0000-0000-0000E5220000}"/>
    <cellStyle name="Note 2 3 8 4 2 2" xfId="9469" xr:uid="{00000000-0005-0000-0000-0000E6220000}"/>
    <cellStyle name="Note 2 3 8 4 2 2 2" xfId="13095" xr:uid="{00000000-0005-0000-0000-0000E7220000}"/>
    <cellStyle name="Note 2 3 8 4 2 3" xfId="11442" xr:uid="{00000000-0005-0000-0000-0000E8220000}"/>
    <cellStyle name="Note 2 3 8 4 3" xfId="8713" xr:uid="{00000000-0005-0000-0000-0000E9220000}"/>
    <cellStyle name="Note 2 3 8 4 3 2" xfId="12723" xr:uid="{00000000-0005-0000-0000-0000EA220000}"/>
    <cellStyle name="Note 2 3 8 4 4" xfId="10743" xr:uid="{00000000-0005-0000-0000-0000EB220000}"/>
    <cellStyle name="Note 2 3 8 5" xfId="7474" xr:uid="{00000000-0005-0000-0000-0000EC220000}"/>
    <cellStyle name="Note 2 3 8 5 2" xfId="7218" xr:uid="{00000000-0005-0000-0000-0000ED220000}"/>
    <cellStyle name="Note 2 3 8 5 2 2" xfId="9645" xr:uid="{00000000-0005-0000-0000-0000EE220000}"/>
    <cellStyle name="Note 2 3 8 5 2 2 2" xfId="9460" xr:uid="{00000000-0005-0000-0000-0000EF220000}"/>
    <cellStyle name="Note 2 3 8 5 2 2 2 2" xfId="13086" xr:uid="{00000000-0005-0000-0000-0000F0220000}"/>
    <cellStyle name="Note 2 3 8 5 2 2 3" xfId="11433" xr:uid="{00000000-0005-0000-0000-0000F1220000}"/>
    <cellStyle name="Note 2 3 8 5 2 3" xfId="11618" xr:uid="{00000000-0005-0000-0000-0000F2220000}"/>
    <cellStyle name="Note 2 3 8 5 3" xfId="8541" xr:uid="{00000000-0005-0000-0000-0000F3220000}"/>
    <cellStyle name="Note 2 3 8 5 3 2" xfId="12274" xr:uid="{00000000-0005-0000-0000-0000F4220000}"/>
    <cellStyle name="Note 2 3 8 5 4" xfId="10571" xr:uid="{00000000-0005-0000-0000-0000F5220000}"/>
    <cellStyle name="Note 2 3 8 6" xfId="7664" xr:uid="{00000000-0005-0000-0000-0000F6220000}"/>
    <cellStyle name="Note 2 3 8 6 2" xfId="7014" xr:uid="{00000000-0005-0000-0000-0000F7220000}"/>
    <cellStyle name="Note 2 3 8 6 2 2" xfId="9791" xr:uid="{00000000-0005-0000-0000-0000F8220000}"/>
    <cellStyle name="Note 2 3 8 6 2 2 2" xfId="9312" xr:uid="{00000000-0005-0000-0000-0000F9220000}"/>
    <cellStyle name="Note 2 3 8 6 2 2 2 2" xfId="12945" xr:uid="{00000000-0005-0000-0000-0000FA220000}"/>
    <cellStyle name="Note 2 3 8 6 2 2 3" xfId="11285" xr:uid="{00000000-0005-0000-0000-0000FB220000}"/>
    <cellStyle name="Note 2 3 8 6 2 3" xfId="11764" xr:uid="{00000000-0005-0000-0000-0000FC220000}"/>
    <cellStyle name="Note 2 3 8 6 3" xfId="8720" xr:uid="{00000000-0005-0000-0000-0000FD220000}"/>
    <cellStyle name="Note 2 3 8 6 3 2" xfId="12383" xr:uid="{00000000-0005-0000-0000-0000FE220000}"/>
    <cellStyle name="Note 2 3 8 6 4" xfId="10750" xr:uid="{00000000-0005-0000-0000-0000FF220000}"/>
    <cellStyle name="Note 2 3 8 7" xfId="7905" xr:uid="{00000000-0005-0000-0000-000000230000}"/>
    <cellStyle name="Note 2 3 8 7 2" xfId="8053" xr:uid="{00000000-0005-0000-0000-000001230000}"/>
    <cellStyle name="Note 2 3 8 7 2 2" xfId="9991" xr:uid="{00000000-0005-0000-0000-000002230000}"/>
    <cellStyle name="Note 2 3 8 7 2 2 2" xfId="10085" xr:uid="{00000000-0005-0000-0000-000003230000}"/>
    <cellStyle name="Note 2 3 8 7 2 2 2 2" xfId="13283" xr:uid="{00000000-0005-0000-0000-000004230000}"/>
    <cellStyle name="Note 2 3 8 7 2 2 3" xfId="12058" xr:uid="{00000000-0005-0000-0000-000005230000}"/>
    <cellStyle name="Note 2 3 8 7 2 3" xfId="11964" xr:uid="{00000000-0005-0000-0000-000006230000}"/>
    <cellStyle name="Note 2 3 8 7 3" xfId="8148" xr:uid="{00000000-0005-0000-0000-000007230000}"/>
    <cellStyle name="Note 2 3 8 7 3 2" xfId="10178" xr:uid="{00000000-0005-0000-0000-000008230000}"/>
    <cellStyle name="Note 2 3 8 7 3 2 2" xfId="13371" xr:uid="{00000000-0005-0000-0000-000009230000}"/>
    <cellStyle name="Note 2 3 8 7 3 3" xfId="12151" xr:uid="{00000000-0005-0000-0000-00000A230000}"/>
    <cellStyle name="Note 2 3 8 7 4" xfId="8951" xr:uid="{00000000-0005-0000-0000-00000B230000}"/>
    <cellStyle name="Note 2 3 8 7 4 2" xfId="12498" xr:uid="{00000000-0005-0000-0000-00000C230000}"/>
    <cellStyle name="Note 2 3 8 7 5" xfId="10981" xr:uid="{00000000-0005-0000-0000-00000D230000}"/>
    <cellStyle name="Note 2 3 8 8" xfId="8355" xr:uid="{00000000-0005-0000-0000-00000E230000}"/>
    <cellStyle name="Note 2 3 8 8 2" xfId="9153" xr:uid="{00000000-0005-0000-0000-00000F230000}"/>
    <cellStyle name="Note 2 3 8 8 2 2" xfId="12571" xr:uid="{00000000-0005-0000-0000-000010230000}"/>
    <cellStyle name="Note 2 3 8 8 3" xfId="11126" xr:uid="{00000000-0005-0000-0000-000011230000}"/>
    <cellStyle name="Note 2 3 8 9" xfId="10385" xr:uid="{00000000-0005-0000-0000-000012230000}"/>
    <cellStyle name="Note 2 3 9" xfId="5840" xr:uid="{00000000-0005-0000-0000-000013230000}"/>
    <cellStyle name="Note 2 3 9 2" xfId="7308" xr:uid="{00000000-0005-0000-0000-000014230000}"/>
    <cellStyle name="Note 2 3 9 2 2" xfId="7060" xr:uid="{00000000-0005-0000-0000-000015230000}"/>
    <cellStyle name="Note 2 3 9 2 2 2" xfId="9525" xr:uid="{00000000-0005-0000-0000-000016230000}"/>
    <cellStyle name="Note 2 3 9 2 2 2 2" xfId="9351" xr:uid="{00000000-0005-0000-0000-000017230000}"/>
    <cellStyle name="Note 2 3 9 2 2 2 2 2" xfId="12982" xr:uid="{00000000-0005-0000-0000-000018230000}"/>
    <cellStyle name="Note 2 3 9 2 2 2 3" xfId="11324" xr:uid="{00000000-0005-0000-0000-000019230000}"/>
    <cellStyle name="Note 2 3 9 2 2 3" xfId="11498" xr:uid="{00000000-0005-0000-0000-00001A230000}"/>
    <cellStyle name="Note 2 3 9 2 3" xfId="8381" xr:uid="{00000000-0005-0000-0000-00001B230000}"/>
    <cellStyle name="Note 2 3 9 2 3 2" xfId="12588" xr:uid="{00000000-0005-0000-0000-00001C230000}"/>
    <cellStyle name="Note 2 3 9 2 4" xfId="10411" xr:uid="{00000000-0005-0000-0000-00001D230000}"/>
    <cellStyle name="Note 2 3 9 3" xfId="7524" xr:uid="{00000000-0005-0000-0000-00001E230000}"/>
    <cellStyle name="Note 2 3 9 3 2" xfId="6951" xr:uid="{00000000-0005-0000-0000-00001F230000}"/>
    <cellStyle name="Note 2 3 9 3 2 2" xfId="9689" xr:uid="{00000000-0005-0000-0000-000020230000}"/>
    <cellStyle name="Note 2 3 9 3 2 2 2" xfId="9268" xr:uid="{00000000-0005-0000-0000-000021230000}"/>
    <cellStyle name="Note 2 3 9 3 2 2 2 2" xfId="12902" xr:uid="{00000000-0005-0000-0000-000022230000}"/>
    <cellStyle name="Note 2 3 9 3 2 2 3" xfId="11241" xr:uid="{00000000-0005-0000-0000-000023230000}"/>
    <cellStyle name="Note 2 3 9 3 2 3" xfId="11662" xr:uid="{00000000-0005-0000-0000-000024230000}"/>
    <cellStyle name="Note 2 3 9 3 3" xfId="8590" xr:uid="{00000000-0005-0000-0000-000025230000}"/>
    <cellStyle name="Note 2 3 9 3 3 2" xfId="12307" xr:uid="{00000000-0005-0000-0000-000026230000}"/>
    <cellStyle name="Note 2 3 9 3 4" xfId="10620" xr:uid="{00000000-0005-0000-0000-000027230000}"/>
    <cellStyle name="Note 2 3 9 4" xfId="7614" xr:uid="{00000000-0005-0000-0000-000028230000}"/>
    <cellStyle name="Note 2 3 9 4 2" xfId="7043" xr:uid="{00000000-0005-0000-0000-000029230000}"/>
    <cellStyle name="Note 2 3 9 4 2 2" xfId="9337" xr:uid="{00000000-0005-0000-0000-00002A230000}"/>
    <cellStyle name="Note 2 3 9 4 2 2 2" xfId="12968" xr:uid="{00000000-0005-0000-0000-00002B230000}"/>
    <cellStyle name="Note 2 3 9 4 2 3" xfId="11310" xr:uid="{00000000-0005-0000-0000-00002C230000}"/>
    <cellStyle name="Note 2 3 9 4 3" xfId="8676" xr:uid="{00000000-0005-0000-0000-00002D230000}"/>
    <cellStyle name="Note 2 3 9 4 3 2" xfId="12707" xr:uid="{00000000-0005-0000-0000-00002E230000}"/>
    <cellStyle name="Note 2 3 9 4 4" xfId="10706" xr:uid="{00000000-0005-0000-0000-00002F230000}"/>
    <cellStyle name="Note 2 3 9 5" xfId="7390" xr:uid="{00000000-0005-0000-0000-000030230000}"/>
    <cellStyle name="Note 2 3 9 5 2" xfId="7249" xr:uid="{00000000-0005-0000-0000-000031230000}"/>
    <cellStyle name="Note 2 3 9 5 2 2" xfId="9586" xr:uid="{00000000-0005-0000-0000-000032230000}"/>
    <cellStyle name="Note 2 3 9 5 2 2 2" xfId="9484" xr:uid="{00000000-0005-0000-0000-000033230000}"/>
    <cellStyle name="Note 2 3 9 5 2 2 2 2" xfId="13109" xr:uid="{00000000-0005-0000-0000-000034230000}"/>
    <cellStyle name="Note 2 3 9 5 2 2 3" xfId="11457" xr:uid="{00000000-0005-0000-0000-000035230000}"/>
    <cellStyle name="Note 2 3 9 5 2 3" xfId="11559" xr:uid="{00000000-0005-0000-0000-000036230000}"/>
    <cellStyle name="Note 2 3 9 5 3" xfId="8460" xr:uid="{00000000-0005-0000-0000-000037230000}"/>
    <cellStyle name="Note 2 3 9 5 3 2" xfId="12231" xr:uid="{00000000-0005-0000-0000-000038230000}"/>
    <cellStyle name="Note 2 3 9 5 4" xfId="10490" xr:uid="{00000000-0005-0000-0000-000039230000}"/>
    <cellStyle name="Note 2 3 9 6" xfId="7429" xr:uid="{00000000-0005-0000-0000-00003A230000}"/>
    <cellStyle name="Note 2 3 9 6 2" xfId="7206" xr:uid="{00000000-0005-0000-0000-00003B230000}"/>
    <cellStyle name="Note 2 3 9 6 2 2" xfId="9613" xr:uid="{00000000-0005-0000-0000-00003C230000}"/>
    <cellStyle name="Note 2 3 9 6 2 2 2" xfId="9450" xr:uid="{00000000-0005-0000-0000-00003D230000}"/>
    <cellStyle name="Note 2 3 9 6 2 2 2 2" xfId="13077" xr:uid="{00000000-0005-0000-0000-00003E230000}"/>
    <cellStyle name="Note 2 3 9 6 2 2 3" xfId="11423" xr:uid="{00000000-0005-0000-0000-00003F230000}"/>
    <cellStyle name="Note 2 3 9 6 2 3" xfId="11586" xr:uid="{00000000-0005-0000-0000-000040230000}"/>
    <cellStyle name="Note 2 3 9 6 3" xfId="8499" xr:uid="{00000000-0005-0000-0000-000041230000}"/>
    <cellStyle name="Note 2 3 9 6 3 2" xfId="12252" xr:uid="{00000000-0005-0000-0000-000042230000}"/>
    <cellStyle name="Note 2 3 9 6 4" xfId="10529" xr:uid="{00000000-0005-0000-0000-000043230000}"/>
    <cellStyle name="Note 2 3 9 7" xfId="7914" xr:uid="{00000000-0005-0000-0000-000044230000}"/>
    <cellStyle name="Note 2 3 9 7 2" xfId="8061" xr:uid="{00000000-0005-0000-0000-000045230000}"/>
    <cellStyle name="Note 2 3 9 7 2 2" xfId="9999" xr:uid="{00000000-0005-0000-0000-000046230000}"/>
    <cellStyle name="Note 2 3 9 7 2 2 2" xfId="10092" xr:uid="{00000000-0005-0000-0000-000047230000}"/>
    <cellStyle name="Note 2 3 9 7 2 2 2 2" xfId="13290" xr:uid="{00000000-0005-0000-0000-000048230000}"/>
    <cellStyle name="Note 2 3 9 7 2 2 3" xfId="12065" xr:uid="{00000000-0005-0000-0000-000049230000}"/>
    <cellStyle name="Note 2 3 9 7 2 3" xfId="11972" xr:uid="{00000000-0005-0000-0000-00004A230000}"/>
    <cellStyle name="Note 2 3 9 7 3" xfId="8156" xr:uid="{00000000-0005-0000-0000-00004B230000}"/>
    <cellStyle name="Note 2 3 9 7 3 2" xfId="10186" xr:uid="{00000000-0005-0000-0000-00004C230000}"/>
    <cellStyle name="Note 2 3 9 7 3 2 2" xfId="13378" xr:uid="{00000000-0005-0000-0000-00004D230000}"/>
    <cellStyle name="Note 2 3 9 7 3 3" xfId="12159" xr:uid="{00000000-0005-0000-0000-00004E230000}"/>
    <cellStyle name="Note 2 3 9 7 4" xfId="8960" xr:uid="{00000000-0005-0000-0000-00004F230000}"/>
    <cellStyle name="Note 2 3 9 7 4 2" xfId="12505" xr:uid="{00000000-0005-0000-0000-000050230000}"/>
    <cellStyle name="Note 2 3 9 7 5" xfId="10990" xr:uid="{00000000-0005-0000-0000-000051230000}"/>
    <cellStyle name="Note 2 3 9 8" xfId="8362" xr:uid="{00000000-0005-0000-0000-000052230000}"/>
    <cellStyle name="Note 2 3 9 8 2" xfId="9160" xr:uid="{00000000-0005-0000-0000-000053230000}"/>
    <cellStyle name="Note 2 3 9 8 2 2" xfId="12578" xr:uid="{00000000-0005-0000-0000-000054230000}"/>
    <cellStyle name="Note 2 3 9 8 3" xfId="11133" xr:uid="{00000000-0005-0000-0000-000055230000}"/>
    <cellStyle name="Note 2 3 9 9" xfId="10392" xr:uid="{00000000-0005-0000-0000-000056230000}"/>
    <cellStyle name="Note 2 4" xfId="1742" xr:uid="{00000000-0005-0000-0000-000057230000}"/>
    <cellStyle name="Note 2 4 2" xfId="7520" xr:uid="{00000000-0005-0000-0000-000058230000}"/>
    <cellStyle name="Note 2 4 2 2" xfId="6918" xr:uid="{00000000-0005-0000-0000-000059230000}"/>
    <cellStyle name="Note 2 4 2 2 2" xfId="9685" xr:uid="{00000000-0005-0000-0000-00005A230000}"/>
    <cellStyle name="Note 2 4 2 2 2 2" xfId="9241" xr:uid="{00000000-0005-0000-0000-00005B230000}"/>
    <cellStyle name="Note 2 4 2 2 2 2 2" xfId="12877" xr:uid="{00000000-0005-0000-0000-00005C230000}"/>
    <cellStyle name="Note 2 4 2 2 2 3" xfId="11214" xr:uid="{00000000-0005-0000-0000-00005D230000}"/>
    <cellStyle name="Note 2 4 2 2 3" xfId="11658" xr:uid="{00000000-0005-0000-0000-00005E230000}"/>
    <cellStyle name="Note 2 4 2 3" xfId="8586" xr:uid="{00000000-0005-0000-0000-00005F230000}"/>
    <cellStyle name="Note 2 4 2 3 2" xfId="12674" xr:uid="{00000000-0005-0000-0000-000060230000}"/>
    <cellStyle name="Note 2 4 2 4" xfId="10616" xr:uid="{00000000-0005-0000-0000-000061230000}"/>
    <cellStyle name="Note 2 4 3" xfId="7508" xr:uid="{00000000-0005-0000-0000-000062230000}"/>
    <cellStyle name="Note 2 4 3 2" xfId="6941" xr:uid="{00000000-0005-0000-0000-000063230000}"/>
    <cellStyle name="Note 2 4 3 2 2" xfId="9674" xr:uid="{00000000-0005-0000-0000-000064230000}"/>
    <cellStyle name="Note 2 4 3 2 2 2" xfId="9259" xr:uid="{00000000-0005-0000-0000-000065230000}"/>
    <cellStyle name="Note 2 4 3 2 2 2 2" xfId="12893" xr:uid="{00000000-0005-0000-0000-000066230000}"/>
    <cellStyle name="Note 2 4 3 2 2 3" xfId="11232" xr:uid="{00000000-0005-0000-0000-000067230000}"/>
    <cellStyle name="Note 2 4 3 2 3" xfId="11647" xr:uid="{00000000-0005-0000-0000-000068230000}"/>
    <cellStyle name="Note 2 4 3 3" xfId="8575" xr:uid="{00000000-0005-0000-0000-000069230000}"/>
    <cellStyle name="Note 2 4 3 3 2" xfId="12298" xr:uid="{00000000-0005-0000-0000-00006A230000}"/>
    <cellStyle name="Note 2 4 3 4" xfId="10605" xr:uid="{00000000-0005-0000-0000-00006B230000}"/>
    <cellStyle name="Note 2 4 4" xfId="7460" xr:uid="{00000000-0005-0000-0000-00006C230000}"/>
    <cellStyle name="Note 2 4 4 2" xfId="7286" xr:uid="{00000000-0005-0000-0000-00006D230000}"/>
    <cellStyle name="Note 2 4 4 2 2" xfId="9509" xr:uid="{00000000-0005-0000-0000-00006E230000}"/>
    <cellStyle name="Note 2 4 4 2 2 2" xfId="13132" xr:uid="{00000000-0005-0000-0000-00006F230000}"/>
    <cellStyle name="Note 2 4 4 2 3" xfId="11482" xr:uid="{00000000-0005-0000-0000-000070230000}"/>
    <cellStyle name="Note 2 4 4 3" xfId="8527" xr:uid="{00000000-0005-0000-0000-000071230000}"/>
    <cellStyle name="Note 2 4 4 3 2" xfId="12657" xr:uid="{00000000-0005-0000-0000-000072230000}"/>
    <cellStyle name="Note 2 4 4 4" xfId="10557" xr:uid="{00000000-0005-0000-0000-000073230000}"/>
    <cellStyle name="Note 2 4 5" xfId="7611" xr:uid="{00000000-0005-0000-0000-000074230000}"/>
    <cellStyle name="Note 2 4 5 2" xfId="6988" xr:uid="{00000000-0005-0000-0000-000075230000}"/>
    <cellStyle name="Note 2 4 5 2 2" xfId="9752" xr:uid="{00000000-0005-0000-0000-000076230000}"/>
    <cellStyle name="Note 2 4 5 2 2 2" xfId="9295" xr:uid="{00000000-0005-0000-0000-000077230000}"/>
    <cellStyle name="Note 2 4 5 2 2 2 2" xfId="12928" xr:uid="{00000000-0005-0000-0000-000078230000}"/>
    <cellStyle name="Note 2 4 5 2 2 3" xfId="11268" xr:uid="{00000000-0005-0000-0000-000079230000}"/>
    <cellStyle name="Note 2 4 5 2 3" xfId="11725" xr:uid="{00000000-0005-0000-0000-00007A230000}"/>
    <cellStyle name="Note 2 4 5 3" xfId="8673" xr:uid="{00000000-0005-0000-0000-00007B230000}"/>
    <cellStyle name="Note 2 4 5 3 2" xfId="12357" xr:uid="{00000000-0005-0000-0000-00007C230000}"/>
    <cellStyle name="Note 2 4 5 4" xfId="10703" xr:uid="{00000000-0005-0000-0000-00007D230000}"/>
    <cellStyle name="Note 2 4 6" xfId="7491" xr:uid="{00000000-0005-0000-0000-00007E230000}"/>
    <cellStyle name="Note 2 4 6 2" xfId="6914" xr:uid="{00000000-0005-0000-0000-00007F230000}"/>
    <cellStyle name="Note 2 4 6 2 2" xfId="9662" xr:uid="{00000000-0005-0000-0000-000080230000}"/>
    <cellStyle name="Note 2 4 6 2 2 2" xfId="9238" xr:uid="{00000000-0005-0000-0000-000081230000}"/>
    <cellStyle name="Note 2 4 6 2 2 2 2" xfId="12874" xr:uid="{00000000-0005-0000-0000-000082230000}"/>
    <cellStyle name="Note 2 4 6 2 2 3" xfId="11211" xr:uid="{00000000-0005-0000-0000-000083230000}"/>
    <cellStyle name="Note 2 4 6 2 3" xfId="11635" xr:uid="{00000000-0005-0000-0000-000084230000}"/>
    <cellStyle name="Note 2 4 6 3" xfId="8558" xr:uid="{00000000-0005-0000-0000-000085230000}"/>
    <cellStyle name="Note 2 4 6 3 2" xfId="12290" xr:uid="{00000000-0005-0000-0000-000086230000}"/>
    <cellStyle name="Note 2 4 6 4" xfId="10588" xr:uid="{00000000-0005-0000-0000-000087230000}"/>
    <cellStyle name="Note 2 4 7" xfId="7863" xr:uid="{00000000-0005-0000-0000-000088230000}"/>
    <cellStyle name="Note 2 4 7 2" xfId="8012" xr:uid="{00000000-0005-0000-0000-000089230000}"/>
    <cellStyle name="Note 2 4 7 2 2" xfId="9954" xr:uid="{00000000-0005-0000-0000-00008A230000}"/>
    <cellStyle name="Note 2 4 7 2 2 2" xfId="10044" xr:uid="{00000000-0005-0000-0000-00008B230000}"/>
    <cellStyle name="Note 2 4 7 2 2 2 2" xfId="13246" xr:uid="{00000000-0005-0000-0000-00008C230000}"/>
    <cellStyle name="Note 2 4 7 2 2 3" xfId="12017" xr:uid="{00000000-0005-0000-0000-00008D230000}"/>
    <cellStyle name="Note 2 4 7 2 3" xfId="11927" xr:uid="{00000000-0005-0000-0000-00008E230000}"/>
    <cellStyle name="Note 2 4 7 3" xfId="8111" xr:uid="{00000000-0005-0000-0000-00008F230000}"/>
    <cellStyle name="Note 2 4 7 3 2" xfId="10141" xr:uid="{00000000-0005-0000-0000-000090230000}"/>
    <cellStyle name="Note 2 4 7 3 2 2" xfId="13334" xr:uid="{00000000-0005-0000-0000-000091230000}"/>
    <cellStyle name="Note 2 4 7 3 3" xfId="12114" xr:uid="{00000000-0005-0000-0000-000092230000}"/>
    <cellStyle name="Note 2 4 7 4" xfId="8910" xr:uid="{00000000-0005-0000-0000-000093230000}"/>
    <cellStyle name="Note 2 4 7 4 2" xfId="12461" xr:uid="{00000000-0005-0000-0000-000094230000}"/>
    <cellStyle name="Note 2 4 7 5" xfId="10940" xr:uid="{00000000-0005-0000-0000-000095230000}"/>
    <cellStyle name="Note 2 4 8" xfId="8318" xr:uid="{00000000-0005-0000-0000-000096230000}"/>
    <cellStyle name="Note 2 4 8 2" xfId="9116" xr:uid="{00000000-0005-0000-0000-000097230000}"/>
    <cellStyle name="Note 2 4 8 2 2" xfId="12534" xr:uid="{00000000-0005-0000-0000-000098230000}"/>
    <cellStyle name="Note 2 4 8 3" xfId="11089" xr:uid="{00000000-0005-0000-0000-000099230000}"/>
    <cellStyle name="Note 2 4 9" xfId="10348" xr:uid="{00000000-0005-0000-0000-00009A230000}"/>
    <cellStyle name="Note 2 5" xfId="1626" xr:uid="{00000000-0005-0000-0000-00009B230000}"/>
    <cellStyle name="Note 2 5 2" xfId="7428" xr:uid="{00000000-0005-0000-0000-00009C230000}"/>
    <cellStyle name="Note 2 5 2 2" xfId="6830" xr:uid="{00000000-0005-0000-0000-00009D230000}"/>
    <cellStyle name="Note 2 5 2 2 2" xfId="9612" xr:uid="{00000000-0005-0000-0000-00009E230000}"/>
    <cellStyle name="Note 2 5 2 2 2 2" xfId="9174" xr:uid="{00000000-0005-0000-0000-00009F230000}"/>
    <cellStyle name="Note 2 5 2 2 2 2 2" xfId="12814" xr:uid="{00000000-0005-0000-0000-0000A0230000}"/>
    <cellStyle name="Note 2 5 2 2 2 3" xfId="11147" xr:uid="{00000000-0005-0000-0000-0000A1230000}"/>
    <cellStyle name="Note 2 5 2 2 3" xfId="11585" xr:uid="{00000000-0005-0000-0000-0000A2230000}"/>
    <cellStyle name="Note 2 5 2 3" xfId="8498" xr:uid="{00000000-0005-0000-0000-0000A3230000}"/>
    <cellStyle name="Note 2 5 2 3 2" xfId="12645" xr:uid="{00000000-0005-0000-0000-0000A4230000}"/>
    <cellStyle name="Note 2 5 2 4" xfId="10528" xr:uid="{00000000-0005-0000-0000-0000A5230000}"/>
    <cellStyle name="Note 2 5 3" xfId="7417" xr:uid="{00000000-0005-0000-0000-0000A6230000}"/>
    <cellStyle name="Note 2 5 3 2" xfId="7219" xr:uid="{00000000-0005-0000-0000-0000A7230000}"/>
    <cellStyle name="Note 2 5 3 2 2" xfId="9604" xr:uid="{00000000-0005-0000-0000-0000A8230000}"/>
    <cellStyle name="Note 2 5 3 2 2 2" xfId="9461" xr:uid="{00000000-0005-0000-0000-0000A9230000}"/>
    <cellStyle name="Note 2 5 3 2 2 2 2" xfId="13087" xr:uid="{00000000-0005-0000-0000-0000AA230000}"/>
    <cellStyle name="Note 2 5 3 2 2 3" xfId="11434" xr:uid="{00000000-0005-0000-0000-0000AB230000}"/>
    <cellStyle name="Note 2 5 3 2 3" xfId="11577" xr:uid="{00000000-0005-0000-0000-0000AC230000}"/>
    <cellStyle name="Note 2 5 3 3" xfId="8487" xr:uid="{00000000-0005-0000-0000-0000AD230000}"/>
    <cellStyle name="Note 2 5 3 3 2" xfId="12245" xr:uid="{00000000-0005-0000-0000-0000AE230000}"/>
    <cellStyle name="Note 2 5 3 4" xfId="10517" xr:uid="{00000000-0005-0000-0000-0000AF230000}"/>
    <cellStyle name="Note 2 5 4" xfId="7588" xr:uid="{00000000-0005-0000-0000-0000B0230000}"/>
    <cellStyle name="Note 2 5 4 2" xfId="7129" xr:uid="{00000000-0005-0000-0000-0000B1230000}"/>
    <cellStyle name="Note 2 5 4 2 2" xfId="9402" xr:uid="{00000000-0005-0000-0000-0000B2230000}"/>
    <cellStyle name="Note 2 5 4 2 2 2" xfId="13032" xr:uid="{00000000-0005-0000-0000-0000B3230000}"/>
    <cellStyle name="Note 2 5 4 2 3" xfId="11375" xr:uid="{00000000-0005-0000-0000-0000B4230000}"/>
    <cellStyle name="Note 2 5 4 3" xfId="8651" xr:uid="{00000000-0005-0000-0000-0000B5230000}"/>
    <cellStyle name="Note 2 5 4 3 2" xfId="12700" xr:uid="{00000000-0005-0000-0000-0000B6230000}"/>
    <cellStyle name="Note 2 5 4 4" xfId="10681" xr:uid="{00000000-0005-0000-0000-0000B7230000}"/>
    <cellStyle name="Note 2 5 5" xfId="7712" xr:uid="{00000000-0005-0000-0000-0000B8230000}"/>
    <cellStyle name="Note 2 5 5 2" xfId="7019" xr:uid="{00000000-0005-0000-0000-0000B9230000}"/>
    <cellStyle name="Note 2 5 5 2 2" xfId="9832" xr:uid="{00000000-0005-0000-0000-0000BA230000}"/>
    <cellStyle name="Note 2 5 5 2 2 2" xfId="9317" xr:uid="{00000000-0005-0000-0000-0000BB230000}"/>
    <cellStyle name="Note 2 5 5 2 2 2 2" xfId="12950" xr:uid="{00000000-0005-0000-0000-0000BC230000}"/>
    <cellStyle name="Note 2 5 5 2 2 3" xfId="11290" xr:uid="{00000000-0005-0000-0000-0000BD230000}"/>
    <cellStyle name="Note 2 5 5 2 3" xfId="11805" xr:uid="{00000000-0005-0000-0000-0000BE230000}"/>
    <cellStyle name="Note 2 5 5 3" xfId="8767" xr:uid="{00000000-0005-0000-0000-0000BF230000}"/>
    <cellStyle name="Note 2 5 5 3 2" xfId="12415" xr:uid="{00000000-0005-0000-0000-0000C0230000}"/>
    <cellStyle name="Note 2 5 5 4" xfId="10797" xr:uid="{00000000-0005-0000-0000-0000C1230000}"/>
    <cellStyle name="Note 2 5 6" xfId="7398" xr:uid="{00000000-0005-0000-0000-0000C2230000}"/>
    <cellStyle name="Note 2 5 6 2" xfId="7045" xr:uid="{00000000-0005-0000-0000-0000C3230000}"/>
    <cellStyle name="Note 2 5 6 2 2" xfId="9592" xr:uid="{00000000-0005-0000-0000-0000C4230000}"/>
    <cellStyle name="Note 2 5 6 2 2 2" xfId="9338" xr:uid="{00000000-0005-0000-0000-0000C5230000}"/>
    <cellStyle name="Note 2 5 6 2 2 2 2" xfId="12969" xr:uid="{00000000-0005-0000-0000-0000C6230000}"/>
    <cellStyle name="Note 2 5 6 2 2 3" xfId="11311" xr:uid="{00000000-0005-0000-0000-0000C7230000}"/>
    <cellStyle name="Note 2 5 6 2 3" xfId="11565" xr:uid="{00000000-0005-0000-0000-0000C8230000}"/>
    <cellStyle name="Note 2 5 6 3" xfId="8468" xr:uid="{00000000-0005-0000-0000-0000C9230000}"/>
    <cellStyle name="Note 2 5 6 3 2" xfId="12237" xr:uid="{00000000-0005-0000-0000-0000CA230000}"/>
    <cellStyle name="Note 2 5 6 4" xfId="10498" xr:uid="{00000000-0005-0000-0000-0000CB230000}"/>
    <cellStyle name="Note 2 5 7" xfId="7862" xr:uid="{00000000-0005-0000-0000-0000CC230000}"/>
    <cellStyle name="Note 2 5 7 2" xfId="8011" xr:uid="{00000000-0005-0000-0000-0000CD230000}"/>
    <cellStyle name="Note 2 5 7 2 2" xfId="9953" xr:uid="{00000000-0005-0000-0000-0000CE230000}"/>
    <cellStyle name="Note 2 5 7 2 2 2" xfId="10043" xr:uid="{00000000-0005-0000-0000-0000CF230000}"/>
    <cellStyle name="Note 2 5 7 2 2 2 2" xfId="13245" xr:uid="{00000000-0005-0000-0000-0000D0230000}"/>
    <cellStyle name="Note 2 5 7 2 2 3" xfId="12016" xr:uid="{00000000-0005-0000-0000-0000D1230000}"/>
    <cellStyle name="Note 2 5 7 2 3" xfId="11926" xr:uid="{00000000-0005-0000-0000-0000D2230000}"/>
    <cellStyle name="Note 2 5 7 3" xfId="8110" xr:uid="{00000000-0005-0000-0000-0000D3230000}"/>
    <cellStyle name="Note 2 5 7 3 2" xfId="10140" xr:uid="{00000000-0005-0000-0000-0000D4230000}"/>
    <cellStyle name="Note 2 5 7 3 2 2" xfId="13333" xr:uid="{00000000-0005-0000-0000-0000D5230000}"/>
    <cellStyle name="Note 2 5 7 3 3" xfId="12113" xr:uid="{00000000-0005-0000-0000-0000D6230000}"/>
    <cellStyle name="Note 2 5 7 4" xfId="8909" xr:uid="{00000000-0005-0000-0000-0000D7230000}"/>
    <cellStyle name="Note 2 5 7 4 2" xfId="12460" xr:uid="{00000000-0005-0000-0000-0000D8230000}"/>
    <cellStyle name="Note 2 5 7 5" xfId="10939" xr:uid="{00000000-0005-0000-0000-0000D9230000}"/>
    <cellStyle name="Note 2 5 8" xfId="8317" xr:uid="{00000000-0005-0000-0000-0000DA230000}"/>
    <cellStyle name="Note 2 5 8 2" xfId="8969" xr:uid="{00000000-0005-0000-0000-0000DB230000}"/>
    <cellStyle name="Note 2 5 8 2 2" xfId="12533" xr:uid="{00000000-0005-0000-0000-0000DC230000}"/>
    <cellStyle name="Note 2 5 8 3" xfId="10999" xr:uid="{00000000-0005-0000-0000-0000DD230000}"/>
    <cellStyle name="Note 2 5 9" xfId="10347" xr:uid="{00000000-0005-0000-0000-0000DE230000}"/>
    <cellStyle name="Note 2 6" xfId="2072" xr:uid="{00000000-0005-0000-0000-0000DF230000}"/>
    <cellStyle name="Note 2 6 2" xfId="7515" xr:uid="{00000000-0005-0000-0000-0000E0230000}"/>
    <cellStyle name="Note 2 6 2 2" xfId="7079" xr:uid="{00000000-0005-0000-0000-0000E1230000}"/>
    <cellStyle name="Note 2 6 2 2 2" xfId="9680" xr:uid="{00000000-0005-0000-0000-0000E2230000}"/>
    <cellStyle name="Note 2 6 2 2 2 2" xfId="9366" xr:uid="{00000000-0005-0000-0000-0000E3230000}"/>
    <cellStyle name="Note 2 6 2 2 2 2 2" xfId="12997" xr:uid="{00000000-0005-0000-0000-0000E4230000}"/>
    <cellStyle name="Note 2 6 2 2 2 3" xfId="11339" xr:uid="{00000000-0005-0000-0000-0000E5230000}"/>
    <cellStyle name="Note 2 6 2 2 3" xfId="11653" xr:uid="{00000000-0005-0000-0000-0000E6230000}"/>
    <cellStyle name="Note 2 6 2 3" xfId="8581" xr:uid="{00000000-0005-0000-0000-0000E7230000}"/>
    <cellStyle name="Note 2 6 2 3 2" xfId="12673" xr:uid="{00000000-0005-0000-0000-0000E8230000}"/>
    <cellStyle name="Note 2 6 2 4" xfId="10611" xr:uid="{00000000-0005-0000-0000-0000E9230000}"/>
    <cellStyle name="Note 2 6 3" xfId="7617" xr:uid="{00000000-0005-0000-0000-0000EA230000}"/>
    <cellStyle name="Note 2 6 3 2" xfId="6946" xr:uid="{00000000-0005-0000-0000-0000EB230000}"/>
    <cellStyle name="Note 2 6 3 2 2" xfId="9757" xr:uid="{00000000-0005-0000-0000-0000EC230000}"/>
    <cellStyle name="Note 2 6 3 2 2 2" xfId="9263" xr:uid="{00000000-0005-0000-0000-0000ED230000}"/>
    <cellStyle name="Note 2 6 3 2 2 2 2" xfId="12897" xr:uid="{00000000-0005-0000-0000-0000EE230000}"/>
    <cellStyle name="Note 2 6 3 2 2 3" xfId="11236" xr:uid="{00000000-0005-0000-0000-0000EF230000}"/>
    <cellStyle name="Note 2 6 3 2 3" xfId="11730" xr:uid="{00000000-0005-0000-0000-0000F0230000}"/>
    <cellStyle name="Note 2 6 3 3" xfId="8679" xr:uid="{00000000-0005-0000-0000-0000F1230000}"/>
    <cellStyle name="Note 2 6 3 3 2" xfId="12361" xr:uid="{00000000-0005-0000-0000-0000F2230000}"/>
    <cellStyle name="Note 2 6 3 4" xfId="10709" xr:uid="{00000000-0005-0000-0000-0000F3230000}"/>
    <cellStyle name="Note 2 6 4" xfId="7408" xr:uid="{00000000-0005-0000-0000-0000F4230000}"/>
    <cellStyle name="Note 2 6 4 2" xfId="6867" xr:uid="{00000000-0005-0000-0000-0000F5230000}"/>
    <cellStyle name="Note 2 6 4 2 2" xfId="9204" xr:uid="{00000000-0005-0000-0000-0000F6230000}"/>
    <cellStyle name="Note 2 6 4 2 2 2" xfId="12843" xr:uid="{00000000-0005-0000-0000-0000F7230000}"/>
    <cellStyle name="Note 2 6 4 2 3" xfId="11177" xr:uid="{00000000-0005-0000-0000-0000F8230000}"/>
    <cellStyle name="Note 2 6 4 3" xfId="8478" xr:uid="{00000000-0005-0000-0000-0000F9230000}"/>
    <cellStyle name="Note 2 6 4 3 2" xfId="12637" xr:uid="{00000000-0005-0000-0000-0000FA230000}"/>
    <cellStyle name="Note 2 6 4 4" xfId="10508" xr:uid="{00000000-0005-0000-0000-0000FB230000}"/>
    <cellStyle name="Note 2 6 5" xfId="7593" xr:uid="{00000000-0005-0000-0000-0000FC230000}"/>
    <cellStyle name="Note 2 6 5 2" xfId="7243" xr:uid="{00000000-0005-0000-0000-0000FD230000}"/>
    <cellStyle name="Note 2 6 5 2 2" xfId="9737" xr:uid="{00000000-0005-0000-0000-0000FE230000}"/>
    <cellStyle name="Note 2 6 5 2 2 2" xfId="9480" xr:uid="{00000000-0005-0000-0000-0000FF230000}"/>
    <cellStyle name="Note 2 6 5 2 2 2 2" xfId="13105" xr:uid="{00000000-0005-0000-0000-000000240000}"/>
    <cellStyle name="Note 2 6 5 2 2 3" xfId="11453" xr:uid="{00000000-0005-0000-0000-000001240000}"/>
    <cellStyle name="Note 2 6 5 2 3" xfId="11710" xr:uid="{00000000-0005-0000-0000-000002240000}"/>
    <cellStyle name="Note 2 6 5 3" xfId="8656" xr:uid="{00000000-0005-0000-0000-000003240000}"/>
    <cellStyle name="Note 2 6 5 3 2" xfId="12344" xr:uid="{00000000-0005-0000-0000-000004240000}"/>
    <cellStyle name="Note 2 6 5 4" xfId="10686" xr:uid="{00000000-0005-0000-0000-000005240000}"/>
    <cellStyle name="Note 2 6 6" xfId="7649" xr:uid="{00000000-0005-0000-0000-000006240000}"/>
    <cellStyle name="Note 2 6 6 2" xfId="7132" xr:uid="{00000000-0005-0000-0000-000007240000}"/>
    <cellStyle name="Note 2 6 6 2 2" xfId="9780" xr:uid="{00000000-0005-0000-0000-000008240000}"/>
    <cellStyle name="Note 2 6 6 2 2 2" xfId="9404" xr:uid="{00000000-0005-0000-0000-000009240000}"/>
    <cellStyle name="Note 2 6 6 2 2 2 2" xfId="13034" xr:uid="{00000000-0005-0000-0000-00000A240000}"/>
    <cellStyle name="Note 2 6 6 2 2 3" xfId="11377" xr:uid="{00000000-0005-0000-0000-00000B240000}"/>
    <cellStyle name="Note 2 6 6 2 3" xfId="11753" xr:uid="{00000000-0005-0000-0000-00000C240000}"/>
    <cellStyle name="Note 2 6 6 3" xfId="8707" xr:uid="{00000000-0005-0000-0000-00000D240000}"/>
    <cellStyle name="Note 2 6 6 3 2" xfId="12376" xr:uid="{00000000-0005-0000-0000-00000E240000}"/>
    <cellStyle name="Note 2 6 6 4" xfId="10737" xr:uid="{00000000-0005-0000-0000-00000F240000}"/>
    <cellStyle name="Note 2 6 7" xfId="7875" xr:uid="{00000000-0005-0000-0000-000010240000}"/>
    <cellStyle name="Note 2 6 7 2" xfId="8024" xr:uid="{00000000-0005-0000-0000-000011240000}"/>
    <cellStyle name="Note 2 6 7 2 2" xfId="9966" xr:uid="{00000000-0005-0000-0000-000012240000}"/>
    <cellStyle name="Note 2 6 7 2 2 2" xfId="10056" xr:uid="{00000000-0005-0000-0000-000013240000}"/>
    <cellStyle name="Note 2 6 7 2 2 2 2" xfId="13258" xr:uid="{00000000-0005-0000-0000-000014240000}"/>
    <cellStyle name="Note 2 6 7 2 2 3" xfId="12029" xr:uid="{00000000-0005-0000-0000-000015240000}"/>
    <cellStyle name="Note 2 6 7 2 3" xfId="11939" xr:uid="{00000000-0005-0000-0000-000016240000}"/>
    <cellStyle name="Note 2 6 7 3" xfId="8123" xr:uid="{00000000-0005-0000-0000-000017240000}"/>
    <cellStyle name="Note 2 6 7 3 2" xfId="10153" xr:uid="{00000000-0005-0000-0000-000018240000}"/>
    <cellStyle name="Note 2 6 7 3 2 2" xfId="13346" xr:uid="{00000000-0005-0000-0000-000019240000}"/>
    <cellStyle name="Note 2 6 7 3 3" xfId="12126" xr:uid="{00000000-0005-0000-0000-00001A240000}"/>
    <cellStyle name="Note 2 6 7 4" xfId="8922" xr:uid="{00000000-0005-0000-0000-00001B240000}"/>
    <cellStyle name="Note 2 6 7 4 2" xfId="12473" xr:uid="{00000000-0005-0000-0000-00001C240000}"/>
    <cellStyle name="Note 2 6 7 5" xfId="10952" xr:uid="{00000000-0005-0000-0000-00001D240000}"/>
    <cellStyle name="Note 2 6 8" xfId="8330" xr:uid="{00000000-0005-0000-0000-00001E240000}"/>
    <cellStyle name="Note 2 6 8 2" xfId="9128" xr:uid="{00000000-0005-0000-0000-00001F240000}"/>
    <cellStyle name="Note 2 6 8 2 2" xfId="12546" xr:uid="{00000000-0005-0000-0000-000020240000}"/>
    <cellStyle name="Note 2 6 8 3" xfId="11101" xr:uid="{00000000-0005-0000-0000-000021240000}"/>
    <cellStyle name="Note 2 6 9" xfId="10360" xr:uid="{00000000-0005-0000-0000-000022240000}"/>
    <cellStyle name="Note 2 7" xfId="1906" xr:uid="{00000000-0005-0000-0000-000023240000}"/>
    <cellStyle name="Note 2 7 2" xfId="7739" xr:uid="{00000000-0005-0000-0000-000024240000}"/>
    <cellStyle name="Note 2 7 2 2" xfId="7956" xr:uid="{00000000-0005-0000-0000-000025240000}"/>
    <cellStyle name="Note 2 7 2 2 2" xfId="9853" xr:uid="{00000000-0005-0000-0000-000026240000}"/>
    <cellStyle name="Note 2 7 2 2 2 2" xfId="10015" xr:uid="{00000000-0005-0000-0000-000027240000}"/>
    <cellStyle name="Note 2 7 2 2 2 2 2" xfId="13229" xr:uid="{00000000-0005-0000-0000-000028240000}"/>
    <cellStyle name="Note 2 7 2 2 2 3" xfId="11988" xr:uid="{00000000-0005-0000-0000-000029240000}"/>
    <cellStyle name="Note 2 7 2 2 3" xfId="11826" xr:uid="{00000000-0005-0000-0000-00002A240000}"/>
    <cellStyle name="Note 2 7 2 3" xfId="8793" xr:uid="{00000000-0005-0000-0000-00002B240000}"/>
    <cellStyle name="Note 2 7 2 3 2" xfId="12751" xr:uid="{00000000-0005-0000-0000-00002C240000}"/>
    <cellStyle name="Note 2 7 2 4" xfId="10823" xr:uid="{00000000-0005-0000-0000-00002D240000}"/>
    <cellStyle name="Note 2 7 3" xfId="7343" xr:uid="{00000000-0005-0000-0000-00002E240000}"/>
    <cellStyle name="Note 2 7 3 2" xfId="6849" xr:uid="{00000000-0005-0000-0000-00002F240000}"/>
    <cellStyle name="Note 2 7 3 2 2" xfId="9549" xr:uid="{00000000-0005-0000-0000-000030240000}"/>
    <cellStyle name="Note 2 7 3 2 2 2" xfId="9188" xr:uid="{00000000-0005-0000-0000-000031240000}"/>
    <cellStyle name="Note 2 7 3 2 2 2 2" xfId="12828" xr:uid="{00000000-0005-0000-0000-000032240000}"/>
    <cellStyle name="Note 2 7 3 2 2 3" xfId="11161" xr:uid="{00000000-0005-0000-0000-000033240000}"/>
    <cellStyle name="Note 2 7 3 2 3" xfId="11522" xr:uid="{00000000-0005-0000-0000-000034240000}"/>
    <cellStyle name="Note 2 7 3 3" xfId="8415" xr:uid="{00000000-0005-0000-0000-000035240000}"/>
    <cellStyle name="Note 2 7 3 3 2" xfId="12209" xr:uid="{00000000-0005-0000-0000-000036240000}"/>
    <cellStyle name="Note 2 7 3 4" xfId="10445" xr:uid="{00000000-0005-0000-0000-000037240000}"/>
    <cellStyle name="Note 2 7 4" xfId="7576" xr:uid="{00000000-0005-0000-0000-000038240000}"/>
    <cellStyle name="Note 2 7 4 2" xfId="7161" xr:uid="{00000000-0005-0000-0000-000039240000}"/>
    <cellStyle name="Note 2 7 4 2 2" xfId="9422" xr:uid="{00000000-0005-0000-0000-00003A240000}"/>
    <cellStyle name="Note 2 7 4 2 2 2" xfId="13052" xr:uid="{00000000-0005-0000-0000-00003B240000}"/>
    <cellStyle name="Note 2 7 4 2 3" xfId="11395" xr:uid="{00000000-0005-0000-0000-00003C240000}"/>
    <cellStyle name="Note 2 7 4 3" xfId="8640" xr:uid="{00000000-0005-0000-0000-00003D240000}"/>
    <cellStyle name="Note 2 7 4 3 2" xfId="12691" xr:uid="{00000000-0005-0000-0000-00003E240000}"/>
    <cellStyle name="Note 2 7 4 4" xfId="10670" xr:uid="{00000000-0005-0000-0000-00003F240000}"/>
    <cellStyle name="Note 2 7 5" xfId="7442" xr:uid="{00000000-0005-0000-0000-000040240000}"/>
    <cellStyle name="Note 2 7 5 2" xfId="6943" xr:uid="{00000000-0005-0000-0000-000041240000}"/>
    <cellStyle name="Note 2 7 5 2 2" xfId="9623" xr:uid="{00000000-0005-0000-0000-000042240000}"/>
    <cellStyle name="Note 2 7 5 2 2 2" xfId="9260" xr:uid="{00000000-0005-0000-0000-000043240000}"/>
    <cellStyle name="Note 2 7 5 2 2 2 2" xfId="12894" xr:uid="{00000000-0005-0000-0000-000044240000}"/>
    <cellStyle name="Note 2 7 5 2 2 3" xfId="11233" xr:uid="{00000000-0005-0000-0000-000045240000}"/>
    <cellStyle name="Note 2 7 5 2 3" xfId="11596" xr:uid="{00000000-0005-0000-0000-000046240000}"/>
    <cellStyle name="Note 2 7 5 3" xfId="8512" xr:uid="{00000000-0005-0000-0000-000047240000}"/>
    <cellStyle name="Note 2 7 5 3 2" xfId="12257" xr:uid="{00000000-0005-0000-0000-000048240000}"/>
    <cellStyle name="Note 2 7 5 4" xfId="10542" xr:uid="{00000000-0005-0000-0000-000049240000}"/>
    <cellStyle name="Note 2 7 6" xfId="7695" xr:uid="{00000000-0005-0000-0000-00004A240000}"/>
    <cellStyle name="Note 2 7 6 2" xfId="6992" xr:uid="{00000000-0005-0000-0000-00004B240000}"/>
    <cellStyle name="Note 2 7 6 2 2" xfId="9816" xr:uid="{00000000-0005-0000-0000-00004C240000}"/>
    <cellStyle name="Note 2 7 6 2 2 2" xfId="9299" xr:uid="{00000000-0005-0000-0000-00004D240000}"/>
    <cellStyle name="Note 2 7 6 2 2 2 2" xfId="12932" xr:uid="{00000000-0005-0000-0000-00004E240000}"/>
    <cellStyle name="Note 2 7 6 2 2 3" xfId="11272" xr:uid="{00000000-0005-0000-0000-00004F240000}"/>
    <cellStyle name="Note 2 7 6 2 3" xfId="11789" xr:uid="{00000000-0005-0000-0000-000050240000}"/>
    <cellStyle name="Note 2 7 6 3" xfId="8750" xr:uid="{00000000-0005-0000-0000-000051240000}"/>
    <cellStyle name="Note 2 7 6 3 2" xfId="12402" xr:uid="{00000000-0005-0000-0000-000052240000}"/>
    <cellStyle name="Note 2 7 6 4" xfId="10780" xr:uid="{00000000-0005-0000-0000-000053240000}"/>
    <cellStyle name="Note 2 7 7" xfId="7874" xr:uid="{00000000-0005-0000-0000-000054240000}"/>
    <cellStyle name="Note 2 7 7 2" xfId="8023" xr:uid="{00000000-0005-0000-0000-000055240000}"/>
    <cellStyle name="Note 2 7 7 2 2" xfId="9965" xr:uid="{00000000-0005-0000-0000-000056240000}"/>
    <cellStyle name="Note 2 7 7 2 2 2" xfId="10055" xr:uid="{00000000-0005-0000-0000-000057240000}"/>
    <cellStyle name="Note 2 7 7 2 2 2 2" xfId="13257" xr:uid="{00000000-0005-0000-0000-000058240000}"/>
    <cellStyle name="Note 2 7 7 2 2 3" xfId="12028" xr:uid="{00000000-0005-0000-0000-000059240000}"/>
    <cellStyle name="Note 2 7 7 2 3" xfId="11938" xr:uid="{00000000-0005-0000-0000-00005A240000}"/>
    <cellStyle name="Note 2 7 7 3" xfId="8122" xr:uid="{00000000-0005-0000-0000-00005B240000}"/>
    <cellStyle name="Note 2 7 7 3 2" xfId="10152" xr:uid="{00000000-0005-0000-0000-00005C240000}"/>
    <cellStyle name="Note 2 7 7 3 2 2" xfId="13345" xr:uid="{00000000-0005-0000-0000-00005D240000}"/>
    <cellStyle name="Note 2 7 7 3 3" xfId="12125" xr:uid="{00000000-0005-0000-0000-00005E240000}"/>
    <cellStyle name="Note 2 7 7 4" xfId="8921" xr:uid="{00000000-0005-0000-0000-00005F240000}"/>
    <cellStyle name="Note 2 7 7 4 2" xfId="12472" xr:uid="{00000000-0005-0000-0000-000060240000}"/>
    <cellStyle name="Note 2 7 7 5" xfId="10951" xr:uid="{00000000-0005-0000-0000-000061240000}"/>
    <cellStyle name="Note 2 7 8" xfId="8329" xr:uid="{00000000-0005-0000-0000-000062240000}"/>
    <cellStyle name="Note 2 7 8 2" xfId="9127" xr:uid="{00000000-0005-0000-0000-000063240000}"/>
    <cellStyle name="Note 2 7 8 2 2" xfId="12545" xr:uid="{00000000-0005-0000-0000-000064240000}"/>
    <cellStyle name="Note 2 7 8 3" xfId="11100" xr:uid="{00000000-0005-0000-0000-000065240000}"/>
    <cellStyle name="Note 2 7 9" xfId="10359" xr:uid="{00000000-0005-0000-0000-000066240000}"/>
    <cellStyle name="Note 2 8" xfId="2762" xr:uid="{00000000-0005-0000-0000-000067240000}"/>
    <cellStyle name="Note 2 8 2" xfId="7581" xr:uid="{00000000-0005-0000-0000-000068240000}"/>
    <cellStyle name="Note 2 8 2 2" xfId="6916" xr:uid="{00000000-0005-0000-0000-000069240000}"/>
    <cellStyle name="Note 2 8 2 2 2" xfId="9730" xr:uid="{00000000-0005-0000-0000-00006A240000}"/>
    <cellStyle name="Note 2 8 2 2 2 2" xfId="9240" xr:uid="{00000000-0005-0000-0000-00006B240000}"/>
    <cellStyle name="Note 2 8 2 2 2 2 2" xfId="12876" xr:uid="{00000000-0005-0000-0000-00006C240000}"/>
    <cellStyle name="Note 2 8 2 2 2 3" xfId="11213" xr:uid="{00000000-0005-0000-0000-00006D240000}"/>
    <cellStyle name="Note 2 8 2 2 3" xfId="11703" xr:uid="{00000000-0005-0000-0000-00006E240000}"/>
    <cellStyle name="Note 2 8 2 3" xfId="8644" xr:uid="{00000000-0005-0000-0000-00006F240000}"/>
    <cellStyle name="Note 2 8 2 3 2" xfId="12694" xr:uid="{00000000-0005-0000-0000-000070240000}"/>
    <cellStyle name="Note 2 8 2 4" xfId="10674" xr:uid="{00000000-0005-0000-0000-000071240000}"/>
    <cellStyle name="Note 2 8 3" xfId="7541" xr:uid="{00000000-0005-0000-0000-000072240000}"/>
    <cellStyle name="Note 2 8 3 2" xfId="6901" xr:uid="{00000000-0005-0000-0000-000073240000}"/>
    <cellStyle name="Note 2 8 3 2 2" xfId="9702" xr:uid="{00000000-0005-0000-0000-000074240000}"/>
    <cellStyle name="Note 2 8 3 2 2 2" xfId="9229" xr:uid="{00000000-0005-0000-0000-000075240000}"/>
    <cellStyle name="Note 2 8 3 2 2 2 2" xfId="12865" xr:uid="{00000000-0005-0000-0000-000076240000}"/>
    <cellStyle name="Note 2 8 3 2 2 3" xfId="11202" xr:uid="{00000000-0005-0000-0000-000077240000}"/>
    <cellStyle name="Note 2 8 3 2 3" xfId="11675" xr:uid="{00000000-0005-0000-0000-000078240000}"/>
    <cellStyle name="Note 2 8 3 3" xfId="8607" xr:uid="{00000000-0005-0000-0000-000079240000}"/>
    <cellStyle name="Note 2 8 3 3 2" xfId="12319" xr:uid="{00000000-0005-0000-0000-00007A240000}"/>
    <cellStyle name="Note 2 8 3 4" xfId="10637" xr:uid="{00000000-0005-0000-0000-00007B240000}"/>
    <cellStyle name="Note 2 8 4" xfId="7675" xr:uid="{00000000-0005-0000-0000-00007C240000}"/>
    <cellStyle name="Note 2 8 4 2" xfId="7059" xr:uid="{00000000-0005-0000-0000-00007D240000}"/>
    <cellStyle name="Note 2 8 4 2 2" xfId="9350" xr:uid="{00000000-0005-0000-0000-00007E240000}"/>
    <cellStyle name="Note 2 8 4 2 2 2" xfId="12981" xr:uid="{00000000-0005-0000-0000-00007F240000}"/>
    <cellStyle name="Note 2 8 4 2 3" xfId="11323" xr:uid="{00000000-0005-0000-0000-000080240000}"/>
    <cellStyle name="Note 2 8 4 3" xfId="8730" xr:uid="{00000000-0005-0000-0000-000081240000}"/>
    <cellStyle name="Note 2 8 4 3 2" xfId="12731" xr:uid="{00000000-0005-0000-0000-000082240000}"/>
    <cellStyle name="Note 2 8 4 4" xfId="10760" xr:uid="{00000000-0005-0000-0000-000083240000}"/>
    <cellStyle name="Note 2 8 5" xfId="7375" xr:uid="{00000000-0005-0000-0000-000084240000}"/>
    <cellStyle name="Note 2 8 5 2" xfId="7223" xr:uid="{00000000-0005-0000-0000-000085240000}"/>
    <cellStyle name="Note 2 8 5 2 2" xfId="9574" xr:uid="{00000000-0005-0000-0000-000086240000}"/>
    <cellStyle name="Note 2 8 5 2 2 2" xfId="9464" xr:uid="{00000000-0005-0000-0000-000087240000}"/>
    <cellStyle name="Note 2 8 5 2 2 2 2" xfId="13090" xr:uid="{00000000-0005-0000-0000-000088240000}"/>
    <cellStyle name="Note 2 8 5 2 2 3" xfId="11437" xr:uid="{00000000-0005-0000-0000-000089240000}"/>
    <cellStyle name="Note 2 8 5 2 3" xfId="11547" xr:uid="{00000000-0005-0000-0000-00008A240000}"/>
    <cellStyle name="Note 2 8 5 3" xfId="8446" xr:uid="{00000000-0005-0000-0000-00008B240000}"/>
    <cellStyle name="Note 2 8 5 3 2" xfId="12225" xr:uid="{00000000-0005-0000-0000-00008C240000}"/>
    <cellStyle name="Note 2 8 5 4" xfId="10476" xr:uid="{00000000-0005-0000-0000-00008D240000}"/>
    <cellStyle name="Note 2 8 6" xfId="7612" xr:uid="{00000000-0005-0000-0000-00008E240000}"/>
    <cellStyle name="Note 2 8 6 2" xfId="7056" xr:uid="{00000000-0005-0000-0000-00008F240000}"/>
    <cellStyle name="Note 2 8 6 2 2" xfId="9753" xr:uid="{00000000-0005-0000-0000-000090240000}"/>
    <cellStyle name="Note 2 8 6 2 2 2" xfId="9348" xr:uid="{00000000-0005-0000-0000-000091240000}"/>
    <cellStyle name="Note 2 8 6 2 2 2 2" xfId="12979" xr:uid="{00000000-0005-0000-0000-000092240000}"/>
    <cellStyle name="Note 2 8 6 2 2 3" xfId="11321" xr:uid="{00000000-0005-0000-0000-000093240000}"/>
    <cellStyle name="Note 2 8 6 2 3" xfId="11726" xr:uid="{00000000-0005-0000-0000-000094240000}"/>
    <cellStyle name="Note 2 8 6 3" xfId="8674" xr:uid="{00000000-0005-0000-0000-000095240000}"/>
    <cellStyle name="Note 2 8 6 3 2" xfId="12358" xr:uid="{00000000-0005-0000-0000-000096240000}"/>
    <cellStyle name="Note 2 8 6 4" xfId="10704" xr:uid="{00000000-0005-0000-0000-000097240000}"/>
    <cellStyle name="Note 2 8 7" xfId="7886" xr:uid="{00000000-0005-0000-0000-000098240000}"/>
    <cellStyle name="Note 2 8 7 2" xfId="8034" xr:uid="{00000000-0005-0000-0000-000099240000}"/>
    <cellStyle name="Note 2 8 7 2 2" xfId="9975" xr:uid="{00000000-0005-0000-0000-00009A240000}"/>
    <cellStyle name="Note 2 8 7 2 2 2" xfId="10066" xr:uid="{00000000-0005-0000-0000-00009B240000}"/>
    <cellStyle name="Note 2 8 7 2 2 2 2" xfId="13267" xr:uid="{00000000-0005-0000-0000-00009C240000}"/>
    <cellStyle name="Note 2 8 7 2 2 3" xfId="12039" xr:uid="{00000000-0005-0000-0000-00009D240000}"/>
    <cellStyle name="Note 2 8 7 2 3" xfId="11948" xr:uid="{00000000-0005-0000-0000-00009E240000}"/>
    <cellStyle name="Note 2 8 7 3" xfId="8132" xr:uid="{00000000-0005-0000-0000-00009F240000}"/>
    <cellStyle name="Note 2 8 7 3 2" xfId="10162" xr:uid="{00000000-0005-0000-0000-0000A0240000}"/>
    <cellStyle name="Note 2 8 7 3 2 2" xfId="13355" xr:uid="{00000000-0005-0000-0000-0000A1240000}"/>
    <cellStyle name="Note 2 8 7 3 3" xfId="12135" xr:uid="{00000000-0005-0000-0000-0000A2240000}"/>
    <cellStyle name="Note 2 8 7 4" xfId="8932" xr:uid="{00000000-0005-0000-0000-0000A3240000}"/>
    <cellStyle name="Note 2 8 7 4 2" xfId="12482" xr:uid="{00000000-0005-0000-0000-0000A4240000}"/>
    <cellStyle name="Note 2 8 7 5" xfId="10962" xr:uid="{00000000-0005-0000-0000-0000A5240000}"/>
    <cellStyle name="Note 2 8 8" xfId="8339" xr:uid="{00000000-0005-0000-0000-0000A6240000}"/>
    <cellStyle name="Note 2 8 8 2" xfId="9137" xr:uid="{00000000-0005-0000-0000-0000A7240000}"/>
    <cellStyle name="Note 2 8 8 2 2" xfId="12555" xr:uid="{00000000-0005-0000-0000-0000A8240000}"/>
    <cellStyle name="Note 2 8 8 3" xfId="11110" xr:uid="{00000000-0005-0000-0000-0000A9240000}"/>
    <cellStyle name="Note 2 8 9" xfId="10369" xr:uid="{00000000-0005-0000-0000-0000AA240000}"/>
    <cellStyle name="Note 2 9" xfId="2798" xr:uid="{00000000-0005-0000-0000-0000AB240000}"/>
    <cellStyle name="Note 2 9 2" xfId="7700" xr:uid="{00000000-0005-0000-0000-0000AC240000}"/>
    <cellStyle name="Note 2 9 2 2" xfId="7113" xr:uid="{00000000-0005-0000-0000-0000AD240000}"/>
    <cellStyle name="Note 2 9 2 2 2" xfId="9820" xr:uid="{00000000-0005-0000-0000-0000AE240000}"/>
    <cellStyle name="Note 2 9 2 2 2 2" xfId="9391" xr:uid="{00000000-0005-0000-0000-0000AF240000}"/>
    <cellStyle name="Note 2 9 2 2 2 2 2" xfId="13021" xr:uid="{00000000-0005-0000-0000-0000B0240000}"/>
    <cellStyle name="Note 2 9 2 2 2 3" xfId="11364" xr:uid="{00000000-0005-0000-0000-0000B1240000}"/>
    <cellStyle name="Note 2 9 2 2 3" xfId="11793" xr:uid="{00000000-0005-0000-0000-0000B2240000}"/>
    <cellStyle name="Note 2 9 2 3" xfId="8755" xr:uid="{00000000-0005-0000-0000-0000B3240000}"/>
    <cellStyle name="Note 2 9 2 3 2" xfId="12740" xr:uid="{00000000-0005-0000-0000-0000B4240000}"/>
    <cellStyle name="Note 2 9 2 4" xfId="10785" xr:uid="{00000000-0005-0000-0000-0000B5240000}"/>
    <cellStyle name="Note 2 9 3" xfId="7623" xr:uid="{00000000-0005-0000-0000-0000B6240000}"/>
    <cellStyle name="Note 2 9 3 2" xfId="6847" xr:uid="{00000000-0005-0000-0000-0000B7240000}"/>
    <cellStyle name="Note 2 9 3 2 2" xfId="9761" xr:uid="{00000000-0005-0000-0000-0000B8240000}"/>
    <cellStyle name="Note 2 9 3 2 2 2" xfId="9186" xr:uid="{00000000-0005-0000-0000-0000B9240000}"/>
    <cellStyle name="Note 2 9 3 2 2 2 2" xfId="12826" xr:uid="{00000000-0005-0000-0000-0000BA240000}"/>
    <cellStyle name="Note 2 9 3 2 2 3" xfId="11159" xr:uid="{00000000-0005-0000-0000-0000BB240000}"/>
    <cellStyle name="Note 2 9 3 2 3" xfId="11734" xr:uid="{00000000-0005-0000-0000-0000BC240000}"/>
    <cellStyle name="Note 2 9 3 3" xfId="8684" xr:uid="{00000000-0005-0000-0000-0000BD240000}"/>
    <cellStyle name="Note 2 9 3 3 2" xfId="12364" xr:uid="{00000000-0005-0000-0000-0000BE240000}"/>
    <cellStyle name="Note 2 9 3 4" xfId="10714" xr:uid="{00000000-0005-0000-0000-0000BF240000}"/>
    <cellStyle name="Note 2 9 4" xfId="7402" xr:uid="{00000000-0005-0000-0000-0000C0240000}"/>
    <cellStyle name="Note 2 9 4 2" xfId="7077" xr:uid="{00000000-0005-0000-0000-0000C1240000}"/>
    <cellStyle name="Note 2 9 4 2 2" xfId="9365" xr:uid="{00000000-0005-0000-0000-0000C2240000}"/>
    <cellStyle name="Note 2 9 4 2 2 2" xfId="12996" xr:uid="{00000000-0005-0000-0000-0000C3240000}"/>
    <cellStyle name="Note 2 9 4 2 3" xfId="11338" xr:uid="{00000000-0005-0000-0000-0000C4240000}"/>
    <cellStyle name="Note 2 9 4 3" xfId="8472" xr:uid="{00000000-0005-0000-0000-0000C5240000}"/>
    <cellStyle name="Note 2 9 4 3 2" xfId="12632" xr:uid="{00000000-0005-0000-0000-0000C6240000}"/>
    <cellStyle name="Note 2 9 4 4" xfId="10502" xr:uid="{00000000-0005-0000-0000-0000C7240000}"/>
    <cellStyle name="Note 2 9 5" xfId="7680" xr:uid="{00000000-0005-0000-0000-0000C8240000}"/>
    <cellStyle name="Note 2 9 5 2" xfId="7164" xr:uid="{00000000-0005-0000-0000-0000C9240000}"/>
    <cellStyle name="Note 2 9 5 2 2" xfId="9805" xr:uid="{00000000-0005-0000-0000-0000CA240000}"/>
    <cellStyle name="Note 2 9 5 2 2 2" xfId="9425" xr:uid="{00000000-0005-0000-0000-0000CB240000}"/>
    <cellStyle name="Note 2 9 5 2 2 2 2" xfId="13055" xr:uid="{00000000-0005-0000-0000-0000CC240000}"/>
    <cellStyle name="Note 2 9 5 2 2 3" xfId="11398" xr:uid="{00000000-0005-0000-0000-0000CD240000}"/>
    <cellStyle name="Note 2 9 5 2 3" xfId="11778" xr:uid="{00000000-0005-0000-0000-0000CE240000}"/>
    <cellStyle name="Note 2 9 5 3" xfId="8735" xr:uid="{00000000-0005-0000-0000-0000CF240000}"/>
    <cellStyle name="Note 2 9 5 3 2" xfId="12392" xr:uid="{00000000-0005-0000-0000-0000D0240000}"/>
    <cellStyle name="Note 2 9 5 4" xfId="10765" xr:uid="{00000000-0005-0000-0000-0000D1240000}"/>
    <cellStyle name="Note 2 9 6" xfId="7732" xr:uid="{00000000-0005-0000-0000-0000D2240000}"/>
    <cellStyle name="Note 2 9 6 2" xfId="7092" xr:uid="{00000000-0005-0000-0000-0000D3240000}"/>
    <cellStyle name="Note 2 9 6 2 2" xfId="9848" xr:uid="{00000000-0005-0000-0000-0000D4240000}"/>
    <cellStyle name="Note 2 9 6 2 2 2" xfId="9376" xr:uid="{00000000-0005-0000-0000-0000D5240000}"/>
    <cellStyle name="Note 2 9 6 2 2 2 2" xfId="13007" xr:uid="{00000000-0005-0000-0000-0000D6240000}"/>
    <cellStyle name="Note 2 9 6 2 2 3" xfId="11349" xr:uid="{00000000-0005-0000-0000-0000D7240000}"/>
    <cellStyle name="Note 2 9 6 2 3" xfId="11821" xr:uid="{00000000-0005-0000-0000-0000D8240000}"/>
    <cellStyle name="Note 2 9 6 3" xfId="8786" xr:uid="{00000000-0005-0000-0000-0000D9240000}"/>
    <cellStyle name="Note 2 9 6 3 2" xfId="12429" xr:uid="{00000000-0005-0000-0000-0000DA240000}"/>
    <cellStyle name="Note 2 9 6 4" xfId="10816" xr:uid="{00000000-0005-0000-0000-0000DB240000}"/>
    <cellStyle name="Note 2 9 7" xfId="7893" xr:uid="{00000000-0005-0000-0000-0000DC240000}"/>
    <cellStyle name="Note 2 9 7 2" xfId="8041" xr:uid="{00000000-0005-0000-0000-0000DD240000}"/>
    <cellStyle name="Note 2 9 7 2 2" xfId="9982" xr:uid="{00000000-0005-0000-0000-0000DE240000}"/>
    <cellStyle name="Note 2 9 7 2 2 2" xfId="10073" xr:uid="{00000000-0005-0000-0000-0000DF240000}"/>
    <cellStyle name="Note 2 9 7 2 2 2 2" xfId="13274" xr:uid="{00000000-0005-0000-0000-0000E0240000}"/>
    <cellStyle name="Note 2 9 7 2 2 3" xfId="12046" xr:uid="{00000000-0005-0000-0000-0000E1240000}"/>
    <cellStyle name="Note 2 9 7 2 3" xfId="11955" xr:uid="{00000000-0005-0000-0000-0000E2240000}"/>
    <cellStyle name="Note 2 9 7 3" xfId="8139" xr:uid="{00000000-0005-0000-0000-0000E3240000}"/>
    <cellStyle name="Note 2 9 7 3 2" xfId="10169" xr:uid="{00000000-0005-0000-0000-0000E4240000}"/>
    <cellStyle name="Note 2 9 7 3 2 2" xfId="13362" xr:uid="{00000000-0005-0000-0000-0000E5240000}"/>
    <cellStyle name="Note 2 9 7 3 3" xfId="12142" xr:uid="{00000000-0005-0000-0000-0000E6240000}"/>
    <cellStyle name="Note 2 9 7 4" xfId="8939" xr:uid="{00000000-0005-0000-0000-0000E7240000}"/>
    <cellStyle name="Note 2 9 7 4 2" xfId="12489" xr:uid="{00000000-0005-0000-0000-0000E8240000}"/>
    <cellStyle name="Note 2 9 7 5" xfId="10969" xr:uid="{00000000-0005-0000-0000-0000E9240000}"/>
    <cellStyle name="Note 2 9 8" xfId="8346" xr:uid="{00000000-0005-0000-0000-0000EA240000}"/>
    <cellStyle name="Note 2 9 8 2" xfId="9144" xr:uid="{00000000-0005-0000-0000-0000EB240000}"/>
    <cellStyle name="Note 2 9 8 2 2" xfId="12562" xr:uid="{00000000-0005-0000-0000-0000EC240000}"/>
    <cellStyle name="Note 2 9 8 3" xfId="11117" xr:uid="{00000000-0005-0000-0000-0000ED240000}"/>
    <cellStyle name="Note 2 9 9" xfId="10376" xr:uid="{00000000-0005-0000-0000-0000EE240000}"/>
    <cellStyle name="Note 3" xfId="1468" xr:uid="{00000000-0005-0000-0000-0000EF240000}"/>
    <cellStyle name="Note 3 10" xfId="7373" xr:uid="{00000000-0005-0000-0000-0000F0240000}"/>
    <cellStyle name="Note 3 10 2" xfId="7225" xr:uid="{00000000-0005-0000-0000-0000F1240000}"/>
    <cellStyle name="Note 3 10 2 2" xfId="9573" xr:uid="{00000000-0005-0000-0000-0000F2240000}"/>
    <cellStyle name="Note 3 10 2 2 2" xfId="9465" xr:uid="{00000000-0005-0000-0000-0000F3240000}"/>
    <cellStyle name="Note 3 10 2 2 2 2" xfId="13091" xr:uid="{00000000-0005-0000-0000-0000F4240000}"/>
    <cellStyle name="Note 3 10 2 2 3" xfId="11438" xr:uid="{00000000-0005-0000-0000-0000F5240000}"/>
    <cellStyle name="Note 3 10 2 3" xfId="11546" xr:uid="{00000000-0005-0000-0000-0000F6240000}"/>
    <cellStyle name="Note 3 10 3" xfId="8444" xr:uid="{00000000-0005-0000-0000-0000F7240000}"/>
    <cellStyle name="Note 3 10 3 2" xfId="12620" xr:uid="{00000000-0005-0000-0000-0000F8240000}"/>
    <cellStyle name="Note 3 10 4" xfId="10474" xr:uid="{00000000-0005-0000-0000-0000F9240000}"/>
    <cellStyle name="Note 3 11" xfId="7320" xr:uid="{00000000-0005-0000-0000-0000FA240000}"/>
    <cellStyle name="Note 3 11 2" xfId="6855" xr:uid="{00000000-0005-0000-0000-0000FB240000}"/>
    <cellStyle name="Note 3 11 2 2" xfId="9533" xr:uid="{00000000-0005-0000-0000-0000FC240000}"/>
    <cellStyle name="Note 3 11 2 2 2" xfId="9193" xr:uid="{00000000-0005-0000-0000-0000FD240000}"/>
    <cellStyle name="Note 3 11 2 2 2 2" xfId="12833" xr:uid="{00000000-0005-0000-0000-0000FE240000}"/>
    <cellStyle name="Note 3 11 2 2 3" xfId="11166" xr:uid="{00000000-0005-0000-0000-0000FF240000}"/>
    <cellStyle name="Note 3 11 2 3" xfId="11506" xr:uid="{00000000-0005-0000-0000-000000250000}"/>
    <cellStyle name="Note 3 11 3" xfId="8393" xr:uid="{00000000-0005-0000-0000-000001250000}"/>
    <cellStyle name="Note 3 11 3 2" xfId="12199" xr:uid="{00000000-0005-0000-0000-000002250000}"/>
    <cellStyle name="Note 3 11 4" xfId="10423" xr:uid="{00000000-0005-0000-0000-000003250000}"/>
    <cellStyle name="Note 3 12" xfId="7749" xr:uid="{00000000-0005-0000-0000-000004250000}"/>
    <cellStyle name="Note 3 12 2" xfId="6944" xr:uid="{00000000-0005-0000-0000-000005250000}"/>
    <cellStyle name="Note 3 12 2 2" xfId="9261" xr:uid="{00000000-0005-0000-0000-000006250000}"/>
    <cellStyle name="Note 3 12 2 2 2" xfId="12895" xr:uid="{00000000-0005-0000-0000-000007250000}"/>
    <cellStyle name="Note 3 12 2 3" xfId="11234" xr:uid="{00000000-0005-0000-0000-000008250000}"/>
    <cellStyle name="Note 3 12 3" xfId="8803" xr:uid="{00000000-0005-0000-0000-000009250000}"/>
    <cellStyle name="Note 3 12 3 2" xfId="12753" xr:uid="{00000000-0005-0000-0000-00000A250000}"/>
    <cellStyle name="Note 3 12 4" xfId="10833" xr:uid="{00000000-0005-0000-0000-00000B250000}"/>
    <cellStyle name="Note 3 13" xfId="7670" xr:uid="{00000000-0005-0000-0000-00000C250000}"/>
    <cellStyle name="Note 3 13 2" xfId="7072" xr:uid="{00000000-0005-0000-0000-00000D250000}"/>
    <cellStyle name="Note 3 13 2 2" xfId="9797" xr:uid="{00000000-0005-0000-0000-00000E250000}"/>
    <cellStyle name="Note 3 13 2 2 2" xfId="9361" xr:uid="{00000000-0005-0000-0000-00000F250000}"/>
    <cellStyle name="Note 3 13 2 2 2 2" xfId="12992" xr:uid="{00000000-0005-0000-0000-000010250000}"/>
    <cellStyle name="Note 3 13 2 2 3" xfId="11334" xr:uid="{00000000-0005-0000-0000-000011250000}"/>
    <cellStyle name="Note 3 13 2 3" xfId="11770" xr:uid="{00000000-0005-0000-0000-000012250000}"/>
    <cellStyle name="Note 3 13 3" xfId="8726" xr:uid="{00000000-0005-0000-0000-000013250000}"/>
    <cellStyle name="Note 3 13 3 2" xfId="12386" xr:uid="{00000000-0005-0000-0000-000014250000}"/>
    <cellStyle name="Note 3 13 4" xfId="10756" xr:uid="{00000000-0005-0000-0000-000015250000}"/>
    <cellStyle name="Note 3 14" xfId="7507" xr:uid="{00000000-0005-0000-0000-000016250000}"/>
    <cellStyle name="Note 3 14 2" xfId="6871" xr:uid="{00000000-0005-0000-0000-000017250000}"/>
    <cellStyle name="Note 3 14 2 2" xfId="9673" xr:uid="{00000000-0005-0000-0000-000018250000}"/>
    <cellStyle name="Note 3 14 2 2 2" xfId="9208" xr:uid="{00000000-0005-0000-0000-000019250000}"/>
    <cellStyle name="Note 3 14 2 2 2 2" xfId="12846" xr:uid="{00000000-0005-0000-0000-00001A250000}"/>
    <cellStyle name="Note 3 14 2 2 3" xfId="11181" xr:uid="{00000000-0005-0000-0000-00001B250000}"/>
    <cellStyle name="Note 3 14 2 3" xfId="11646" xr:uid="{00000000-0005-0000-0000-00001C250000}"/>
    <cellStyle name="Note 3 14 3" xfId="8574" xr:uid="{00000000-0005-0000-0000-00001D250000}"/>
    <cellStyle name="Note 3 14 3 2" xfId="12297" xr:uid="{00000000-0005-0000-0000-00001E250000}"/>
    <cellStyle name="Note 3 14 4" xfId="10604" xr:uid="{00000000-0005-0000-0000-00001F250000}"/>
    <cellStyle name="Note 3 15" xfId="7814" xr:uid="{00000000-0005-0000-0000-000020250000}"/>
    <cellStyle name="Note 3 15 2" xfId="7963" xr:uid="{00000000-0005-0000-0000-000021250000}"/>
    <cellStyle name="Note 3 15 2 2" xfId="9917" xr:uid="{00000000-0005-0000-0000-000022250000}"/>
    <cellStyle name="Note 3 15 2 2 2" xfId="10021" xr:uid="{00000000-0005-0000-0000-000023250000}"/>
    <cellStyle name="Note 3 15 2 2 2 2" xfId="13235" xr:uid="{00000000-0005-0000-0000-000024250000}"/>
    <cellStyle name="Note 3 15 2 2 3" xfId="11994" xr:uid="{00000000-0005-0000-0000-000025250000}"/>
    <cellStyle name="Note 3 15 2 3" xfId="11890" xr:uid="{00000000-0005-0000-0000-000026250000}"/>
    <cellStyle name="Note 3 15 3" xfId="8074" xr:uid="{00000000-0005-0000-0000-000027250000}"/>
    <cellStyle name="Note 3 15 3 2" xfId="10104" xr:uid="{00000000-0005-0000-0000-000028250000}"/>
    <cellStyle name="Note 3 15 3 2 2" xfId="13298" xr:uid="{00000000-0005-0000-0000-000029250000}"/>
    <cellStyle name="Note 3 15 3 3" xfId="12077" xr:uid="{00000000-0005-0000-0000-00002A250000}"/>
    <cellStyle name="Note 3 15 4" xfId="8861" xr:uid="{00000000-0005-0000-0000-00002B250000}"/>
    <cellStyle name="Note 3 15 4 2" xfId="12450" xr:uid="{00000000-0005-0000-0000-00002C250000}"/>
    <cellStyle name="Note 3 15 5" xfId="10891" xr:uid="{00000000-0005-0000-0000-00002D250000}"/>
    <cellStyle name="Note 3 16" xfId="8270" xr:uid="{00000000-0005-0000-0000-00002E250000}"/>
    <cellStyle name="Note 3 16 2" xfId="9019" xr:uid="{00000000-0005-0000-0000-00002F250000}"/>
    <cellStyle name="Note 3 16 2 2" xfId="12522" xr:uid="{00000000-0005-0000-0000-000030250000}"/>
    <cellStyle name="Note 3 16 3" xfId="11038" xr:uid="{00000000-0005-0000-0000-000031250000}"/>
    <cellStyle name="Note 3 17" xfId="10300" xr:uid="{00000000-0005-0000-0000-000032250000}"/>
    <cellStyle name="Note 3 2" xfId="1745" xr:uid="{00000000-0005-0000-0000-000033250000}"/>
    <cellStyle name="Note 3 2 2" xfId="7708" xr:uid="{00000000-0005-0000-0000-000034250000}"/>
    <cellStyle name="Note 3 2 2 2" xfId="6868" xr:uid="{00000000-0005-0000-0000-000035250000}"/>
    <cellStyle name="Note 3 2 2 2 2" xfId="9828" xr:uid="{00000000-0005-0000-0000-000036250000}"/>
    <cellStyle name="Note 3 2 2 2 2 2" xfId="9205" xr:uid="{00000000-0005-0000-0000-000037250000}"/>
    <cellStyle name="Note 3 2 2 2 2 2 2" xfId="12844" xr:uid="{00000000-0005-0000-0000-000038250000}"/>
    <cellStyle name="Note 3 2 2 2 2 3" xfId="11178" xr:uid="{00000000-0005-0000-0000-000039250000}"/>
    <cellStyle name="Note 3 2 2 2 3" xfId="11801" xr:uid="{00000000-0005-0000-0000-00003A250000}"/>
    <cellStyle name="Note 3 2 2 3" xfId="8763" xr:uid="{00000000-0005-0000-0000-00003B250000}"/>
    <cellStyle name="Note 3 2 2 3 2" xfId="12742" xr:uid="{00000000-0005-0000-0000-00003C250000}"/>
    <cellStyle name="Note 3 2 2 4" xfId="10793" xr:uid="{00000000-0005-0000-0000-00003D250000}"/>
    <cellStyle name="Note 3 2 3" xfId="7594" xr:uid="{00000000-0005-0000-0000-00003E250000}"/>
    <cellStyle name="Note 3 2 3 2" xfId="7261" xr:uid="{00000000-0005-0000-0000-00003F250000}"/>
    <cellStyle name="Note 3 2 3 2 2" xfId="9738" xr:uid="{00000000-0005-0000-0000-000040250000}"/>
    <cellStyle name="Note 3 2 3 2 2 2" xfId="9492" xr:uid="{00000000-0005-0000-0000-000041250000}"/>
    <cellStyle name="Note 3 2 3 2 2 2 2" xfId="13116" xr:uid="{00000000-0005-0000-0000-000042250000}"/>
    <cellStyle name="Note 3 2 3 2 2 3" xfId="11465" xr:uid="{00000000-0005-0000-0000-000043250000}"/>
    <cellStyle name="Note 3 2 3 2 3" xfId="11711" xr:uid="{00000000-0005-0000-0000-000044250000}"/>
    <cellStyle name="Note 3 2 3 3" xfId="8657" xr:uid="{00000000-0005-0000-0000-000045250000}"/>
    <cellStyle name="Note 3 2 3 3 2" xfId="12345" xr:uid="{00000000-0005-0000-0000-000046250000}"/>
    <cellStyle name="Note 3 2 3 4" xfId="10687" xr:uid="{00000000-0005-0000-0000-000047250000}"/>
    <cellStyle name="Note 3 2 4" xfId="7694" xr:uid="{00000000-0005-0000-0000-000048250000}"/>
    <cellStyle name="Note 3 2 4 2" xfId="7130" xr:uid="{00000000-0005-0000-0000-000049250000}"/>
    <cellStyle name="Note 3 2 4 2 2" xfId="9403" xr:uid="{00000000-0005-0000-0000-00004A250000}"/>
    <cellStyle name="Note 3 2 4 2 2 2" xfId="13033" xr:uid="{00000000-0005-0000-0000-00004B250000}"/>
    <cellStyle name="Note 3 2 4 2 3" xfId="11376" xr:uid="{00000000-0005-0000-0000-00004C250000}"/>
    <cellStyle name="Note 3 2 4 3" xfId="8749" xr:uid="{00000000-0005-0000-0000-00004D250000}"/>
    <cellStyle name="Note 3 2 4 3 2" xfId="12738" xr:uid="{00000000-0005-0000-0000-00004E250000}"/>
    <cellStyle name="Note 3 2 4 4" xfId="10779" xr:uid="{00000000-0005-0000-0000-00004F250000}"/>
    <cellStyle name="Note 3 2 5" xfId="7401" xr:uid="{00000000-0005-0000-0000-000050250000}"/>
    <cellStyle name="Note 3 2 5 2" xfId="6892" xr:uid="{00000000-0005-0000-0000-000051250000}"/>
    <cellStyle name="Note 3 2 5 2 2" xfId="9594" xr:uid="{00000000-0005-0000-0000-000052250000}"/>
    <cellStyle name="Note 3 2 5 2 2 2" xfId="9224" xr:uid="{00000000-0005-0000-0000-000053250000}"/>
    <cellStyle name="Note 3 2 5 2 2 2 2" xfId="12860" xr:uid="{00000000-0005-0000-0000-000054250000}"/>
    <cellStyle name="Note 3 2 5 2 2 3" xfId="11197" xr:uid="{00000000-0005-0000-0000-000055250000}"/>
    <cellStyle name="Note 3 2 5 2 3" xfId="11567" xr:uid="{00000000-0005-0000-0000-000056250000}"/>
    <cellStyle name="Note 3 2 5 3" xfId="8471" xr:uid="{00000000-0005-0000-0000-000057250000}"/>
    <cellStyle name="Note 3 2 5 3 2" xfId="12239" xr:uid="{00000000-0005-0000-0000-000058250000}"/>
    <cellStyle name="Note 3 2 5 4" xfId="10501" xr:uid="{00000000-0005-0000-0000-000059250000}"/>
    <cellStyle name="Note 3 2 6" xfId="7687" xr:uid="{00000000-0005-0000-0000-00005A250000}"/>
    <cellStyle name="Note 3 2 6 2" xfId="6933" xr:uid="{00000000-0005-0000-0000-00005B250000}"/>
    <cellStyle name="Note 3 2 6 2 2" xfId="9810" xr:uid="{00000000-0005-0000-0000-00005C250000}"/>
    <cellStyle name="Note 3 2 6 2 2 2" xfId="9254" xr:uid="{00000000-0005-0000-0000-00005D250000}"/>
    <cellStyle name="Note 3 2 6 2 2 2 2" xfId="12888" xr:uid="{00000000-0005-0000-0000-00005E250000}"/>
    <cellStyle name="Note 3 2 6 2 2 3" xfId="11227" xr:uid="{00000000-0005-0000-0000-00005F250000}"/>
    <cellStyle name="Note 3 2 6 2 3" xfId="11783" xr:uid="{00000000-0005-0000-0000-000060250000}"/>
    <cellStyle name="Note 3 2 6 3" xfId="8742" xr:uid="{00000000-0005-0000-0000-000061250000}"/>
    <cellStyle name="Note 3 2 6 3 2" xfId="12396" xr:uid="{00000000-0005-0000-0000-000062250000}"/>
    <cellStyle name="Note 3 2 6 4" xfId="10772" xr:uid="{00000000-0005-0000-0000-000063250000}"/>
    <cellStyle name="Note 3 2 7" xfId="7866" xr:uid="{00000000-0005-0000-0000-000064250000}"/>
    <cellStyle name="Note 3 2 7 2" xfId="8015" xr:uid="{00000000-0005-0000-0000-000065250000}"/>
    <cellStyle name="Note 3 2 7 2 2" xfId="9957" xr:uid="{00000000-0005-0000-0000-000066250000}"/>
    <cellStyle name="Note 3 2 7 2 2 2" xfId="10047" xr:uid="{00000000-0005-0000-0000-000067250000}"/>
    <cellStyle name="Note 3 2 7 2 2 2 2" xfId="13249" xr:uid="{00000000-0005-0000-0000-000068250000}"/>
    <cellStyle name="Note 3 2 7 2 2 3" xfId="12020" xr:uid="{00000000-0005-0000-0000-000069250000}"/>
    <cellStyle name="Note 3 2 7 2 3" xfId="11930" xr:uid="{00000000-0005-0000-0000-00006A250000}"/>
    <cellStyle name="Note 3 2 7 3" xfId="8114" xr:uid="{00000000-0005-0000-0000-00006B250000}"/>
    <cellStyle name="Note 3 2 7 3 2" xfId="10144" xr:uid="{00000000-0005-0000-0000-00006C250000}"/>
    <cellStyle name="Note 3 2 7 3 2 2" xfId="13337" xr:uid="{00000000-0005-0000-0000-00006D250000}"/>
    <cellStyle name="Note 3 2 7 3 3" xfId="12117" xr:uid="{00000000-0005-0000-0000-00006E250000}"/>
    <cellStyle name="Note 3 2 7 4" xfId="8913" xr:uid="{00000000-0005-0000-0000-00006F250000}"/>
    <cellStyle name="Note 3 2 7 4 2" xfId="12464" xr:uid="{00000000-0005-0000-0000-000070250000}"/>
    <cellStyle name="Note 3 2 7 5" xfId="10943" xr:uid="{00000000-0005-0000-0000-000071250000}"/>
    <cellStyle name="Note 3 2 8" xfId="8321" xr:uid="{00000000-0005-0000-0000-000072250000}"/>
    <cellStyle name="Note 3 2 8 2" xfId="9119" xr:uid="{00000000-0005-0000-0000-000073250000}"/>
    <cellStyle name="Note 3 2 8 2 2" xfId="12537" xr:uid="{00000000-0005-0000-0000-000074250000}"/>
    <cellStyle name="Note 3 2 8 3" xfId="11092" xr:uid="{00000000-0005-0000-0000-000075250000}"/>
    <cellStyle name="Note 3 2 9" xfId="10351" xr:uid="{00000000-0005-0000-0000-000076250000}"/>
    <cellStyle name="Note 3 3" xfId="1623" xr:uid="{00000000-0005-0000-0000-000077250000}"/>
    <cellStyle name="Note 3 3 2" xfId="7432" xr:uid="{00000000-0005-0000-0000-000078250000}"/>
    <cellStyle name="Note 3 3 2 2" xfId="7260" xr:uid="{00000000-0005-0000-0000-000079250000}"/>
    <cellStyle name="Note 3 3 2 2 2" xfId="9615" xr:uid="{00000000-0005-0000-0000-00007A250000}"/>
    <cellStyle name="Note 3 3 2 2 2 2" xfId="9491" xr:uid="{00000000-0005-0000-0000-00007B250000}"/>
    <cellStyle name="Note 3 3 2 2 2 2 2" xfId="13115" xr:uid="{00000000-0005-0000-0000-00007C250000}"/>
    <cellStyle name="Note 3 3 2 2 2 3" xfId="11464" xr:uid="{00000000-0005-0000-0000-00007D250000}"/>
    <cellStyle name="Note 3 3 2 2 3" xfId="11588" xr:uid="{00000000-0005-0000-0000-00007E250000}"/>
    <cellStyle name="Note 3 3 2 3" xfId="8502" xr:uid="{00000000-0005-0000-0000-00007F250000}"/>
    <cellStyle name="Note 3 3 2 3 2" xfId="12648" xr:uid="{00000000-0005-0000-0000-000080250000}"/>
    <cellStyle name="Note 3 3 2 4" xfId="10532" xr:uid="{00000000-0005-0000-0000-000081250000}"/>
    <cellStyle name="Note 3 3 3" xfId="7521" xr:uid="{00000000-0005-0000-0000-000082250000}"/>
    <cellStyle name="Note 3 3 3 2" xfId="6949" xr:uid="{00000000-0005-0000-0000-000083250000}"/>
    <cellStyle name="Note 3 3 3 2 2" xfId="9686" xr:uid="{00000000-0005-0000-0000-000084250000}"/>
    <cellStyle name="Note 3 3 3 2 2 2" xfId="9266" xr:uid="{00000000-0005-0000-0000-000085250000}"/>
    <cellStyle name="Note 3 3 3 2 2 2 2" xfId="12900" xr:uid="{00000000-0005-0000-0000-000086250000}"/>
    <cellStyle name="Note 3 3 3 2 2 3" xfId="11239" xr:uid="{00000000-0005-0000-0000-000087250000}"/>
    <cellStyle name="Note 3 3 3 2 3" xfId="11659" xr:uid="{00000000-0005-0000-0000-000088250000}"/>
    <cellStyle name="Note 3 3 3 3" xfId="8587" xr:uid="{00000000-0005-0000-0000-000089250000}"/>
    <cellStyle name="Note 3 3 3 3 2" xfId="12305" xr:uid="{00000000-0005-0000-0000-00008A250000}"/>
    <cellStyle name="Note 3 3 3 4" xfId="10617" xr:uid="{00000000-0005-0000-0000-00008B250000}"/>
    <cellStyle name="Note 3 3 4" xfId="7304" xr:uid="{00000000-0005-0000-0000-00008C250000}"/>
    <cellStyle name="Note 3 3 4 2" xfId="7112" xr:uid="{00000000-0005-0000-0000-00008D250000}"/>
    <cellStyle name="Note 3 3 4 2 2" xfId="9390" xr:uid="{00000000-0005-0000-0000-00008E250000}"/>
    <cellStyle name="Note 3 3 4 2 2 2" xfId="13020" xr:uid="{00000000-0005-0000-0000-00008F250000}"/>
    <cellStyle name="Note 3 3 4 2 3" xfId="11363" xr:uid="{00000000-0005-0000-0000-000090250000}"/>
    <cellStyle name="Note 3 3 4 3" xfId="8377" xr:uid="{00000000-0005-0000-0000-000091250000}"/>
    <cellStyle name="Note 3 3 4 3 2" xfId="12586" xr:uid="{00000000-0005-0000-0000-000092250000}"/>
    <cellStyle name="Note 3 3 4 4" xfId="10407" xr:uid="{00000000-0005-0000-0000-000093250000}"/>
    <cellStyle name="Note 3 3 5" xfId="7403" xr:uid="{00000000-0005-0000-0000-000094250000}"/>
    <cellStyle name="Note 3 3 5 2" xfId="7064" xr:uid="{00000000-0005-0000-0000-000095250000}"/>
    <cellStyle name="Note 3 3 5 2 2" xfId="9595" xr:uid="{00000000-0005-0000-0000-000096250000}"/>
    <cellStyle name="Note 3 3 5 2 2 2" xfId="9354" xr:uid="{00000000-0005-0000-0000-000097250000}"/>
    <cellStyle name="Note 3 3 5 2 2 2 2" xfId="12985" xr:uid="{00000000-0005-0000-0000-000098250000}"/>
    <cellStyle name="Note 3 3 5 2 2 3" xfId="11327" xr:uid="{00000000-0005-0000-0000-000099250000}"/>
    <cellStyle name="Note 3 3 5 2 3" xfId="11568" xr:uid="{00000000-0005-0000-0000-00009A250000}"/>
    <cellStyle name="Note 3 3 5 3" xfId="8473" xr:uid="{00000000-0005-0000-0000-00009B250000}"/>
    <cellStyle name="Note 3 3 5 3 2" xfId="12240" xr:uid="{00000000-0005-0000-0000-00009C250000}"/>
    <cellStyle name="Note 3 3 5 4" xfId="10503" xr:uid="{00000000-0005-0000-0000-00009D250000}"/>
    <cellStyle name="Note 3 3 6" xfId="7596" xr:uid="{00000000-0005-0000-0000-00009E250000}"/>
    <cellStyle name="Note 3 3 6 2" xfId="7125" xr:uid="{00000000-0005-0000-0000-00009F250000}"/>
    <cellStyle name="Note 3 3 6 2 2" xfId="9740" xr:uid="{00000000-0005-0000-0000-0000A0250000}"/>
    <cellStyle name="Note 3 3 6 2 2 2" xfId="9400" xr:uid="{00000000-0005-0000-0000-0000A1250000}"/>
    <cellStyle name="Note 3 3 6 2 2 2 2" xfId="13030" xr:uid="{00000000-0005-0000-0000-0000A2250000}"/>
    <cellStyle name="Note 3 3 6 2 2 3" xfId="11373" xr:uid="{00000000-0005-0000-0000-0000A3250000}"/>
    <cellStyle name="Note 3 3 6 2 3" xfId="11713" xr:uid="{00000000-0005-0000-0000-0000A4250000}"/>
    <cellStyle name="Note 3 3 6 3" xfId="8659" xr:uid="{00000000-0005-0000-0000-0000A5250000}"/>
    <cellStyle name="Note 3 3 6 3 2" xfId="12347" xr:uid="{00000000-0005-0000-0000-0000A6250000}"/>
    <cellStyle name="Note 3 3 6 4" xfId="10689" xr:uid="{00000000-0005-0000-0000-0000A7250000}"/>
    <cellStyle name="Note 3 3 7" xfId="7859" xr:uid="{00000000-0005-0000-0000-0000A8250000}"/>
    <cellStyle name="Note 3 3 7 2" xfId="8008" xr:uid="{00000000-0005-0000-0000-0000A9250000}"/>
    <cellStyle name="Note 3 3 7 2 2" xfId="9950" xr:uid="{00000000-0005-0000-0000-0000AA250000}"/>
    <cellStyle name="Note 3 3 7 2 2 2" xfId="10040" xr:uid="{00000000-0005-0000-0000-0000AB250000}"/>
    <cellStyle name="Note 3 3 7 2 2 2 2" xfId="13242" xr:uid="{00000000-0005-0000-0000-0000AC250000}"/>
    <cellStyle name="Note 3 3 7 2 2 3" xfId="12013" xr:uid="{00000000-0005-0000-0000-0000AD250000}"/>
    <cellStyle name="Note 3 3 7 2 3" xfId="11923" xr:uid="{00000000-0005-0000-0000-0000AE250000}"/>
    <cellStyle name="Note 3 3 7 3" xfId="8107" xr:uid="{00000000-0005-0000-0000-0000AF250000}"/>
    <cellStyle name="Note 3 3 7 3 2" xfId="10137" xr:uid="{00000000-0005-0000-0000-0000B0250000}"/>
    <cellStyle name="Note 3 3 7 3 2 2" xfId="13330" xr:uid="{00000000-0005-0000-0000-0000B1250000}"/>
    <cellStyle name="Note 3 3 7 3 3" xfId="12110" xr:uid="{00000000-0005-0000-0000-0000B2250000}"/>
    <cellStyle name="Note 3 3 7 4" xfId="8906" xr:uid="{00000000-0005-0000-0000-0000B3250000}"/>
    <cellStyle name="Note 3 3 7 4 2" xfId="12457" xr:uid="{00000000-0005-0000-0000-0000B4250000}"/>
    <cellStyle name="Note 3 3 7 5" xfId="10936" xr:uid="{00000000-0005-0000-0000-0000B5250000}"/>
    <cellStyle name="Note 3 3 8" xfId="8314" xr:uid="{00000000-0005-0000-0000-0000B6250000}"/>
    <cellStyle name="Note 3 3 8 2" xfId="8972" xr:uid="{00000000-0005-0000-0000-0000B7250000}"/>
    <cellStyle name="Note 3 3 8 2 2" xfId="12530" xr:uid="{00000000-0005-0000-0000-0000B8250000}"/>
    <cellStyle name="Note 3 3 8 3" xfId="11002" xr:uid="{00000000-0005-0000-0000-0000B9250000}"/>
    <cellStyle name="Note 3 3 9" xfId="10344" xr:uid="{00000000-0005-0000-0000-0000BA250000}"/>
    <cellStyle name="Note 3 4" xfId="2078" xr:uid="{00000000-0005-0000-0000-0000BB250000}"/>
    <cellStyle name="Note 3 4 2" xfId="7503" xr:uid="{00000000-0005-0000-0000-0000BC250000}"/>
    <cellStyle name="Note 3 4 2 2" xfId="6924" xr:uid="{00000000-0005-0000-0000-0000BD250000}"/>
    <cellStyle name="Note 3 4 2 2 2" xfId="9671" xr:uid="{00000000-0005-0000-0000-0000BE250000}"/>
    <cellStyle name="Note 3 4 2 2 2 2" xfId="9246" xr:uid="{00000000-0005-0000-0000-0000BF250000}"/>
    <cellStyle name="Note 3 4 2 2 2 2 2" xfId="12880" xr:uid="{00000000-0005-0000-0000-0000C0250000}"/>
    <cellStyle name="Note 3 4 2 2 2 3" xfId="11219" xr:uid="{00000000-0005-0000-0000-0000C1250000}"/>
    <cellStyle name="Note 3 4 2 2 3" xfId="11644" xr:uid="{00000000-0005-0000-0000-0000C2250000}"/>
    <cellStyle name="Note 3 4 2 3" xfId="8570" xr:uid="{00000000-0005-0000-0000-0000C3250000}"/>
    <cellStyle name="Note 3 4 2 3 2" xfId="12669" xr:uid="{00000000-0005-0000-0000-0000C4250000}"/>
    <cellStyle name="Note 3 4 2 4" xfId="10600" xr:uid="{00000000-0005-0000-0000-0000C5250000}"/>
    <cellStyle name="Note 3 4 3" xfId="7315" xr:uid="{00000000-0005-0000-0000-0000C6250000}"/>
    <cellStyle name="Note 3 4 3 2" xfId="7006" xr:uid="{00000000-0005-0000-0000-0000C7250000}"/>
    <cellStyle name="Note 3 4 3 2 2" xfId="9530" xr:uid="{00000000-0005-0000-0000-0000C8250000}"/>
    <cellStyle name="Note 3 4 3 2 2 2" xfId="9307" xr:uid="{00000000-0005-0000-0000-0000C9250000}"/>
    <cellStyle name="Note 3 4 3 2 2 2 2" xfId="12940" xr:uid="{00000000-0005-0000-0000-0000CA250000}"/>
    <cellStyle name="Note 3 4 3 2 2 3" xfId="11280" xr:uid="{00000000-0005-0000-0000-0000CB250000}"/>
    <cellStyle name="Note 3 4 3 2 3" xfId="11503" xr:uid="{00000000-0005-0000-0000-0000CC250000}"/>
    <cellStyle name="Note 3 4 3 3" xfId="8388" xr:uid="{00000000-0005-0000-0000-0000CD250000}"/>
    <cellStyle name="Note 3 4 3 3 2" xfId="12197" xr:uid="{00000000-0005-0000-0000-0000CE250000}"/>
    <cellStyle name="Note 3 4 3 4" xfId="10418" xr:uid="{00000000-0005-0000-0000-0000CF250000}"/>
    <cellStyle name="Note 3 4 4" xfId="7639" xr:uid="{00000000-0005-0000-0000-0000D0250000}"/>
    <cellStyle name="Note 3 4 4 2" xfId="7004" xr:uid="{00000000-0005-0000-0000-0000D1250000}"/>
    <cellStyle name="Note 3 4 4 2 2" xfId="9305" xr:uid="{00000000-0005-0000-0000-0000D2250000}"/>
    <cellStyle name="Note 3 4 4 2 2 2" xfId="12938" xr:uid="{00000000-0005-0000-0000-0000D3250000}"/>
    <cellStyle name="Note 3 4 4 2 3" xfId="11278" xr:uid="{00000000-0005-0000-0000-0000D4250000}"/>
    <cellStyle name="Note 3 4 4 3" xfId="8698" xr:uid="{00000000-0005-0000-0000-0000D5250000}"/>
    <cellStyle name="Note 3 4 4 3 2" xfId="12717" xr:uid="{00000000-0005-0000-0000-0000D6250000}"/>
    <cellStyle name="Note 3 4 4 4" xfId="10728" xr:uid="{00000000-0005-0000-0000-0000D7250000}"/>
    <cellStyle name="Note 3 4 5" xfId="7453" xr:uid="{00000000-0005-0000-0000-0000D8250000}"/>
    <cellStyle name="Note 3 4 5 2" xfId="7264" xr:uid="{00000000-0005-0000-0000-0000D9250000}"/>
    <cellStyle name="Note 3 4 5 2 2" xfId="9631" xr:uid="{00000000-0005-0000-0000-0000DA250000}"/>
    <cellStyle name="Note 3 4 5 2 2 2" xfId="9493" xr:uid="{00000000-0005-0000-0000-0000DB250000}"/>
    <cellStyle name="Note 3 4 5 2 2 2 2" xfId="13117" xr:uid="{00000000-0005-0000-0000-0000DC250000}"/>
    <cellStyle name="Note 3 4 5 2 2 3" xfId="11466" xr:uid="{00000000-0005-0000-0000-0000DD250000}"/>
    <cellStyle name="Note 3 4 5 2 3" xfId="11604" xr:uid="{00000000-0005-0000-0000-0000DE250000}"/>
    <cellStyle name="Note 3 4 5 3" xfId="8522" xr:uid="{00000000-0005-0000-0000-0000DF250000}"/>
    <cellStyle name="Note 3 4 5 3 2" xfId="12265" xr:uid="{00000000-0005-0000-0000-0000E0250000}"/>
    <cellStyle name="Note 3 4 5 4" xfId="10552" xr:uid="{00000000-0005-0000-0000-0000E1250000}"/>
    <cellStyle name="Note 3 4 6" xfId="7693" xr:uid="{00000000-0005-0000-0000-0000E2250000}"/>
    <cellStyle name="Note 3 4 6 2" xfId="6833" xr:uid="{00000000-0005-0000-0000-0000E3250000}"/>
    <cellStyle name="Note 3 4 6 2 2" xfId="9815" xr:uid="{00000000-0005-0000-0000-0000E4250000}"/>
    <cellStyle name="Note 3 4 6 2 2 2" xfId="9176" xr:uid="{00000000-0005-0000-0000-0000E5250000}"/>
    <cellStyle name="Note 3 4 6 2 2 2 2" xfId="12816" xr:uid="{00000000-0005-0000-0000-0000E6250000}"/>
    <cellStyle name="Note 3 4 6 2 2 3" xfId="11149" xr:uid="{00000000-0005-0000-0000-0000E7250000}"/>
    <cellStyle name="Note 3 4 6 2 3" xfId="11788" xr:uid="{00000000-0005-0000-0000-0000E8250000}"/>
    <cellStyle name="Note 3 4 6 3" xfId="8748" xr:uid="{00000000-0005-0000-0000-0000E9250000}"/>
    <cellStyle name="Note 3 4 6 3 2" xfId="12401" xr:uid="{00000000-0005-0000-0000-0000EA250000}"/>
    <cellStyle name="Note 3 4 6 4" xfId="10778" xr:uid="{00000000-0005-0000-0000-0000EB250000}"/>
    <cellStyle name="Note 3 4 7" xfId="7878" xr:uid="{00000000-0005-0000-0000-0000EC250000}"/>
    <cellStyle name="Note 3 4 7 2" xfId="8027" xr:uid="{00000000-0005-0000-0000-0000ED250000}"/>
    <cellStyle name="Note 3 4 7 2 2" xfId="9969" xr:uid="{00000000-0005-0000-0000-0000EE250000}"/>
    <cellStyle name="Note 3 4 7 2 2 2" xfId="10059" xr:uid="{00000000-0005-0000-0000-0000EF250000}"/>
    <cellStyle name="Note 3 4 7 2 2 2 2" xfId="13261" xr:uid="{00000000-0005-0000-0000-0000F0250000}"/>
    <cellStyle name="Note 3 4 7 2 2 3" xfId="12032" xr:uid="{00000000-0005-0000-0000-0000F1250000}"/>
    <cellStyle name="Note 3 4 7 2 3" xfId="11942" xr:uid="{00000000-0005-0000-0000-0000F2250000}"/>
    <cellStyle name="Note 3 4 7 3" xfId="8126" xr:uid="{00000000-0005-0000-0000-0000F3250000}"/>
    <cellStyle name="Note 3 4 7 3 2" xfId="10156" xr:uid="{00000000-0005-0000-0000-0000F4250000}"/>
    <cellStyle name="Note 3 4 7 3 2 2" xfId="13349" xr:uid="{00000000-0005-0000-0000-0000F5250000}"/>
    <cellStyle name="Note 3 4 7 3 3" xfId="12129" xr:uid="{00000000-0005-0000-0000-0000F6250000}"/>
    <cellStyle name="Note 3 4 7 4" xfId="8925" xr:uid="{00000000-0005-0000-0000-0000F7250000}"/>
    <cellStyle name="Note 3 4 7 4 2" xfId="12476" xr:uid="{00000000-0005-0000-0000-0000F8250000}"/>
    <cellStyle name="Note 3 4 7 5" xfId="10955" xr:uid="{00000000-0005-0000-0000-0000F9250000}"/>
    <cellStyle name="Note 3 4 8" xfId="8333" xr:uid="{00000000-0005-0000-0000-0000FA250000}"/>
    <cellStyle name="Note 3 4 8 2" xfId="9131" xr:uid="{00000000-0005-0000-0000-0000FB250000}"/>
    <cellStyle name="Note 3 4 8 2 2" xfId="12549" xr:uid="{00000000-0005-0000-0000-0000FC250000}"/>
    <cellStyle name="Note 3 4 8 3" xfId="11104" xr:uid="{00000000-0005-0000-0000-0000FD250000}"/>
    <cellStyle name="Note 3 4 9" xfId="10363" xr:uid="{00000000-0005-0000-0000-0000FE250000}"/>
    <cellStyle name="Note 3 5" xfId="1901" xr:uid="{00000000-0005-0000-0000-0000FF250000}"/>
    <cellStyle name="Note 3 5 2" xfId="7615" xr:uid="{00000000-0005-0000-0000-000000260000}"/>
    <cellStyle name="Note 3 5 2 2" xfId="6894" xr:uid="{00000000-0005-0000-0000-000001260000}"/>
    <cellStyle name="Note 3 5 2 2 2" xfId="9755" xr:uid="{00000000-0005-0000-0000-000002260000}"/>
    <cellStyle name="Note 3 5 2 2 2 2" xfId="9226" xr:uid="{00000000-0005-0000-0000-000003260000}"/>
    <cellStyle name="Note 3 5 2 2 2 2 2" xfId="12862" xr:uid="{00000000-0005-0000-0000-000004260000}"/>
    <cellStyle name="Note 3 5 2 2 2 3" xfId="11199" xr:uid="{00000000-0005-0000-0000-000005260000}"/>
    <cellStyle name="Note 3 5 2 2 3" xfId="11728" xr:uid="{00000000-0005-0000-0000-000006260000}"/>
    <cellStyle name="Note 3 5 2 3" xfId="8677" xr:uid="{00000000-0005-0000-0000-000007260000}"/>
    <cellStyle name="Note 3 5 2 3 2" xfId="12708" xr:uid="{00000000-0005-0000-0000-000008260000}"/>
    <cellStyle name="Note 3 5 2 4" xfId="10707" xr:uid="{00000000-0005-0000-0000-000009260000}"/>
    <cellStyle name="Note 3 5 3" xfId="7366" xr:uid="{00000000-0005-0000-0000-00000A260000}"/>
    <cellStyle name="Note 3 5 3 2" xfId="7104" xr:uid="{00000000-0005-0000-0000-00000B260000}"/>
    <cellStyle name="Note 3 5 3 2 2" xfId="9567" xr:uid="{00000000-0005-0000-0000-00000C260000}"/>
    <cellStyle name="Note 3 5 3 2 2 2" xfId="9384" xr:uid="{00000000-0005-0000-0000-00000D260000}"/>
    <cellStyle name="Note 3 5 3 2 2 2 2" xfId="13014" xr:uid="{00000000-0005-0000-0000-00000E260000}"/>
    <cellStyle name="Note 3 5 3 2 2 3" xfId="11357" xr:uid="{00000000-0005-0000-0000-00000F260000}"/>
    <cellStyle name="Note 3 5 3 2 3" xfId="11540" xr:uid="{00000000-0005-0000-0000-000010260000}"/>
    <cellStyle name="Note 3 5 3 3" xfId="8437" xr:uid="{00000000-0005-0000-0000-000011260000}"/>
    <cellStyle name="Note 3 5 3 3 2" xfId="12222" xr:uid="{00000000-0005-0000-0000-000012260000}"/>
    <cellStyle name="Note 3 5 3 4" xfId="10467" xr:uid="{00000000-0005-0000-0000-000013260000}"/>
    <cellStyle name="Note 3 5 4" xfId="7545" xr:uid="{00000000-0005-0000-0000-000014260000}"/>
    <cellStyle name="Note 3 5 4 2" xfId="6997" xr:uid="{00000000-0005-0000-0000-000015260000}"/>
    <cellStyle name="Note 3 5 4 2 2" xfId="9302" xr:uid="{00000000-0005-0000-0000-000016260000}"/>
    <cellStyle name="Note 3 5 4 2 2 2" xfId="12935" xr:uid="{00000000-0005-0000-0000-000017260000}"/>
    <cellStyle name="Note 3 5 4 2 3" xfId="11275" xr:uid="{00000000-0005-0000-0000-000018260000}"/>
    <cellStyle name="Note 3 5 4 3" xfId="8611" xr:uid="{00000000-0005-0000-0000-000019260000}"/>
    <cellStyle name="Note 3 5 4 3 2" xfId="12681" xr:uid="{00000000-0005-0000-0000-00001A260000}"/>
    <cellStyle name="Note 3 5 4 4" xfId="10641" xr:uid="{00000000-0005-0000-0000-00001B260000}"/>
    <cellStyle name="Note 3 5 5" xfId="7441" xr:uid="{00000000-0005-0000-0000-00001C260000}"/>
    <cellStyle name="Note 3 5 5 2" xfId="7285" xr:uid="{00000000-0005-0000-0000-00001D260000}"/>
    <cellStyle name="Note 3 5 5 2 2" xfId="9622" xr:uid="{00000000-0005-0000-0000-00001E260000}"/>
    <cellStyle name="Note 3 5 5 2 2 2" xfId="9508" xr:uid="{00000000-0005-0000-0000-00001F260000}"/>
    <cellStyle name="Note 3 5 5 2 2 2 2" xfId="13131" xr:uid="{00000000-0005-0000-0000-000020260000}"/>
    <cellStyle name="Note 3 5 5 2 2 3" xfId="11481" xr:uid="{00000000-0005-0000-0000-000021260000}"/>
    <cellStyle name="Note 3 5 5 2 3" xfId="11595" xr:uid="{00000000-0005-0000-0000-000022260000}"/>
    <cellStyle name="Note 3 5 5 3" xfId="8511" xr:uid="{00000000-0005-0000-0000-000023260000}"/>
    <cellStyle name="Note 3 5 5 3 2" xfId="12256" xr:uid="{00000000-0005-0000-0000-000024260000}"/>
    <cellStyle name="Note 3 5 5 4" xfId="10541" xr:uid="{00000000-0005-0000-0000-000025260000}"/>
    <cellStyle name="Note 3 5 6" xfId="7461" xr:uid="{00000000-0005-0000-0000-000026260000}"/>
    <cellStyle name="Note 3 5 6 2" xfId="7053" xr:uid="{00000000-0005-0000-0000-000027260000}"/>
    <cellStyle name="Note 3 5 6 2 2" xfId="9635" xr:uid="{00000000-0005-0000-0000-000028260000}"/>
    <cellStyle name="Note 3 5 6 2 2 2" xfId="9345" xr:uid="{00000000-0005-0000-0000-000029260000}"/>
    <cellStyle name="Note 3 5 6 2 2 2 2" xfId="12976" xr:uid="{00000000-0005-0000-0000-00002A260000}"/>
    <cellStyle name="Note 3 5 6 2 2 3" xfId="11318" xr:uid="{00000000-0005-0000-0000-00002B260000}"/>
    <cellStyle name="Note 3 5 6 2 3" xfId="11608" xr:uid="{00000000-0005-0000-0000-00002C260000}"/>
    <cellStyle name="Note 3 5 6 3" xfId="8528" xr:uid="{00000000-0005-0000-0000-00002D260000}"/>
    <cellStyle name="Note 3 5 6 3 2" xfId="12268" xr:uid="{00000000-0005-0000-0000-00002E260000}"/>
    <cellStyle name="Note 3 5 6 4" xfId="10558" xr:uid="{00000000-0005-0000-0000-00002F260000}"/>
    <cellStyle name="Note 3 5 7" xfId="7873" xr:uid="{00000000-0005-0000-0000-000030260000}"/>
    <cellStyle name="Note 3 5 7 2" xfId="8022" xr:uid="{00000000-0005-0000-0000-000031260000}"/>
    <cellStyle name="Note 3 5 7 2 2" xfId="9964" xr:uid="{00000000-0005-0000-0000-000032260000}"/>
    <cellStyle name="Note 3 5 7 2 2 2" xfId="10054" xr:uid="{00000000-0005-0000-0000-000033260000}"/>
    <cellStyle name="Note 3 5 7 2 2 2 2" xfId="13256" xr:uid="{00000000-0005-0000-0000-000034260000}"/>
    <cellStyle name="Note 3 5 7 2 2 3" xfId="12027" xr:uid="{00000000-0005-0000-0000-000035260000}"/>
    <cellStyle name="Note 3 5 7 2 3" xfId="11937" xr:uid="{00000000-0005-0000-0000-000036260000}"/>
    <cellStyle name="Note 3 5 7 3" xfId="8121" xr:uid="{00000000-0005-0000-0000-000037260000}"/>
    <cellStyle name="Note 3 5 7 3 2" xfId="10151" xr:uid="{00000000-0005-0000-0000-000038260000}"/>
    <cellStyle name="Note 3 5 7 3 2 2" xfId="13344" xr:uid="{00000000-0005-0000-0000-000039260000}"/>
    <cellStyle name="Note 3 5 7 3 3" xfId="12124" xr:uid="{00000000-0005-0000-0000-00003A260000}"/>
    <cellStyle name="Note 3 5 7 4" xfId="8920" xr:uid="{00000000-0005-0000-0000-00003B260000}"/>
    <cellStyle name="Note 3 5 7 4 2" xfId="12471" xr:uid="{00000000-0005-0000-0000-00003C260000}"/>
    <cellStyle name="Note 3 5 7 5" xfId="10950" xr:uid="{00000000-0005-0000-0000-00003D260000}"/>
    <cellStyle name="Note 3 5 8" xfId="8328" xr:uid="{00000000-0005-0000-0000-00003E260000}"/>
    <cellStyle name="Note 3 5 8 2" xfId="9126" xr:uid="{00000000-0005-0000-0000-00003F260000}"/>
    <cellStyle name="Note 3 5 8 2 2" xfId="12544" xr:uid="{00000000-0005-0000-0000-000040260000}"/>
    <cellStyle name="Note 3 5 8 3" xfId="11099" xr:uid="{00000000-0005-0000-0000-000041260000}"/>
    <cellStyle name="Note 3 5 9" xfId="10358" xr:uid="{00000000-0005-0000-0000-000042260000}"/>
    <cellStyle name="Note 3 6" xfId="2767" xr:uid="{00000000-0005-0000-0000-000043260000}"/>
    <cellStyle name="Note 3 6 2" xfId="7342" xr:uid="{00000000-0005-0000-0000-000044260000}"/>
    <cellStyle name="Note 3 6 2 2" xfId="7032" xr:uid="{00000000-0005-0000-0000-000045260000}"/>
    <cellStyle name="Note 3 6 2 2 2" xfId="9548" xr:uid="{00000000-0005-0000-0000-000046260000}"/>
    <cellStyle name="Note 3 6 2 2 2 2" xfId="9328" xr:uid="{00000000-0005-0000-0000-000047260000}"/>
    <cellStyle name="Note 3 6 2 2 2 2 2" xfId="12959" xr:uid="{00000000-0005-0000-0000-000048260000}"/>
    <cellStyle name="Note 3 6 2 2 2 3" xfId="11301" xr:uid="{00000000-0005-0000-0000-000049260000}"/>
    <cellStyle name="Note 3 6 2 2 3" xfId="11521" xr:uid="{00000000-0005-0000-0000-00004A260000}"/>
    <cellStyle name="Note 3 6 2 3" xfId="8414" xr:uid="{00000000-0005-0000-0000-00004B260000}"/>
    <cellStyle name="Note 3 6 2 3 2" xfId="12606" xr:uid="{00000000-0005-0000-0000-00004C260000}"/>
    <cellStyle name="Note 3 6 2 4" xfId="10444" xr:uid="{00000000-0005-0000-0000-00004D260000}"/>
    <cellStyle name="Note 3 6 3" xfId="7544" xr:uid="{00000000-0005-0000-0000-00004E260000}"/>
    <cellStyle name="Note 3 6 3 2" xfId="6925" xr:uid="{00000000-0005-0000-0000-00004F260000}"/>
    <cellStyle name="Note 3 6 3 2 2" xfId="9705" xr:uid="{00000000-0005-0000-0000-000050260000}"/>
    <cellStyle name="Note 3 6 3 2 2 2" xfId="9247" xr:uid="{00000000-0005-0000-0000-000051260000}"/>
    <cellStyle name="Note 3 6 3 2 2 2 2" xfId="12881" xr:uid="{00000000-0005-0000-0000-000052260000}"/>
    <cellStyle name="Note 3 6 3 2 2 3" xfId="11220" xr:uid="{00000000-0005-0000-0000-000053260000}"/>
    <cellStyle name="Note 3 6 3 2 3" xfId="11678" xr:uid="{00000000-0005-0000-0000-000054260000}"/>
    <cellStyle name="Note 3 6 3 3" xfId="8610" xr:uid="{00000000-0005-0000-0000-000055260000}"/>
    <cellStyle name="Note 3 6 3 3 2" xfId="12321" xr:uid="{00000000-0005-0000-0000-000056260000}"/>
    <cellStyle name="Note 3 6 3 4" xfId="10640" xr:uid="{00000000-0005-0000-0000-000057260000}"/>
    <cellStyle name="Note 3 6 4" xfId="7577" xr:uid="{00000000-0005-0000-0000-000058260000}"/>
    <cellStyle name="Note 3 6 4 2" xfId="6841" xr:uid="{00000000-0005-0000-0000-000059260000}"/>
    <cellStyle name="Note 3 6 4 2 2" xfId="9181" xr:uid="{00000000-0005-0000-0000-00005A260000}"/>
    <cellStyle name="Note 3 6 4 2 2 2" xfId="12821" xr:uid="{00000000-0005-0000-0000-00005B260000}"/>
    <cellStyle name="Note 3 6 4 2 3" xfId="11154" xr:uid="{00000000-0005-0000-0000-00005C260000}"/>
    <cellStyle name="Note 3 6 4 3" xfId="8641" xr:uid="{00000000-0005-0000-0000-00005D260000}"/>
    <cellStyle name="Note 3 6 4 3 2" xfId="12692" xr:uid="{00000000-0005-0000-0000-00005E260000}"/>
    <cellStyle name="Note 3 6 4 4" xfId="10671" xr:uid="{00000000-0005-0000-0000-00005F260000}"/>
    <cellStyle name="Note 3 6 5" xfId="7658" xr:uid="{00000000-0005-0000-0000-000060260000}"/>
    <cellStyle name="Note 3 6 5 2" xfId="7027" xr:uid="{00000000-0005-0000-0000-000061260000}"/>
    <cellStyle name="Note 3 6 5 2 2" xfId="9786" xr:uid="{00000000-0005-0000-0000-000062260000}"/>
    <cellStyle name="Note 3 6 5 2 2 2" xfId="9323" xr:uid="{00000000-0005-0000-0000-000063260000}"/>
    <cellStyle name="Note 3 6 5 2 2 2 2" xfId="12954" xr:uid="{00000000-0005-0000-0000-000064260000}"/>
    <cellStyle name="Note 3 6 5 2 2 3" xfId="11296" xr:uid="{00000000-0005-0000-0000-000065260000}"/>
    <cellStyle name="Note 3 6 5 2 3" xfId="11759" xr:uid="{00000000-0005-0000-0000-000066260000}"/>
    <cellStyle name="Note 3 6 5 3" xfId="8715" xr:uid="{00000000-0005-0000-0000-000067260000}"/>
    <cellStyle name="Note 3 6 5 3 2" xfId="12380" xr:uid="{00000000-0005-0000-0000-000068260000}"/>
    <cellStyle name="Note 3 6 5 4" xfId="10745" xr:uid="{00000000-0005-0000-0000-000069260000}"/>
    <cellStyle name="Note 3 6 6" xfId="7679" xr:uid="{00000000-0005-0000-0000-00006A260000}"/>
    <cellStyle name="Note 3 6 6 2" xfId="7178" xr:uid="{00000000-0005-0000-0000-00006B260000}"/>
    <cellStyle name="Note 3 6 6 2 2" xfId="9804" xr:uid="{00000000-0005-0000-0000-00006C260000}"/>
    <cellStyle name="Note 3 6 6 2 2 2" xfId="9433" xr:uid="{00000000-0005-0000-0000-00006D260000}"/>
    <cellStyle name="Note 3 6 6 2 2 2 2" xfId="13063" xr:uid="{00000000-0005-0000-0000-00006E260000}"/>
    <cellStyle name="Note 3 6 6 2 2 3" xfId="11406" xr:uid="{00000000-0005-0000-0000-00006F260000}"/>
    <cellStyle name="Note 3 6 6 2 3" xfId="11777" xr:uid="{00000000-0005-0000-0000-000070260000}"/>
    <cellStyle name="Note 3 6 6 3" xfId="8734" xr:uid="{00000000-0005-0000-0000-000071260000}"/>
    <cellStyle name="Note 3 6 6 3 2" xfId="12391" xr:uid="{00000000-0005-0000-0000-000072260000}"/>
    <cellStyle name="Note 3 6 6 4" xfId="10764" xr:uid="{00000000-0005-0000-0000-000073260000}"/>
    <cellStyle name="Note 3 6 7" xfId="7889" xr:uid="{00000000-0005-0000-0000-000074260000}"/>
    <cellStyle name="Note 3 6 7 2" xfId="8037" xr:uid="{00000000-0005-0000-0000-000075260000}"/>
    <cellStyle name="Note 3 6 7 2 2" xfId="9978" xr:uid="{00000000-0005-0000-0000-000076260000}"/>
    <cellStyle name="Note 3 6 7 2 2 2" xfId="10069" xr:uid="{00000000-0005-0000-0000-000077260000}"/>
    <cellStyle name="Note 3 6 7 2 2 2 2" xfId="13270" xr:uid="{00000000-0005-0000-0000-000078260000}"/>
    <cellStyle name="Note 3 6 7 2 2 3" xfId="12042" xr:uid="{00000000-0005-0000-0000-000079260000}"/>
    <cellStyle name="Note 3 6 7 2 3" xfId="11951" xr:uid="{00000000-0005-0000-0000-00007A260000}"/>
    <cellStyle name="Note 3 6 7 3" xfId="8135" xr:uid="{00000000-0005-0000-0000-00007B260000}"/>
    <cellStyle name="Note 3 6 7 3 2" xfId="10165" xr:uid="{00000000-0005-0000-0000-00007C260000}"/>
    <cellStyle name="Note 3 6 7 3 2 2" xfId="13358" xr:uid="{00000000-0005-0000-0000-00007D260000}"/>
    <cellStyle name="Note 3 6 7 3 3" xfId="12138" xr:uid="{00000000-0005-0000-0000-00007E260000}"/>
    <cellStyle name="Note 3 6 7 4" xfId="8935" xr:uid="{00000000-0005-0000-0000-00007F260000}"/>
    <cellStyle name="Note 3 6 7 4 2" xfId="12485" xr:uid="{00000000-0005-0000-0000-000080260000}"/>
    <cellStyle name="Note 3 6 7 5" xfId="10965" xr:uid="{00000000-0005-0000-0000-000081260000}"/>
    <cellStyle name="Note 3 6 8" xfId="8342" xr:uid="{00000000-0005-0000-0000-000082260000}"/>
    <cellStyle name="Note 3 6 8 2" xfId="9140" xr:uid="{00000000-0005-0000-0000-000083260000}"/>
    <cellStyle name="Note 3 6 8 2 2" xfId="12558" xr:uid="{00000000-0005-0000-0000-000084260000}"/>
    <cellStyle name="Note 3 6 8 3" xfId="11113" xr:uid="{00000000-0005-0000-0000-000085260000}"/>
    <cellStyle name="Note 3 6 9" xfId="10372" xr:uid="{00000000-0005-0000-0000-000086260000}"/>
    <cellStyle name="Note 3 7" xfId="2801" xr:uid="{00000000-0005-0000-0000-000087260000}"/>
    <cellStyle name="Note 3 7 2" xfId="7674" xr:uid="{00000000-0005-0000-0000-000088260000}"/>
    <cellStyle name="Note 3 7 2 2" xfId="7145" xr:uid="{00000000-0005-0000-0000-000089260000}"/>
    <cellStyle name="Note 3 7 2 2 2" xfId="9800" xr:uid="{00000000-0005-0000-0000-00008A260000}"/>
    <cellStyle name="Note 3 7 2 2 2 2" xfId="9411" xr:uid="{00000000-0005-0000-0000-00008B260000}"/>
    <cellStyle name="Note 3 7 2 2 2 2 2" xfId="13041" xr:uid="{00000000-0005-0000-0000-00008C260000}"/>
    <cellStyle name="Note 3 7 2 2 2 3" xfId="11384" xr:uid="{00000000-0005-0000-0000-00008D260000}"/>
    <cellStyle name="Note 3 7 2 2 3" xfId="11773" xr:uid="{00000000-0005-0000-0000-00008E260000}"/>
    <cellStyle name="Note 3 7 2 3" xfId="8729" xr:uid="{00000000-0005-0000-0000-00008F260000}"/>
    <cellStyle name="Note 3 7 2 3 2" xfId="12730" xr:uid="{00000000-0005-0000-0000-000090260000}"/>
    <cellStyle name="Note 3 7 2 4" xfId="10759" xr:uid="{00000000-0005-0000-0000-000091260000}"/>
    <cellStyle name="Note 3 7 3" xfId="7557" xr:uid="{00000000-0005-0000-0000-000092260000}"/>
    <cellStyle name="Note 3 7 3 2" xfId="7105" xr:uid="{00000000-0005-0000-0000-000093260000}"/>
    <cellStyle name="Note 3 7 3 2 2" xfId="9715" xr:uid="{00000000-0005-0000-0000-000094260000}"/>
    <cellStyle name="Note 3 7 3 2 2 2" xfId="9385" xr:uid="{00000000-0005-0000-0000-000095260000}"/>
    <cellStyle name="Note 3 7 3 2 2 2 2" xfId="13015" xr:uid="{00000000-0005-0000-0000-000096260000}"/>
    <cellStyle name="Note 3 7 3 2 2 3" xfId="11358" xr:uid="{00000000-0005-0000-0000-000097260000}"/>
    <cellStyle name="Note 3 7 3 2 3" xfId="11688" xr:uid="{00000000-0005-0000-0000-000098260000}"/>
    <cellStyle name="Note 3 7 3 3" xfId="8622" xr:uid="{00000000-0005-0000-0000-000099260000}"/>
    <cellStyle name="Note 3 7 3 3 2" xfId="12329" xr:uid="{00000000-0005-0000-0000-00009A260000}"/>
    <cellStyle name="Note 3 7 3 4" xfId="10652" xr:uid="{00000000-0005-0000-0000-00009B260000}"/>
    <cellStyle name="Note 3 7 4" xfId="7384" xr:uid="{00000000-0005-0000-0000-00009C260000}"/>
    <cellStyle name="Note 3 7 4 2" xfId="7016" xr:uid="{00000000-0005-0000-0000-00009D260000}"/>
    <cellStyle name="Note 3 7 4 2 2" xfId="9314" xr:uid="{00000000-0005-0000-0000-00009E260000}"/>
    <cellStyle name="Note 3 7 4 2 2 2" xfId="12947" xr:uid="{00000000-0005-0000-0000-00009F260000}"/>
    <cellStyle name="Note 3 7 4 2 3" xfId="11287" xr:uid="{00000000-0005-0000-0000-0000A0260000}"/>
    <cellStyle name="Note 3 7 4 3" xfId="8454" xr:uid="{00000000-0005-0000-0000-0000A1260000}"/>
    <cellStyle name="Note 3 7 4 3 2" xfId="12625" xr:uid="{00000000-0005-0000-0000-0000A2260000}"/>
    <cellStyle name="Note 3 7 4 4" xfId="10484" xr:uid="{00000000-0005-0000-0000-0000A3260000}"/>
    <cellStyle name="Note 3 7 5" xfId="7719" xr:uid="{00000000-0005-0000-0000-0000A4260000}"/>
    <cellStyle name="Note 3 7 5 2" xfId="7291" xr:uid="{00000000-0005-0000-0000-0000A5260000}"/>
    <cellStyle name="Note 3 7 5 2 2" xfId="9837" xr:uid="{00000000-0005-0000-0000-0000A6260000}"/>
    <cellStyle name="Note 3 7 5 2 2 2" xfId="9513" xr:uid="{00000000-0005-0000-0000-0000A7260000}"/>
    <cellStyle name="Note 3 7 5 2 2 2 2" xfId="13136" xr:uid="{00000000-0005-0000-0000-0000A8260000}"/>
    <cellStyle name="Note 3 7 5 2 2 3" xfId="11486" xr:uid="{00000000-0005-0000-0000-0000A9260000}"/>
    <cellStyle name="Note 3 7 5 2 3" xfId="11810" xr:uid="{00000000-0005-0000-0000-0000AA260000}"/>
    <cellStyle name="Note 3 7 5 3" xfId="8774" xr:uid="{00000000-0005-0000-0000-0000AB260000}"/>
    <cellStyle name="Note 3 7 5 3 2" xfId="12419" xr:uid="{00000000-0005-0000-0000-0000AC260000}"/>
    <cellStyle name="Note 3 7 5 4" xfId="10804" xr:uid="{00000000-0005-0000-0000-0000AD260000}"/>
    <cellStyle name="Note 3 7 6" xfId="7538" xr:uid="{00000000-0005-0000-0000-0000AE260000}"/>
    <cellStyle name="Note 3 7 6 2" xfId="6864" xr:uid="{00000000-0005-0000-0000-0000AF260000}"/>
    <cellStyle name="Note 3 7 6 2 2" xfId="9699" xr:uid="{00000000-0005-0000-0000-0000B0260000}"/>
    <cellStyle name="Note 3 7 6 2 2 2" xfId="9202" xr:uid="{00000000-0005-0000-0000-0000B1260000}"/>
    <cellStyle name="Note 3 7 6 2 2 2 2" xfId="12841" xr:uid="{00000000-0005-0000-0000-0000B2260000}"/>
    <cellStyle name="Note 3 7 6 2 2 3" xfId="11175" xr:uid="{00000000-0005-0000-0000-0000B3260000}"/>
    <cellStyle name="Note 3 7 6 2 3" xfId="11672" xr:uid="{00000000-0005-0000-0000-0000B4260000}"/>
    <cellStyle name="Note 3 7 6 3" xfId="8604" xr:uid="{00000000-0005-0000-0000-0000B5260000}"/>
    <cellStyle name="Note 3 7 6 3 2" xfId="12316" xr:uid="{00000000-0005-0000-0000-0000B6260000}"/>
    <cellStyle name="Note 3 7 6 4" xfId="10634" xr:uid="{00000000-0005-0000-0000-0000B7260000}"/>
    <cellStyle name="Note 3 7 7" xfId="7896" xr:uid="{00000000-0005-0000-0000-0000B8260000}"/>
    <cellStyle name="Note 3 7 7 2" xfId="8044" xr:uid="{00000000-0005-0000-0000-0000B9260000}"/>
    <cellStyle name="Note 3 7 7 2 2" xfId="9985" xr:uid="{00000000-0005-0000-0000-0000BA260000}"/>
    <cellStyle name="Note 3 7 7 2 2 2" xfId="10076" xr:uid="{00000000-0005-0000-0000-0000BB260000}"/>
    <cellStyle name="Note 3 7 7 2 2 2 2" xfId="13277" xr:uid="{00000000-0005-0000-0000-0000BC260000}"/>
    <cellStyle name="Note 3 7 7 2 2 3" xfId="12049" xr:uid="{00000000-0005-0000-0000-0000BD260000}"/>
    <cellStyle name="Note 3 7 7 2 3" xfId="11958" xr:uid="{00000000-0005-0000-0000-0000BE260000}"/>
    <cellStyle name="Note 3 7 7 3" xfId="8142" xr:uid="{00000000-0005-0000-0000-0000BF260000}"/>
    <cellStyle name="Note 3 7 7 3 2" xfId="10172" xr:uid="{00000000-0005-0000-0000-0000C0260000}"/>
    <cellStyle name="Note 3 7 7 3 2 2" xfId="13365" xr:uid="{00000000-0005-0000-0000-0000C1260000}"/>
    <cellStyle name="Note 3 7 7 3 3" xfId="12145" xr:uid="{00000000-0005-0000-0000-0000C2260000}"/>
    <cellStyle name="Note 3 7 7 4" xfId="8942" xr:uid="{00000000-0005-0000-0000-0000C3260000}"/>
    <cellStyle name="Note 3 7 7 4 2" xfId="12492" xr:uid="{00000000-0005-0000-0000-0000C4260000}"/>
    <cellStyle name="Note 3 7 7 5" xfId="10972" xr:uid="{00000000-0005-0000-0000-0000C5260000}"/>
    <cellStyle name="Note 3 7 8" xfId="8349" xr:uid="{00000000-0005-0000-0000-0000C6260000}"/>
    <cellStyle name="Note 3 7 8 2" xfId="9147" xr:uid="{00000000-0005-0000-0000-0000C7260000}"/>
    <cellStyle name="Note 3 7 8 2 2" xfId="12565" xr:uid="{00000000-0005-0000-0000-0000C8260000}"/>
    <cellStyle name="Note 3 7 8 3" xfId="11120" xr:uid="{00000000-0005-0000-0000-0000C9260000}"/>
    <cellStyle name="Note 3 7 9" xfId="10379" xr:uid="{00000000-0005-0000-0000-0000CA260000}"/>
    <cellStyle name="Note 3 8" xfId="4362" xr:uid="{00000000-0005-0000-0000-0000CB260000}"/>
    <cellStyle name="Note 3 8 2" xfId="7618" xr:uid="{00000000-0005-0000-0000-0000CC260000}"/>
    <cellStyle name="Note 3 8 2 2" xfId="7121" xr:uid="{00000000-0005-0000-0000-0000CD260000}"/>
    <cellStyle name="Note 3 8 2 2 2" xfId="9758" xr:uid="{00000000-0005-0000-0000-0000CE260000}"/>
    <cellStyle name="Note 3 8 2 2 2 2" xfId="9396" xr:uid="{00000000-0005-0000-0000-0000CF260000}"/>
    <cellStyle name="Note 3 8 2 2 2 2 2" xfId="13026" xr:uid="{00000000-0005-0000-0000-0000D0260000}"/>
    <cellStyle name="Note 3 8 2 2 2 3" xfId="11369" xr:uid="{00000000-0005-0000-0000-0000D1260000}"/>
    <cellStyle name="Note 3 8 2 2 3" xfId="11731" xr:uid="{00000000-0005-0000-0000-0000D2260000}"/>
    <cellStyle name="Note 3 8 2 3" xfId="8680" xr:uid="{00000000-0005-0000-0000-0000D3260000}"/>
    <cellStyle name="Note 3 8 2 3 2" xfId="12709" xr:uid="{00000000-0005-0000-0000-0000D4260000}"/>
    <cellStyle name="Note 3 8 2 4" xfId="10710" xr:uid="{00000000-0005-0000-0000-0000D5260000}"/>
    <cellStyle name="Note 3 8 3" xfId="7688" xr:uid="{00000000-0005-0000-0000-0000D6260000}"/>
    <cellStyle name="Note 3 8 3 2" xfId="6886" xr:uid="{00000000-0005-0000-0000-0000D7260000}"/>
    <cellStyle name="Note 3 8 3 2 2" xfId="9811" xr:uid="{00000000-0005-0000-0000-0000D8260000}"/>
    <cellStyle name="Note 3 8 3 2 2 2" xfId="9219" xr:uid="{00000000-0005-0000-0000-0000D9260000}"/>
    <cellStyle name="Note 3 8 3 2 2 2 2" xfId="12855" xr:uid="{00000000-0005-0000-0000-0000DA260000}"/>
    <cellStyle name="Note 3 8 3 2 2 3" xfId="11192" xr:uid="{00000000-0005-0000-0000-0000DB260000}"/>
    <cellStyle name="Note 3 8 3 2 3" xfId="11784" xr:uid="{00000000-0005-0000-0000-0000DC260000}"/>
    <cellStyle name="Note 3 8 3 3" xfId="8743" xr:uid="{00000000-0005-0000-0000-0000DD260000}"/>
    <cellStyle name="Note 3 8 3 3 2" xfId="12397" xr:uid="{00000000-0005-0000-0000-0000DE260000}"/>
    <cellStyle name="Note 3 8 3 4" xfId="10773" xr:uid="{00000000-0005-0000-0000-0000DF260000}"/>
    <cellStyle name="Note 3 8 4" xfId="7574" xr:uid="{00000000-0005-0000-0000-0000E0260000}"/>
    <cellStyle name="Note 3 8 4 2" xfId="7217" xr:uid="{00000000-0005-0000-0000-0000E1260000}"/>
    <cellStyle name="Note 3 8 4 2 2" xfId="9459" xr:uid="{00000000-0005-0000-0000-0000E2260000}"/>
    <cellStyle name="Note 3 8 4 2 2 2" xfId="13085" xr:uid="{00000000-0005-0000-0000-0000E3260000}"/>
    <cellStyle name="Note 3 8 4 2 3" xfId="11432" xr:uid="{00000000-0005-0000-0000-0000E4260000}"/>
    <cellStyle name="Note 3 8 4 3" xfId="8638" xr:uid="{00000000-0005-0000-0000-0000E5260000}"/>
    <cellStyle name="Note 3 8 4 3 2" xfId="12690" xr:uid="{00000000-0005-0000-0000-0000E6260000}"/>
    <cellStyle name="Note 3 8 4 4" xfId="10668" xr:uid="{00000000-0005-0000-0000-0000E7260000}"/>
    <cellStyle name="Note 3 8 5" xfId="7743" xr:uid="{00000000-0005-0000-0000-0000E8260000}"/>
    <cellStyle name="Note 3 8 5 2" xfId="7947" xr:uid="{00000000-0005-0000-0000-0000E9260000}"/>
    <cellStyle name="Note 3 8 5 2 2" xfId="9856" xr:uid="{00000000-0005-0000-0000-0000EA260000}"/>
    <cellStyle name="Note 3 8 5 2 2 2" xfId="10009" xr:uid="{00000000-0005-0000-0000-0000EB260000}"/>
    <cellStyle name="Note 3 8 5 2 2 2 2" xfId="13223" xr:uid="{00000000-0005-0000-0000-0000EC260000}"/>
    <cellStyle name="Note 3 8 5 2 2 3" xfId="11982" xr:uid="{00000000-0005-0000-0000-0000ED260000}"/>
    <cellStyle name="Note 3 8 5 2 3" xfId="11829" xr:uid="{00000000-0005-0000-0000-0000EE260000}"/>
    <cellStyle name="Note 3 8 5 3" xfId="8797" xr:uid="{00000000-0005-0000-0000-0000EF260000}"/>
    <cellStyle name="Note 3 8 5 3 2" xfId="12436" xr:uid="{00000000-0005-0000-0000-0000F0260000}"/>
    <cellStyle name="Note 3 8 5 4" xfId="10827" xr:uid="{00000000-0005-0000-0000-0000F1260000}"/>
    <cellStyle name="Note 3 8 6" xfId="7490" xr:uid="{00000000-0005-0000-0000-0000F2260000}"/>
    <cellStyle name="Note 3 8 6 2" xfId="7106" xr:uid="{00000000-0005-0000-0000-0000F3260000}"/>
    <cellStyle name="Note 3 8 6 2 2" xfId="9661" xr:uid="{00000000-0005-0000-0000-0000F4260000}"/>
    <cellStyle name="Note 3 8 6 2 2 2" xfId="9386" xr:uid="{00000000-0005-0000-0000-0000F5260000}"/>
    <cellStyle name="Note 3 8 6 2 2 2 2" xfId="13016" xr:uid="{00000000-0005-0000-0000-0000F6260000}"/>
    <cellStyle name="Note 3 8 6 2 2 3" xfId="11359" xr:uid="{00000000-0005-0000-0000-0000F7260000}"/>
    <cellStyle name="Note 3 8 6 2 3" xfId="11634" xr:uid="{00000000-0005-0000-0000-0000F8260000}"/>
    <cellStyle name="Note 3 8 6 3" xfId="8557" xr:uid="{00000000-0005-0000-0000-0000F9260000}"/>
    <cellStyle name="Note 3 8 6 3 2" xfId="12289" xr:uid="{00000000-0005-0000-0000-0000FA260000}"/>
    <cellStyle name="Note 3 8 6 4" xfId="10587" xr:uid="{00000000-0005-0000-0000-0000FB260000}"/>
    <cellStyle name="Note 3 8 7" xfId="7906" xr:uid="{00000000-0005-0000-0000-0000FC260000}"/>
    <cellStyle name="Note 3 8 7 2" xfId="8054" xr:uid="{00000000-0005-0000-0000-0000FD260000}"/>
    <cellStyle name="Note 3 8 7 2 2" xfId="9992" xr:uid="{00000000-0005-0000-0000-0000FE260000}"/>
    <cellStyle name="Note 3 8 7 2 2 2" xfId="10086" xr:uid="{00000000-0005-0000-0000-0000FF260000}"/>
    <cellStyle name="Note 3 8 7 2 2 2 2" xfId="13284" xr:uid="{00000000-0005-0000-0000-000000270000}"/>
    <cellStyle name="Note 3 8 7 2 2 3" xfId="12059" xr:uid="{00000000-0005-0000-0000-000001270000}"/>
    <cellStyle name="Note 3 8 7 2 3" xfId="11965" xr:uid="{00000000-0005-0000-0000-000002270000}"/>
    <cellStyle name="Note 3 8 7 3" xfId="8149" xr:uid="{00000000-0005-0000-0000-000003270000}"/>
    <cellStyle name="Note 3 8 7 3 2" xfId="10179" xr:uid="{00000000-0005-0000-0000-000004270000}"/>
    <cellStyle name="Note 3 8 7 3 2 2" xfId="13372" xr:uid="{00000000-0005-0000-0000-000005270000}"/>
    <cellStyle name="Note 3 8 7 3 3" xfId="12152" xr:uid="{00000000-0005-0000-0000-000006270000}"/>
    <cellStyle name="Note 3 8 7 4" xfId="8952" xr:uid="{00000000-0005-0000-0000-000007270000}"/>
    <cellStyle name="Note 3 8 7 4 2" xfId="12499" xr:uid="{00000000-0005-0000-0000-000008270000}"/>
    <cellStyle name="Note 3 8 7 5" xfId="10982" xr:uid="{00000000-0005-0000-0000-000009270000}"/>
    <cellStyle name="Note 3 8 8" xfId="8356" xr:uid="{00000000-0005-0000-0000-00000A270000}"/>
    <cellStyle name="Note 3 8 8 2" xfId="9154" xr:uid="{00000000-0005-0000-0000-00000B270000}"/>
    <cellStyle name="Note 3 8 8 2 2" xfId="12572" xr:uid="{00000000-0005-0000-0000-00000C270000}"/>
    <cellStyle name="Note 3 8 8 3" xfId="11127" xr:uid="{00000000-0005-0000-0000-00000D270000}"/>
    <cellStyle name="Note 3 8 9" xfId="10386" xr:uid="{00000000-0005-0000-0000-00000E270000}"/>
    <cellStyle name="Note 3 9" xfId="5841" xr:uid="{00000000-0005-0000-0000-00000F270000}"/>
    <cellStyle name="Note 3 9 2" xfId="7349" xr:uid="{00000000-0005-0000-0000-000010270000}"/>
    <cellStyle name="Note 3 9 2 2" xfId="6851" xr:uid="{00000000-0005-0000-0000-000011270000}"/>
    <cellStyle name="Note 3 9 2 2 2" xfId="9552" xr:uid="{00000000-0005-0000-0000-000012270000}"/>
    <cellStyle name="Note 3 9 2 2 2 2" xfId="9190" xr:uid="{00000000-0005-0000-0000-000013270000}"/>
    <cellStyle name="Note 3 9 2 2 2 2 2" xfId="12830" xr:uid="{00000000-0005-0000-0000-000014270000}"/>
    <cellStyle name="Note 3 9 2 2 2 3" xfId="11163" xr:uid="{00000000-0005-0000-0000-000015270000}"/>
    <cellStyle name="Note 3 9 2 2 3" xfId="11525" xr:uid="{00000000-0005-0000-0000-000016270000}"/>
    <cellStyle name="Note 3 9 2 3" xfId="8421" xr:uid="{00000000-0005-0000-0000-000017270000}"/>
    <cellStyle name="Note 3 9 2 3 2" xfId="12610" xr:uid="{00000000-0005-0000-0000-000018270000}"/>
    <cellStyle name="Note 3 9 2 4" xfId="10451" xr:uid="{00000000-0005-0000-0000-000019270000}"/>
    <cellStyle name="Note 3 9 3" xfId="7378" xr:uid="{00000000-0005-0000-0000-00001A270000}"/>
    <cellStyle name="Note 3 9 3 2" xfId="7173" xr:uid="{00000000-0005-0000-0000-00001B270000}"/>
    <cellStyle name="Note 3 9 3 2 2" xfId="9576" xr:uid="{00000000-0005-0000-0000-00001C270000}"/>
    <cellStyle name="Note 3 9 3 2 2 2" xfId="9429" xr:uid="{00000000-0005-0000-0000-00001D270000}"/>
    <cellStyle name="Note 3 9 3 2 2 2 2" xfId="13059" xr:uid="{00000000-0005-0000-0000-00001E270000}"/>
    <cellStyle name="Note 3 9 3 2 2 3" xfId="11402" xr:uid="{00000000-0005-0000-0000-00001F270000}"/>
    <cellStyle name="Note 3 9 3 2 3" xfId="11549" xr:uid="{00000000-0005-0000-0000-000020270000}"/>
    <cellStyle name="Note 3 9 3 3" xfId="8448" xr:uid="{00000000-0005-0000-0000-000021270000}"/>
    <cellStyle name="Note 3 9 3 3 2" xfId="12226" xr:uid="{00000000-0005-0000-0000-000022270000}"/>
    <cellStyle name="Note 3 9 3 4" xfId="10478" xr:uid="{00000000-0005-0000-0000-000023270000}"/>
    <cellStyle name="Note 3 9 4" xfId="7341" xr:uid="{00000000-0005-0000-0000-000024270000}"/>
    <cellStyle name="Note 3 9 4 2" xfId="6842" xr:uid="{00000000-0005-0000-0000-000025270000}"/>
    <cellStyle name="Note 3 9 4 2 2" xfId="9182" xr:uid="{00000000-0005-0000-0000-000026270000}"/>
    <cellStyle name="Note 3 9 4 2 2 2" xfId="12822" xr:uid="{00000000-0005-0000-0000-000027270000}"/>
    <cellStyle name="Note 3 9 4 2 3" xfId="11155" xr:uid="{00000000-0005-0000-0000-000028270000}"/>
    <cellStyle name="Note 3 9 4 3" xfId="8413" xr:uid="{00000000-0005-0000-0000-000029270000}"/>
    <cellStyle name="Note 3 9 4 3 2" xfId="12605" xr:uid="{00000000-0005-0000-0000-00002A270000}"/>
    <cellStyle name="Note 3 9 4 4" xfId="10443" xr:uid="{00000000-0005-0000-0000-00002B270000}"/>
    <cellStyle name="Note 3 9 5" xfId="7473" xr:uid="{00000000-0005-0000-0000-00002C270000}"/>
    <cellStyle name="Note 3 9 5 2" xfId="7195" xr:uid="{00000000-0005-0000-0000-00002D270000}"/>
    <cellStyle name="Note 3 9 5 2 2" xfId="9644" xr:uid="{00000000-0005-0000-0000-00002E270000}"/>
    <cellStyle name="Note 3 9 5 2 2 2" xfId="9442" xr:uid="{00000000-0005-0000-0000-00002F270000}"/>
    <cellStyle name="Note 3 9 5 2 2 2 2" xfId="13071" xr:uid="{00000000-0005-0000-0000-000030270000}"/>
    <cellStyle name="Note 3 9 5 2 2 3" xfId="11415" xr:uid="{00000000-0005-0000-0000-000031270000}"/>
    <cellStyle name="Note 3 9 5 2 3" xfId="11617" xr:uid="{00000000-0005-0000-0000-000032270000}"/>
    <cellStyle name="Note 3 9 5 3" xfId="8540" xr:uid="{00000000-0005-0000-0000-000033270000}"/>
    <cellStyle name="Note 3 9 5 3 2" xfId="12273" xr:uid="{00000000-0005-0000-0000-000034270000}"/>
    <cellStyle name="Note 3 9 5 4" xfId="10570" xr:uid="{00000000-0005-0000-0000-000035270000}"/>
    <cellStyle name="Note 3 9 6" xfId="7318" xr:uid="{00000000-0005-0000-0000-000036270000}"/>
    <cellStyle name="Note 3 9 6 2" xfId="7184" xr:uid="{00000000-0005-0000-0000-000037270000}"/>
    <cellStyle name="Note 3 9 6 2 2" xfId="9532" xr:uid="{00000000-0005-0000-0000-000038270000}"/>
    <cellStyle name="Note 3 9 6 2 2 2" xfId="9436" xr:uid="{00000000-0005-0000-0000-000039270000}"/>
    <cellStyle name="Note 3 9 6 2 2 2 2" xfId="13066" xr:uid="{00000000-0005-0000-0000-00003A270000}"/>
    <cellStyle name="Note 3 9 6 2 2 3" xfId="11409" xr:uid="{00000000-0005-0000-0000-00003B270000}"/>
    <cellStyle name="Note 3 9 6 2 3" xfId="11505" xr:uid="{00000000-0005-0000-0000-00003C270000}"/>
    <cellStyle name="Note 3 9 6 3" xfId="8391" xr:uid="{00000000-0005-0000-0000-00003D270000}"/>
    <cellStyle name="Note 3 9 6 3 2" xfId="12198" xr:uid="{00000000-0005-0000-0000-00003E270000}"/>
    <cellStyle name="Note 3 9 6 4" xfId="10421" xr:uid="{00000000-0005-0000-0000-00003F270000}"/>
    <cellStyle name="Note 3 9 7" xfId="7915" xr:uid="{00000000-0005-0000-0000-000040270000}"/>
    <cellStyle name="Note 3 9 7 2" xfId="8062" xr:uid="{00000000-0005-0000-0000-000041270000}"/>
    <cellStyle name="Note 3 9 7 2 2" xfId="10000" xr:uid="{00000000-0005-0000-0000-000042270000}"/>
    <cellStyle name="Note 3 9 7 2 2 2" xfId="10093" xr:uid="{00000000-0005-0000-0000-000043270000}"/>
    <cellStyle name="Note 3 9 7 2 2 2 2" xfId="13291" xr:uid="{00000000-0005-0000-0000-000044270000}"/>
    <cellStyle name="Note 3 9 7 2 2 3" xfId="12066" xr:uid="{00000000-0005-0000-0000-000045270000}"/>
    <cellStyle name="Note 3 9 7 2 3" xfId="11973" xr:uid="{00000000-0005-0000-0000-000046270000}"/>
    <cellStyle name="Note 3 9 7 3" xfId="8157" xr:uid="{00000000-0005-0000-0000-000047270000}"/>
    <cellStyle name="Note 3 9 7 3 2" xfId="10187" xr:uid="{00000000-0005-0000-0000-000048270000}"/>
    <cellStyle name="Note 3 9 7 3 2 2" xfId="13379" xr:uid="{00000000-0005-0000-0000-000049270000}"/>
    <cellStyle name="Note 3 9 7 3 3" xfId="12160" xr:uid="{00000000-0005-0000-0000-00004A270000}"/>
    <cellStyle name="Note 3 9 7 4" xfId="8961" xr:uid="{00000000-0005-0000-0000-00004B270000}"/>
    <cellStyle name="Note 3 9 7 4 2" xfId="12506" xr:uid="{00000000-0005-0000-0000-00004C270000}"/>
    <cellStyle name="Note 3 9 7 5" xfId="10991" xr:uid="{00000000-0005-0000-0000-00004D270000}"/>
    <cellStyle name="Note 3 9 8" xfId="8363" xr:uid="{00000000-0005-0000-0000-00004E270000}"/>
    <cellStyle name="Note 3 9 8 2" xfId="9161" xr:uid="{00000000-0005-0000-0000-00004F270000}"/>
    <cellStyle name="Note 3 9 8 2 2" xfId="12579" xr:uid="{00000000-0005-0000-0000-000050270000}"/>
    <cellStyle name="Note 3 9 8 3" xfId="11134" xr:uid="{00000000-0005-0000-0000-000051270000}"/>
    <cellStyle name="Note 3 9 9" xfId="10393" xr:uid="{00000000-0005-0000-0000-000052270000}"/>
    <cellStyle name="Note 4" xfId="1469" xr:uid="{00000000-0005-0000-0000-000053270000}"/>
    <cellStyle name="Note 4 10" xfId="7608" xr:uid="{00000000-0005-0000-0000-000054270000}"/>
    <cellStyle name="Note 4 10 2" xfId="7024" xr:uid="{00000000-0005-0000-0000-000055270000}"/>
    <cellStyle name="Note 4 10 2 2" xfId="9750" xr:uid="{00000000-0005-0000-0000-000056270000}"/>
    <cellStyle name="Note 4 10 2 2 2" xfId="9321" xr:uid="{00000000-0005-0000-0000-000057270000}"/>
    <cellStyle name="Note 4 10 2 2 2 2" xfId="12953" xr:uid="{00000000-0005-0000-0000-000058270000}"/>
    <cellStyle name="Note 4 10 2 2 3" xfId="11294" xr:uid="{00000000-0005-0000-0000-000059270000}"/>
    <cellStyle name="Note 4 10 2 3" xfId="11723" xr:uid="{00000000-0005-0000-0000-00005A270000}"/>
    <cellStyle name="Note 4 10 3" xfId="8670" xr:uid="{00000000-0005-0000-0000-00005B270000}"/>
    <cellStyle name="Note 4 10 3 2" xfId="12705" xr:uid="{00000000-0005-0000-0000-00005C270000}"/>
    <cellStyle name="Note 4 10 4" xfId="10700" xr:uid="{00000000-0005-0000-0000-00005D270000}"/>
    <cellStyle name="Note 4 11" xfId="7478" xr:uid="{00000000-0005-0000-0000-00005E270000}"/>
    <cellStyle name="Note 4 11 2" xfId="7214" xr:uid="{00000000-0005-0000-0000-00005F270000}"/>
    <cellStyle name="Note 4 11 2 2" xfId="9649" xr:uid="{00000000-0005-0000-0000-000060270000}"/>
    <cellStyle name="Note 4 11 2 2 2" xfId="9458" xr:uid="{00000000-0005-0000-0000-000061270000}"/>
    <cellStyle name="Note 4 11 2 2 2 2" xfId="13084" xr:uid="{00000000-0005-0000-0000-000062270000}"/>
    <cellStyle name="Note 4 11 2 2 3" xfId="11431" xr:uid="{00000000-0005-0000-0000-000063270000}"/>
    <cellStyle name="Note 4 11 2 3" xfId="11622" xr:uid="{00000000-0005-0000-0000-000064270000}"/>
    <cellStyle name="Note 4 11 3" xfId="8545" xr:uid="{00000000-0005-0000-0000-000065270000}"/>
    <cellStyle name="Note 4 11 3 2" xfId="12278" xr:uid="{00000000-0005-0000-0000-000066270000}"/>
    <cellStyle name="Note 4 11 4" xfId="10575" xr:uid="{00000000-0005-0000-0000-000067270000}"/>
    <cellStyle name="Note 4 12" xfId="7391" xr:uid="{00000000-0005-0000-0000-000068270000}"/>
    <cellStyle name="Note 4 12 2" xfId="6907" xr:uid="{00000000-0005-0000-0000-000069270000}"/>
    <cellStyle name="Note 4 12 2 2" xfId="9233" xr:uid="{00000000-0005-0000-0000-00006A270000}"/>
    <cellStyle name="Note 4 12 2 2 2" xfId="12869" xr:uid="{00000000-0005-0000-0000-00006B270000}"/>
    <cellStyle name="Note 4 12 2 3" xfId="11206" xr:uid="{00000000-0005-0000-0000-00006C270000}"/>
    <cellStyle name="Note 4 12 3" xfId="8461" xr:uid="{00000000-0005-0000-0000-00006D270000}"/>
    <cellStyle name="Note 4 12 3 2" xfId="12628" xr:uid="{00000000-0005-0000-0000-00006E270000}"/>
    <cellStyle name="Note 4 12 4" xfId="10491" xr:uid="{00000000-0005-0000-0000-00006F270000}"/>
    <cellStyle name="Note 4 13" xfId="7540" xr:uid="{00000000-0005-0000-0000-000070270000}"/>
    <cellStyle name="Note 4 13 2" xfId="7076" xr:uid="{00000000-0005-0000-0000-000071270000}"/>
    <cellStyle name="Note 4 13 2 2" xfId="9701" xr:uid="{00000000-0005-0000-0000-000072270000}"/>
    <cellStyle name="Note 4 13 2 2 2" xfId="9364" xr:uid="{00000000-0005-0000-0000-000073270000}"/>
    <cellStyle name="Note 4 13 2 2 2 2" xfId="12995" xr:uid="{00000000-0005-0000-0000-000074270000}"/>
    <cellStyle name="Note 4 13 2 2 3" xfId="11337" xr:uid="{00000000-0005-0000-0000-000075270000}"/>
    <cellStyle name="Note 4 13 2 3" xfId="11674" xr:uid="{00000000-0005-0000-0000-000076270000}"/>
    <cellStyle name="Note 4 13 3" xfId="8606" xr:uid="{00000000-0005-0000-0000-000077270000}"/>
    <cellStyle name="Note 4 13 3 2" xfId="12318" xr:uid="{00000000-0005-0000-0000-000078270000}"/>
    <cellStyle name="Note 4 13 4" xfId="10636" xr:uid="{00000000-0005-0000-0000-000079270000}"/>
    <cellStyle name="Note 4 14" xfId="7554" xr:uid="{00000000-0005-0000-0000-00007A270000}"/>
    <cellStyle name="Note 4 14 2" xfId="7013" xr:uid="{00000000-0005-0000-0000-00007B270000}"/>
    <cellStyle name="Note 4 14 2 2" xfId="9713" xr:uid="{00000000-0005-0000-0000-00007C270000}"/>
    <cellStyle name="Note 4 14 2 2 2" xfId="9311" xr:uid="{00000000-0005-0000-0000-00007D270000}"/>
    <cellStyle name="Note 4 14 2 2 2 2" xfId="12944" xr:uid="{00000000-0005-0000-0000-00007E270000}"/>
    <cellStyle name="Note 4 14 2 2 3" xfId="11284" xr:uid="{00000000-0005-0000-0000-00007F270000}"/>
    <cellStyle name="Note 4 14 2 3" xfId="11686" xr:uid="{00000000-0005-0000-0000-000080270000}"/>
    <cellStyle name="Note 4 14 3" xfId="8619" xr:uid="{00000000-0005-0000-0000-000081270000}"/>
    <cellStyle name="Note 4 14 3 2" xfId="12328" xr:uid="{00000000-0005-0000-0000-000082270000}"/>
    <cellStyle name="Note 4 14 4" xfId="10649" xr:uid="{00000000-0005-0000-0000-000083270000}"/>
    <cellStyle name="Note 4 15" xfId="7815" xr:uid="{00000000-0005-0000-0000-000084270000}"/>
    <cellStyle name="Note 4 15 2" xfId="7964" xr:uid="{00000000-0005-0000-0000-000085270000}"/>
    <cellStyle name="Note 4 15 2 2" xfId="9918" xr:uid="{00000000-0005-0000-0000-000086270000}"/>
    <cellStyle name="Note 4 15 2 2 2" xfId="10022" xr:uid="{00000000-0005-0000-0000-000087270000}"/>
    <cellStyle name="Note 4 15 2 2 2 2" xfId="13236" xr:uid="{00000000-0005-0000-0000-000088270000}"/>
    <cellStyle name="Note 4 15 2 2 3" xfId="11995" xr:uid="{00000000-0005-0000-0000-000089270000}"/>
    <cellStyle name="Note 4 15 2 3" xfId="11891" xr:uid="{00000000-0005-0000-0000-00008A270000}"/>
    <cellStyle name="Note 4 15 3" xfId="8075" xr:uid="{00000000-0005-0000-0000-00008B270000}"/>
    <cellStyle name="Note 4 15 3 2" xfId="10105" xr:uid="{00000000-0005-0000-0000-00008C270000}"/>
    <cellStyle name="Note 4 15 3 2 2" xfId="13299" xr:uid="{00000000-0005-0000-0000-00008D270000}"/>
    <cellStyle name="Note 4 15 3 3" xfId="12078" xr:uid="{00000000-0005-0000-0000-00008E270000}"/>
    <cellStyle name="Note 4 15 4" xfId="8862" xr:uid="{00000000-0005-0000-0000-00008F270000}"/>
    <cellStyle name="Note 4 15 4 2" xfId="12451" xr:uid="{00000000-0005-0000-0000-000090270000}"/>
    <cellStyle name="Note 4 15 5" xfId="10892" xr:uid="{00000000-0005-0000-0000-000091270000}"/>
    <cellStyle name="Note 4 16" xfId="8271" xr:uid="{00000000-0005-0000-0000-000092270000}"/>
    <cellStyle name="Note 4 16 2" xfId="9018" xr:uid="{00000000-0005-0000-0000-000093270000}"/>
    <cellStyle name="Note 4 16 2 2" xfId="12523" xr:uid="{00000000-0005-0000-0000-000094270000}"/>
    <cellStyle name="Note 4 16 3" xfId="11037" xr:uid="{00000000-0005-0000-0000-000095270000}"/>
    <cellStyle name="Note 4 17" xfId="10301" xr:uid="{00000000-0005-0000-0000-000096270000}"/>
    <cellStyle name="Note 4 2" xfId="1746" xr:uid="{00000000-0005-0000-0000-000097270000}"/>
    <cellStyle name="Note 4 2 2" xfId="7634" xr:uid="{00000000-0005-0000-0000-000098270000}"/>
    <cellStyle name="Note 4 2 2 2" xfId="7276" xr:uid="{00000000-0005-0000-0000-000099270000}"/>
    <cellStyle name="Note 4 2 2 2 2" xfId="9770" xr:uid="{00000000-0005-0000-0000-00009A270000}"/>
    <cellStyle name="Note 4 2 2 2 2 2" xfId="9501" xr:uid="{00000000-0005-0000-0000-00009B270000}"/>
    <cellStyle name="Note 4 2 2 2 2 2 2" xfId="13125" xr:uid="{00000000-0005-0000-0000-00009C270000}"/>
    <cellStyle name="Note 4 2 2 2 2 3" xfId="11474" xr:uid="{00000000-0005-0000-0000-00009D270000}"/>
    <cellStyle name="Note 4 2 2 2 3" xfId="11743" xr:uid="{00000000-0005-0000-0000-00009E270000}"/>
    <cellStyle name="Note 4 2 2 3" xfId="8694" xr:uid="{00000000-0005-0000-0000-00009F270000}"/>
    <cellStyle name="Note 4 2 2 3 2" xfId="12715" xr:uid="{00000000-0005-0000-0000-0000A0270000}"/>
    <cellStyle name="Note 4 2 2 4" xfId="10724" xr:uid="{00000000-0005-0000-0000-0000A1270000}"/>
    <cellStyle name="Note 4 2 3" xfId="7737" xr:uid="{00000000-0005-0000-0000-0000A2270000}"/>
    <cellStyle name="Note 4 2 3 2" xfId="7949" xr:uid="{00000000-0005-0000-0000-0000A3270000}"/>
    <cellStyle name="Note 4 2 3 2 2" xfId="9852" xr:uid="{00000000-0005-0000-0000-0000A4270000}"/>
    <cellStyle name="Note 4 2 3 2 2 2" xfId="10011" xr:uid="{00000000-0005-0000-0000-0000A5270000}"/>
    <cellStyle name="Note 4 2 3 2 2 2 2" xfId="13225" xr:uid="{00000000-0005-0000-0000-0000A6270000}"/>
    <cellStyle name="Note 4 2 3 2 2 3" xfId="11984" xr:uid="{00000000-0005-0000-0000-0000A7270000}"/>
    <cellStyle name="Note 4 2 3 2 3" xfId="11825" xr:uid="{00000000-0005-0000-0000-0000A8270000}"/>
    <cellStyle name="Note 4 2 3 3" xfId="8791" xr:uid="{00000000-0005-0000-0000-0000A9270000}"/>
    <cellStyle name="Note 4 2 3 3 2" xfId="12433" xr:uid="{00000000-0005-0000-0000-0000AA270000}"/>
    <cellStyle name="Note 4 2 3 4" xfId="10821" xr:uid="{00000000-0005-0000-0000-0000AB270000}"/>
    <cellStyle name="Note 4 2 4" xfId="7699" xr:uid="{00000000-0005-0000-0000-0000AC270000}"/>
    <cellStyle name="Note 4 2 4 2" xfId="7089" xr:uid="{00000000-0005-0000-0000-0000AD270000}"/>
    <cellStyle name="Note 4 2 4 2 2" xfId="9373" xr:uid="{00000000-0005-0000-0000-0000AE270000}"/>
    <cellStyle name="Note 4 2 4 2 2 2" xfId="13004" xr:uid="{00000000-0005-0000-0000-0000AF270000}"/>
    <cellStyle name="Note 4 2 4 2 3" xfId="11346" xr:uid="{00000000-0005-0000-0000-0000B0270000}"/>
    <cellStyle name="Note 4 2 4 3" xfId="8754" xr:uid="{00000000-0005-0000-0000-0000B1270000}"/>
    <cellStyle name="Note 4 2 4 3 2" xfId="12739" xr:uid="{00000000-0005-0000-0000-0000B2270000}"/>
    <cellStyle name="Note 4 2 4 4" xfId="10784" xr:uid="{00000000-0005-0000-0000-0000B3270000}"/>
    <cellStyle name="Note 4 2 5" xfId="7481" xr:uid="{00000000-0005-0000-0000-0000B4270000}"/>
    <cellStyle name="Note 4 2 5 2" xfId="7290" xr:uid="{00000000-0005-0000-0000-0000B5270000}"/>
    <cellStyle name="Note 4 2 5 2 2" xfId="9652" xr:uid="{00000000-0005-0000-0000-0000B6270000}"/>
    <cellStyle name="Note 4 2 5 2 2 2" xfId="9512" xr:uid="{00000000-0005-0000-0000-0000B7270000}"/>
    <cellStyle name="Note 4 2 5 2 2 2 2" xfId="13135" xr:uid="{00000000-0005-0000-0000-0000B8270000}"/>
    <cellStyle name="Note 4 2 5 2 2 3" xfId="11485" xr:uid="{00000000-0005-0000-0000-0000B9270000}"/>
    <cellStyle name="Note 4 2 5 2 3" xfId="11625" xr:uid="{00000000-0005-0000-0000-0000BA270000}"/>
    <cellStyle name="Note 4 2 5 3" xfId="8548" xr:uid="{00000000-0005-0000-0000-0000BB270000}"/>
    <cellStyle name="Note 4 2 5 3 2" xfId="12280" xr:uid="{00000000-0005-0000-0000-0000BC270000}"/>
    <cellStyle name="Note 4 2 5 4" xfId="10578" xr:uid="{00000000-0005-0000-0000-0000BD270000}"/>
    <cellStyle name="Note 4 2 6" xfId="7661" xr:uid="{00000000-0005-0000-0000-0000BE270000}"/>
    <cellStyle name="Note 4 2 6 2" xfId="7042" xr:uid="{00000000-0005-0000-0000-0000BF270000}"/>
    <cellStyle name="Note 4 2 6 2 2" xfId="9788" xr:uid="{00000000-0005-0000-0000-0000C0270000}"/>
    <cellStyle name="Note 4 2 6 2 2 2" xfId="9336" xr:uid="{00000000-0005-0000-0000-0000C1270000}"/>
    <cellStyle name="Note 4 2 6 2 2 2 2" xfId="12967" xr:uid="{00000000-0005-0000-0000-0000C2270000}"/>
    <cellStyle name="Note 4 2 6 2 2 3" xfId="11309" xr:uid="{00000000-0005-0000-0000-0000C3270000}"/>
    <cellStyle name="Note 4 2 6 2 3" xfId="11761" xr:uid="{00000000-0005-0000-0000-0000C4270000}"/>
    <cellStyle name="Note 4 2 6 3" xfId="8717" xr:uid="{00000000-0005-0000-0000-0000C5270000}"/>
    <cellStyle name="Note 4 2 6 3 2" xfId="12381" xr:uid="{00000000-0005-0000-0000-0000C6270000}"/>
    <cellStyle name="Note 4 2 6 4" xfId="10747" xr:uid="{00000000-0005-0000-0000-0000C7270000}"/>
    <cellStyle name="Note 4 2 7" xfId="7867" xr:uid="{00000000-0005-0000-0000-0000C8270000}"/>
    <cellStyle name="Note 4 2 7 2" xfId="8016" xr:uid="{00000000-0005-0000-0000-0000C9270000}"/>
    <cellStyle name="Note 4 2 7 2 2" xfId="9958" xr:uid="{00000000-0005-0000-0000-0000CA270000}"/>
    <cellStyle name="Note 4 2 7 2 2 2" xfId="10048" xr:uid="{00000000-0005-0000-0000-0000CB270000}"/>
    <cellStyle name="Note 4 2 7 2 2 2 2" xfId="13250" xr:uid="{00000000-0005-0000-0000-0000CC270000}"/>
    <cellStyle name="Note 4 2 7 2 2 3" xfId="12021" xr:uid="{00000000-0005-0000-0000-0000CD270000}"/>
    <cellStyle name="Note 4 2 7 2 3" xfId="11931" xr:uid="{00000000-0005-0000-0000-0000CE270000}"/>
    <cellStyle name="Note 4 2 7 3" xfId="8115" xr:uid="{00000000-0005-0000-0000-0000CF270000}"/>
    <cellStyle name="Note 4 2 7 3 2" xfId="10145" xr:uid="{00000000-0005-0000-0000-0000D0270000}"/>
    <cellStyle name="Note 4 2 7 3 2 2" xfId="13338" xr:uid="{00000000-0005-0000-0000-0000D1270000}"/>
    <cellStyle name="Note 4 2 7 3 3" xfId="12118" xr:uid="{00000000-0005-0000-0000-0000D2270000}"/>
    <cellStyle name="Note 4 2 7 4" xfId="8914" xr:uid="{00000000-0005-0000-0000-0000D3270000}"/>
    <cellStyle name="Note 4 2 7 4 2" xfId="12465" xr:uid="{00000000-0005-0000-0000-0000D4270000}"/>
    <cellStyle name="Note 4 2 7 5" xfId="10944" xr:uid="{00000000-0005-0000-0000-0000D5270000}"/>
    <cellStyle name="Note 4 2 8" xfId="8322" xr:uid="{00000000-0005-0000-0000-0000D6270000}"/>
    <cellStyle name="Note 4 2 8 2" xfId="9120" xr:uid="{00000000-0005-0000-0000-0000D7270000}"/>
    <cellStyle name="Note 4 2 8 2 2" xfId="12538" xr:uid="{00000000-0005-0000-0000-0000D8270000}"/>
    <cellStyle name="Note 4 2 8 3" xfId="11093" xr:uid="{00000000-0005-0000-0000-0000D9270000}"/>
    <cellStyle name="Note 4 2 9" xfId="10352" xr:uid="{00000000-0005-0000-0000-0000DA270000}"/>
    <cellStyle name="Note 4 3" xfId="1622" xr:uid="{00000000-0005-0000-0000-0000DB270000}"/>
    <cellStyle name="Note 4 3 2" xfId="7564" xr:uid="{00000000-0005-0000-0000-0000DC270000}"/>
    <cellStyle name="Note 4 3 2 2" xfId="7068" xr:uid="{00000000-0005-0000-0000-0000DD270000}"/>
    <cellStyle name="Note 4 3 2 2 2" xfId="9720" xr:uid="{00000000-0005-0000-0000-0000DE270000}"/>
    <cellStyle name="Note 4 3 2 2 2 2" xfId="9357" xr:uid="{00000000-0005-0000-0000-0000DF270000}"/>
    <cellStyle name="Note 4 3 2 2 2 2 2" xfId="12988" xr:uid="{00000000-0005-0000-0000-0000E0270000}"/>
    <cellStyle name="Note 4 3 2 2 2 3" xfId="11330" xr:uid="{00000000-0005-0000-0000-0000E1270000}"/>
    <cellStyle name="Note 4 3 2 2 3" xfId="11693" xr:uid="{00000000-0005-0000-0000-0000E2270000}"/>
    <cellStyle name="Note 4 3 2 3" xfId="8628" xr:uid="{00000000-0005-0000-0000-0000E3270000}"/>
    <cellStyle name="Note 4 3 2 3 2" xfId="12685" xr:uid="{00000000-0005-0000-0000-0000E4270000}"/>
    <cellStyle name="Note 4 3 2 4" xfId="10658" xr:uid="{00000000-0005-0000-0000-0000E5270000}"/>
    <cellStyle name="Note 4 3 3" xfId="7648" xr:uid="{00000000-0005-0000-0000-0000E6270000}"/>
    <cellStyle name="Note 4 3 3 2" xfId="7162" xr:uid="{00000000-0005-0000-0000-0000E7270000}"/>
    <cellStyle name="Note 4 3 3 2 2" xfId="9779" xr:uid="{00000000-0005-0000-0000-0000E8270000}"/>
    <cellStyle name="Note 4 3 3 2 2 2" xfId="9423" xr:uid="{00000000-0005-0000-0000-0000E9270000}"/>
    <cellStyle name="Note 4 3 3 2 2 2 2" xfId="13053" xr:uid="{00000000-0005-0000-0000-0000EA270000}"/>
    <cellStyle name="Note 4 3 3 2 2 3" xfId="11396" xr:uid="{00000000-0005-0000-0000-0000EB270000}"/>
    <cellStyle name="Note 4 3 3 2 3" xfId="11752" xr:uid="{00000000-0005-0000-0000-0000EC270000}"/>
    <cellStyle name="Note 4 3 3 3" xfId="8706" xr:uid="{00000000-0005-0000-0000-0000ED270000}"/>
    <cellStyle name="Note 4 3 3 3 2" xfId="12375" xr:uid="{00000000-0005-0000-0000-0000EE270000}"/>
    <cellStyle name="Note 4 3 3 4" xfId="10736" xr:uid="{00000000-0005-0000-0000-0000EF270000}"/>
    <cellStyle name="Note 4 3 4" xfId="7622" xr:uid="{00000000-0005-0000-0000-0000F0270000}"/>
    <cellStyle name="Note 4 3 4 2" xfId="7240" xr:uid="{00000000-0005-0000-0000-0000F1270000}"/>
    <cellStyle name="Note 4 3 4 2 2" xfId="9477" xr:uid="{00000000-0005-0000-0000-0000F2270000}"/>
    <cellStyle name="Note 4 3 4 2 2 2" xfId="13102" xr:uid="{00000000-0005-0000-0000-0000F3270000}"/>
    <cellStyle name="Note 4 3 4 2 3" xfId="11450" xr:uid="{00000000-0005-0000-0000-0000F4270000}"/>
    <cellStyle name="Note 4 3 4 3" xfId="8683" xr:uid="{00000000-0005-0000-0000-0000F5270000}"/>
    <cellStyle name="Note 4 3 4 3 2" xfId="12710" xr:uid="{00000000-0005-0000-0000-0000F6270000}"/>
    <cellStyle name="Note 4 3 4 4" xfId="10713" xr:uid="{00000000-0005-0000-0000-0000F7270000}"/>
    <cellStyle name="Note 4 3 5" xfId="7701" xr:uid="{00000000-0005-0000-0000-0000F8270000}"/>
    <cellStyle name="Note 4 3 5 2" xfId="6947" xr:uid="{00000000-0005-0000-0000-0000F9270000}"/>
    <cellStyle name="Note 4 3 5 2 2" xfId="9821" xr:uid="{00000000-0005-0000-0000-0000FA270000}"/>
    <cellStyle name="Note 4 3 5 2 2 2" xfId="9264" xr:uid="{00000000-0005-0000-0000-0000FB270000}"/>
    <cellStyle name="Note 4 3 5 2 2 2 2" xfId="12898" xr:uid="{00000000-0005-0000-0000-0000FC270000}"/>
    <cellStyle name="Note 4 3 5 2 2 3" xfId="11237" xr:uid="{00000000-0005-0000-0000-0000FD270000}"/>
    <cellStyle name="Note 4 3 5 2 3" xfId="11794" xr:uid="{00000000-0005-0000-0000-0000FE270000}"/>
    <cellStyle name="Note 4 3 5 3" xfId="8756" xr:uid="{00000000-0005-0000-0000-0000FF270000}"/>
    <cellStyle name="Note 4 3 5 3 2" xfId="12406" xr:uid="{00000000-0005-0000-0000-000000280000}"/>
    <cellStyle name="Note 4 3 5 4" xfId="10786" xr:uid="{00000000-0005-0000-0000-000001280000}"/>
    <cellStyle name="Note 4 3 6" xfId="7710" xr:uid="{00000000-0005-0000-0000-000002280000}"/>
    <cellStyle name="Note 4 3 6 2" xfId="7174" xr:uid="{00000000-0005-0000-0000-000003280000}"/>
    <cellStyle name="Note 4 3 6 2 2" xfId="9830" xr:uid="{00000000-0005-0000-0000-000004280000}"/>
    <cellStyle name="Note 4 3 6 2 2 2" xfId="9430" xr:uid="{00000000-0005-0000-0000-000005280000}"/>
    <cellStyle name="Note 4 3 6 2 2 2 2" xfId="13060" xr:uid="{00000000-0005-0000-0000-000006280000}"/>
    <cellStyle name="Note 4 3 6 2 2 3" xfId="11403" xr:uid="{00000000-0005-0000-0000-000007280000}"/>
    <cellStyle name="Note 4 3 6 2 3" xfId="11803" xr:uid="{00000000-0005-0000-0000-000008280000}"/>
    <cellStyle name="Note 4 3 6 3" xfId="8765" xr:uid="{00000000-0005-0000-0000-000009280000}"/>
    <cellStyle name="Note 4 3 6 3 2" xfId="12413" xr:uid="{00000000-0005-0000-0000-00000A280000}"/>
    <cellStyle name="Note 4 3 6 4" xfId="10795" xr:uid="{00000000-0005-0000-0000-00000B280000}"/>
    <cellStyle name="Note 4 3 7" xfId="7858" xr:uid="{00000000-0005-0000-0000-00000C280000}"/>
    <cellStyle name="Note 4 3 7 2" xfId="8007" xr:uid="{00000000-0005-0000-0000-00000D280000}"/>
    <cellStyle name="Note 4 3 7 2 2" xfId="9949" xr:uid="{00000000-0005-0000-0000-00000E280000}"/>
    <cellStyle name="Note 4 3 7 2 2 2" xfId="10039" xr:uid="{00000000-0005-0000-0000-00000F280000}"/>
    <cellStyle name="Note 4 3 7 2 2 2 2" xfId="13241" xr:uid="{00000000-0005-0000-0000-000010280000}"/>
    <cellStyle name="Note 4 3 7 2 2 3" xfId="12012" xr:uid="{00000000-0005-0000-0000-000011280000}"/>
    <cellStyle name="Note 4 3 7 2 3" xfId="11922" xr:uid="{00000000-0005-0000-0000-000012280000}"/>
    <cellStyle name="Note 4 3 7 3" xfId="8106" xr:uid="{00000000-0005-0000-0000-000013280000}"/>
    <cellStyle name="Note 4 3 7 3 2" xfId="10136" xr:uid="{00000000-0005-0000-0000-000014280000}"/>
    <cellStyle name="Note 4 3 7 3 2 2" xfId="13329" xr:uid="{00000000-0005-0000-0000-000015280000}"/>
    <cellStyle name="Note 4 3 7 3 3" xfId="12109" xr:uid="{00000000-0005-0000-0000-000016280000}"/>
    <cellStyle name="Note 4 3 7 4" xfId="8905" xr:uid="{00000000-0005-0000-0000-000017280000}"/>
    <cellStyle name="Note 4 3 7 4 2" xfId="12456" xr:uid="{00000000-0005-0000-0000-000018280000}"/>
    <cellStyle name="Note 4 3 7 5" xfId="10935" xr:uid="{00000000-0005-0000-0000-000019280000}"/>
    <cellStyle name="Note 4 3 8" xfId="8313" xr:uid="{00000000-0005-0000-0000-00001A280000}"/>
    <cellStyle name="Note 4 3 8 2" xfId="8973" xr:uid="{00000000-0005-0000-0000-00001B280000}"/>
    <cellStyle name="Note 4 3 8 2 2" xfId="12529" xr:uid="{00000000-0005-0000-0000-00001C280000}"/>
    <cellStyle name="Note 4 3 8 3" xfId="11003" xr:uid="{00000000-0005-0000-0000-00001D280000}"/>
    <cellStyle name="Note 4 3 9" xfId="10343" xr:uid="{00000000-0005-0000-0000-00001E280000}"/>
    <cellStyle name="Note 4 4" xfId="2079" xr:uid="{00000000-0005-0000-0000-00001F280000}"/>
    <cellStyle name="Note 4 4 2" xfId="7714" xr:uid="{00000000-0005-0000-0000-000020280000}"/>
    <cellStyle name="Note 4 4 2 2" xfId="7238" xr:uid="{00000000-0005-0000-0000-000021280000}"/>
    <cellStyle name="Note 4 4 2 2 2" xfId="9834" xr:uid="{00000000-0005-0000-0000-000022280000}"/>
    <cellStyle name="Note 4 4 2 2 2 2" xfId="9475" xr:uid="{00000000-0005-0000-0000-000023280000}"/>
    <cellStyle name="Note 4 4 2 2 2 2 2" xfId="13101" xr:uid="{00000000-0005-0000-0000-000024280000}"/>
    <cellStyle name="Note 4 4 2 2 2 3" xfId="11448" xr:uid="{00000000-0005-0000-0000-000025280000}"/>
    <cellStyle name="Note 4 4 2 2 3" xfId="11807" xr:uid="{00000000-0005-0000-0000-000026280000}"/>
    <cellStyle name="Note 4 4 2 3" xfId="8769" xr:uid="{00000000-0005-0000-0000-000027280000}"/>
    <cellStyle name="Note 4 4 2 3 2" xfId="12743" xr:uid="{00000000-0005-0000-0000-000028280000}"/>
    <cellStyle name="Note 4 4 2 4" xfId="10799" xr:uid="{00000000-0005-0000-0000-000029280000}"/>
    <cellStyle name="Note 4 4 3" xfId="7560" xr:uid="{00000000-0005-0000-0000-00002A280000}"/>
    <cellStyle name="Note 4 4 3 2" xfId="7075" xr:uid="{00000000-0005-0000-0000-00002B280000}"/>
    <cellStyle name="Note 4 4 3 2 2" xfId="9717" xr:uid="{00000000-0005-0000-0000-00002C280000}"/>
    <cellStyle name="Note 4 4 3 2 2 2" xfId="9363" xr:uid="{00000000-0005-0000-0000-00002D280000}"/>
    <cellStyle name="Note 4 4 3 2 2 2 2" xfId="12994" xr:uid="{00000000-0005-0000-0000-00002E280000}"/>
    <cellStyle name="Note 4 4 3 2 2 3" xfId="11336" xr:uid="{00000000-0005-0000-0000-00002F280000}"/>
    <cellStyle name="Note 4 4 3 2 3" xfId="11690" xr:uid="{00000000-0005-0000-0000-000030280000}"/>
    <cellStyle name="Note 4 4 3 3" xfId="8625" xr:uid="{00000000-0005-0000-0000-000031280000}"/>
    <cellStyle name="Note 4 4 3 3 2" xfId="12331" xr:uid="{00000000-0005-0000-0000-000032280000}"/>
    <cellStyle name="Note 4 4 3 4" xfId="10655" xr:uid="{00000000-0005-0000-0000-000033280000}"/>
    <cellStyle name="Note 4 4 4" xfId="7450" xr:uid="{00000000-0005-0000-0000-000034280000}"/>
    <cellStyle name="Note 4 4 4 2" xfId="7002" xr:uid="{00000000-0005-0000-0000-000035280000}"/>
    <cellStyle name="Note 4 4 4 2 2" xfId="9304" xr:uid="{00000000-0005-0000-0000-000036280000}"/>
    <cellStyle name="Note 4 4 4 2 2 2" xfId="12937" xr:uid="{00000000-0005-0000-0000-000037280000}"/>
    <cellStyle name="Note 4 4 4 2 3" xfId="11277" xr:uid="{00000000-0005-0000-0000-000038280000}"/>
    <cellStyle name="Note 4 4 4 3" xfId="8519" xr:uid="{00000000-0005-0000-0000-000039280000}"/>
    <cellStyle name="Note 4 4 4 3 2" xfId="12654" xr:uid="{00000000-0005-0000-0000-00003A280000}"/>
    <cellStyle name="Note 4 4 4 4" xfId="10549" xr:uid="{00000000-0005-0000-0000-00003B280000}"/>
    <cellStyle name="Note 4 4 5" xfId="7334" xr:uid="{00000000-0005-0000-0000-00003C280000}"/>
    <cellStyle name="Note 4 4 5 2" xfId="6975" xr:uid="{00000000-0005-0000-0000-00003D280000}"/>
    <cellStyle name="Note 4 4 5 2 2" xfId="9543" xr:uid="{00000000-0005-0000-0000-00003E280000}"/>
    <cellStyle name="Note 4 4 5 2 2 2" xfId="9285" xr:uid="{00000000-0005-0000-0000-00003F280000}"/>
    <cellStyle name="Note 4 4 5 2 2 2 2" xfId="12918" xr:uid="{00000000-0005-0000-0000-000040280000}"/>
    <cellStyle name="Note 4 4 5 2 2 3" xfId="11258" xr:uid="{00000000-0005-0000-0000-000041280000}"/>
    <cellStyle name="Note 4 4 5 2 3" xfId="11516" xr:uid="{00000000-0005-0000-0000-000042280000}"/>
    <cellStyle name="Note 4 4 5 3" xfId="8406" xr:uid="{00000000-0005-0000-0000-000043280000}"/>
    <cellStyle name="Note 4 4 5 3 2" xfId="12206" xr:uid="{00000000-0005-0000-0000-000044280000}"/>
    <cellStyle name="Note 4 4 5 4" xfId="10436" xr:uid="{00000000-0005-0000-0000-000045280000}"/>
    <cellStyle name="Note 4 4 6" xfId="7549" xr:uid="{00000000-0005-0000-0000-000046280000}"/>
    <cellStyle name="Note 4 4 6 2" xfId="6836" xr:uid="{00000000-0005-0000-0000-000047280000}"/>
    <cellStyle name="Note 4 4 6 2 2" xfId="9708" xr:uid="{00000000-0005-0000-0000-000048280000}"/>
    <cellStyle name="Note 4 4 6 2 2 2" xfId="9179" xr:uid="{00000000-0005-0000-0000-000049280000}"/>
    <cellStyle name="Note 4 4 6 2 2 2 2" xfId="12819" xr:uid="{00000000-0005-0000-0000-00004A280000}"/>
    <cellStyle name="Note 4 4 6 2 2 3" xfId="11152" xr:uid="{00000000-0005-0000-0000-00004B280000}"/>
    <cellStyle name="Note 4 4 6 2 3" xfId="11681" xr:uid="{00000000-0005-0000-0000-00004C280000}"/>
    <cellStyle name="Note 4 4 6 3" xfId="8614" xr:uid="{00000000-0005-0000-0000-00004D280000}"/>
    <cellStyle name="Note 4 4 6 3 2" xfId="12324" xr:uid="{00000000-0005-0000-0000-00004E280000}"/>
    <cellStyle name="Note 4 4 6 4" xfId="10644" xr:uid="{00000000-0005-0000-0000-00004F280000}"/>
    <cellStyle name="Note 4 4 7" xfId="7879" xr:uid="{00000000-0005-0000-0000-000050280000}"/>
    <cellStyle name="Note 4 4 7 2" xfId="8028" xr:uid="{00000000-0005-0000-0000-000051280000}"/>
    <cellStyle name="Note 4 4 7 2 2" xfId="9970" xr:uid="{00000000-0005-0000-0000-000052280000}"/>
    <cellStyle name="Note 4 4 7 2 2 2" xfId="10060" xr:uid="{00000000-0005-0000-0000-000053280000}"/>
    <cellStyle name="Note 4 4 7 2 2 2 2" xfId="13262" xr:uid="{00000000-0005-0000-0000-000054280000}"/>
    <cellStyle name="Note 4 4 7 2 2 3" xfId="12033" xr:uid="{00000000-0005-0000-0000-000055280000}"/>
    <cellStyle name="Note 4 4 7 2 3" xfId="11943" xr:uid="{00000000-0005-0000-0000-000056280000}"/>
    <cellStyle name="Note 4 4 7 3" xfId="8127" xr:uid="{00000000-0005-0000-0000-000057280000}"/>
    <cellStyle name="Note 4 4 7 3 2" xfId="10157" xr:uid="{00000000-0005-0000-0000-000058280000}"/>
    <cellStyle name="Note 4 4 7 3 2 2" xfId="13350" xr:uid="{00000000-0005-0000-0000-000059280000}"/>
    <cellStyle name="Note 4 4 7 3 3" xfId="12130" xr:uid="{00000000-0005-0000-0000-00005A280000}"/>
    <cellStyle name="Note 4 4 7 4" xfId="8926" xr:uid="{00000000-0005-0000-0000-00005B280000}"/>
    <cellStyle name="Note 4 4 7 4 2" xfId="12477" xr:uid="{00000000-0005-0000-0000-00005C280000}"/>
    <cellStyle name="Note 4 4 7 5" xfId="10956" xr:uid="{00000000-0005-0000-0000-00005D280000}"/>
    <cellStyle name="Note 4 4 8" xfId="8334" xr:uid="{00000000-0005-0000-0000-00005E280000}"/>
    <cellStyle name="Note 4 4 8 2" xfId="9132" xr:uid="{00000000-0005-0000-0000-00005F280000}"/>
    <cellStyle name="Note 4 4 8 2 2" xfId="12550" xr:uid="{00000000-0005-0000-0000-000060280000}"/>
    <cellStyle name="Note 4 4 8 3" xfId="11105" xr:uid="{00000000-0005-0000-0000-000061280000}"/>
    <cellStyle name="Note 4 4 9" xfId="10364" xr:uid="{00000000-0005-0000-0000-000062280000}"/>
    <cellStyle name="Note 4 5" xfId="1899" xr:uid="{00000000-0005-0000-0000-000063280000}"/>
    <cellStyle name="Note 4 5 2" xfId="7677" xr:uid="{00000000-0005-0000-0000-000064280000}"/>
    <cellStyle name="Note 4 5 2 2" xfId="6828" xr:uid="{00000000-0005-0000-0000-000065280000}"/>
    <cellStyle name="Note 4 5 2 2 2" xfId="9802" xr:uid="{00000000-0005-0000-0000-000066280000}"/>
    <cellStyle name="Note 4 5 2 2 2 2" xfId="9172" xr:uid="{00000000-0005-0000-0000-000067280000}"/>
    <cellStyle name="Note 4 5 2 2 2 2 2" xfId="12812" xr:uid="{00000000-0005-0000-0000-000068280000}"/>
    <cellStyle name="Note 4 5 2 2 2 3" xfId="11145" xr:uid="{00000000-0005-0000-0000-000069280000}"/>
    <cellStyle name="Note 4 5 2 2 3" xfId="11775" xr:uid="{00000000-0005-0000-0000-00006A280000}"/>
    <cellStyle name="Note 4 5 2 3" xfId="8732" xr:uid="{00000000-0005-0000-0000-00006B280000}"/>
    <cellStyle name="Note 4 5 2 3 2" xfId="12732" xr:uid="{00000000-0005-0000-0000-00006C280000}"/>
    <cellStyle name="Note 4 5 2 4" xfId="10762" xr:uid="{00000000-0005-0000-0000-00006D280000}"/>
    <cellStyle name="Note 4 5 3" xfId="7669" xr:uid="{00000000-0005-0000-0000-00006E280000}"/>
    <cellStyle name="Note 4 5 3 2" xfId="7133" xr:uid="{00000000-0005-0000-0000-00006F280000}"/>
    <cellStyle name="Note 4 5 3 2 2" xfId="9796" xr:uid="{00000000-0005-0000-0000-000070280000}"/>
    <cellStyle name="Note 4 5 3 2 2 2" xfId="9405" xr:uid="{00000000-0005-0000-0000-000071280000}"/>
    <cellStyle name="Note 4 5 3 2 2 2 2" xfId="13035" xr:uid="{00000000-0005-0000-0000-000072280000}"/>
    <cellStyle name="Note 4 5 3 2 2 3" xfId="11378" xr:uid="{00000000-0005-0000-0000-000073280000}"/>
    <cellStyle name="Note 4 5 3 2 3" xfId="11769" xr:uid="{00000000-0005-0000-0000-000074280000}"/>
    <cellStyle name="Note 4 5 3 3" xfId="8725" xr:uid="{00000000-0005-0000-0000-000075280000}"/>
    <cellStyle name="Note 4 5 3 3 2" xfId="12385" xr:uid="{00000000-0005-0000-0000-000076280000}"/>
    <cellStyle name="Note 4 5 3 4" xfId="10755" xr:uid="{00000000-0005-0000-0000-000077280000}"/>
    <cellStyle name="Note 4 5 4" xfId="7395" xr:uid="{00000000-0005-0000-0000-000078280000}"/>
    <cellStyle name="Note 4 5 4 2" xfId="7228" xr:uid="{00000000-0005-0000-0000-000079280000}"/>
    <cellStyle name="Note 4 5 4 2 2" xfId="9467" xr:uid="{00000000-0005-0000-0000-00007A280000}"/>
    <cellStyle name="Note 4 5 4 2 2 2" xfId="13093" xr:uid="{00000000-0005-0000-0000-00007B280000}"/>
    <cellStyle name="Note 4 5 4 2 3" xfId="11440" xr:uid="{00000000-0005-0000-0000-00007C280000}"/>
    <cellStyle name="Note 4 5 4 3" xfId="8465" xr:uid="{00000000-0005-0000-0000-00007D280000}"/>
    <cellStyle name="Note 4 5 4 3 2" xfId="12629" xr:uid="{00000000-0005-0000-0000-00007E280000}"/>
    <cellStyle name="Note 4 5 4 4" xfId="10495" xr:uid="{00000000-0005-0000-0000-00007F280000}"/>
    <cellStyle name="Note 4 5 5" xfId="7337" xr:uid="{00000000-0005-0000-0000-000080280000}"/>
    <cellStyle name="Note 4 5 5 2" xfId="6822" xr:uid="{00000000-0005-0000-0000-000081280000}"/>
    <cellStyle name="Note 4 5 5 2 2" xfId="9546" xr:uid="{00000000-0005-0000-0000-000082280000}"/>
    <cellStyle name="Note 4 5 5 2 2 2" xfId="9169" xr:uid="{00000000-0005-0000-0000-000083280000}"/>
    <cellStyle name="Note 4 5 5 2 2 2 2" xfId="12809" xr:uid="{00000000-0005-0000-0000-000084280000}"/>
    <cellStyle name="Note 4 5 5 2 2 3" xfId="11142" xr:uid="{00000000-0005-0000-0000-000085280000}"/>
    <cellStyle name="Note 4 5 5 2 3" xfId="11519" xr:uid="{00000000-0005-0000-0000-000086280000}"/>
    <cellStyle name="Note 4 5 5 3" xfId="8409" xr:uid="{00000000-0005-0000-0000-000087280000}"/>
    <cellStyle name="Note 4 5 5 3 2" xfId="12208" xr:uid="{00000000-0005-0000-0000-000088280000}"/>
    <cellStyle name="Note 4 5 5 4" xfId="10439" xr:uid="{00000000-0005-0000-0000-000089280000}"/>
    <cellStyle name="Note 4 5 6" xfId="7446" xr:uid="{00000000-0005-0000-0000-00008A280000}"/>
    <cellStyle name="Note 4 5 6 2" xfId="6928" xr:uid="{00000000-0005-0000-0000-00008B280000}"/>
    <cellStyle name="Note 4 5 6 2 2" xfId="9625" xr:uid="{00000000-0005-0000-0000-00008C280000}"/>
    <cellStyle name="Note 4 5 6 2 2 2" xfId="9249" xr:uid="{00000000-0005-0000-0000-00008D280000}"/>
    <cellStyle name="Note 4 5 6 2 2 2 2" xfId="12883" xr:uid="{00000000-0005-0000-0000-00008E280000}"/>
    <cellStyle name="Note 4 5 6 2 2 3" xfId="11222" xr:uid="{00000000-0005-0000-0000-00008F280000}"/>
    <cellStyle name="Note 4 5 6 2 3" xfId="11598" xr:uid="{00000000-0005-0000-0000-000090280000}"/>
    <cellStyle name="Note 4 5 6 3" xfId="8515" xr:uid="{00000000-0005-0000-0000-000091280000}"/>
    <cellStyle name="Note 4 5 6 3 2" xfId="12259" xr:uid="{00000000-0005-0000-0000-000092280000}"/>
    <cellStyle name="Note 4 5 6 4" xfId="10545" xr:uid="{00000000-0005-0000-0000-000093280000}"/>
    <cellStyle name="Note 4 5 7" xfId="7872" xr:uid="{00000000-0005-0000-0000-000094280000}"/>
    <cellStyle name="Note 4 5 7 2" xfId="8021" xr:uid="{00000000-0005-0000-0000-000095280000}"/>
    <cellStyle name="Note 4 5 7 2 2" xfId="9963" xr:uid="{00000000-0005-0000-0000-000096280000}"/>
    <cellStyle name="Note 4 5 7 2 2 2" xfId="10053" xr:uid="{00000000-0005-0000-0000-000097280000}"/>
    <cellStyle name="Note 4 5 7 2 2 2 2" xfId="13255" xr:uid="{00000000-0005-0000-0000-000098280000}"/>
    <cellStyle name="Note 4 5 7 2 2 3" xfId="12026" xr:uid="{00000000-0005-0000-0000-000099280000}"/>
    <cellStyle name="Note 4 5 7 2 3" xfId="11936" xr:uid="{00000000-0005-0000-0000-00009A280000}"/>
    <cellStyle name="Note 4 5 7 3" xfId="8120" xr:uid="{00000000-0005-0000-0000-00009B280000}"/>
    <cellStyle name="Note 4 5 7 3 2" xfId="10150" xr:uid="{00000000-0005-0000-0000-00009C280000}"/>
    <cellStyle name="Note 4 5 7 3 2 2" xfId="13343" xr:uid="{00000000-0005-0000-0000-00009D280000}"/>
    <cellStyle name="Note 4 5 7 3 3" xfId="12123" xr:uid="{00000000-0005-0000-0000-00009E280000}"/>
    <cellStyle name="Note 4 5 7 4" xfId="8919" xr:uid="{00000000-0005-0000-0000-00009F280000}"/>
    <cellStyle name="Note 4 5 7 4 2" xfId="12470" xr:uid="{00000000-0005-0000-0000-0000A0280000}"/>
    <cellStyle name="Note 4 5 7 5" xfId="10949" xr:uid="{00000000-0005-0000-0000-0000A1280000}"/>
    <cellStyle name="Note 4 5 8" xfId="8327" xr:uid="{00000000-0005-0000-0000-0000A2280000}"/>
    <cellStyle name="Note 4 5 8 2" xfId="9125" xr:uid="{00000000-0005-0000-0000-0000A3280000}"/>
    <cellStyle name="Note 4 5 8 2 2" xfId="12543" xr:uid="{00000000-0005-0000-0000-0000A4280000}"/>
    <cellStyle name="Note 4 5 8 3" xfId="11098" xr:uid="{00000000-0005-0000-0000-0000A5280000}"/>
    <cellStyle name="Note 4 5 9" xfId="10357" xr:uid="{00000000-0005-0000-0000-0000A6280000}"/>
    <cellStyle name="Note 4 6" xfId="2768" xr:uid="{00000000-0005-0000-0000-0000A7280000}"/>
    <cellStyle name="Note 4 6 2" xfId="7511" xr:uid="{00000000-0005-0000-0000-0000A8280000}"/>
    <cellStyle name="Note 4 6 2 2" xfId="7165" xr:uid="{00000000-0005-0000-0000-0000A9280000}"/>
    <cellStyle name="Note 4 6 2 2 2" xfId="9677" xr:uid="{00000000-0005-0000-0000-0000AA280000}"/>
    <cellStyle name="Note 4 6 2 2 2 2" xfId="9426" xr:uid="{00000000-0005-0000-0000-0000AB280000}"/>
    <cellStyle name="Note 4 6 2 2 2 2 2" xfId="13056" xr:uid="{00000000-0005-0000-0000-0000AC280000}"/>
    <cellStyle name="Note 4 6 2 2 2 3" xfId="11399" xr:uid="{00000000-0005-0000-0000-0000AD280000}"/>
    <cellStyle name="Note 4 6 2 2 3" xfId="11650" xr:uid="{00000000-0005-0000-0000-0000AE280000}"/>
    <cellStyle name="Note 4 6 2 3" xfId="8578" xr:uid="{00000000-0005-0000-0000-0000AF280000}"/>
    <cellStyle name="Note 4 6 2 3 2" xfId="12672" xr:uid="{00000000-0005-0000-0000-0000B0280000}"/>
    <cellStyle name="Note 4 6 2 4" xfId="10608" xr:uid="{00000000-0005-0000-0000-0000B1280000}"/>
    <cellStyle name="Note 4 6 3" xfId="7572" xr:uid="{00000000-0005-0000-0000-0000B2280000}"/>
    <cellStyle name="Note 4 6 3 2" xfId="6820" xr:uid="{00000000-0005-0000-0000-0000B3280000}"/>
    <cellStyle name="Note 4 6 3 2 2" xfId="9726" xr:uid="{00000000-0005-0000-0000-0000B4280000}"/>
    <cellStyle name="Note 4 6 3 2 2 2" xfId="9167" xr:uid="{00000000-0005-0000-0000-0000B5280000}"/>
    <cellStyle name="Note 4 6 3 2 2 2 2" xfId="12807" xr:uid="{00000000-0005-0000-0000-0000B6280000}"/>
    <cellStyle name="Note 4 6 3 2 2 3" xfId="11140" xr:uid="{00000000-0005-0000-0000-0000B7280000}"/>
    <cellStyle name="Note 4 6 3 2 3" xfId="11699" xr:uid="{00000000-0005-0000-0000-0000B8280000}"/>
    <cellStyle name="Note 4 6 3 3" xfId="8636" xr:uid="{00000000-0005-0000-0000-0000B9280000}"/>
    <cellStyle name="Note 4 6 3 3 2" xfId="12337" xr:uid="{00000000-0005-0000-0000-0000BA280000}"/>
    <cellStyle name="Note 4 6 3 4" xfId="10666" xr:uid="{00000000-0005-0000-0000-0000BB280000}"/>
    <cellStyle name="Note 4 6 4" xfId="7427" xr:uid="{00000000-0005-0000-0000-0000BC280000}"/>
    <cellStyle name="Note 4 6 4 2" xfId="6875" xr:uid="{00000000-0005-0000-0000-0000BD280000}"/>
    <cellStyle name="Note 4 6 4 2 2" xfId="9212" xr:uid="{00000000-0005-0000-0000-0000BE280000}"/>
    <cellStyle name="Note 4 6 4 2 2 2" xfId="12849" xr:uid="{00000000-0005-0000-0000-0000BF280000}"/>
    <cellStyle name="Note 4 6 4 2 3" xfId="11185" xr:uid="{00000000-0005-0000-0000-0000C0280000}"/>
    <cellStyle name="Note 4 6 4 3" xfId="8497" xr:uid="{00000000-0005-0000-0000-0000C1280000}"/>
    <cellStyle name="Note 4 6 4 3 2" xfId="12644" xr:uid="{00000000-0005-0000-0000-0000C2280000}"/>
    <cellStyle name="Note 4 6 4 4" xfId="10527" xr:uid="{00000000-0005-0000-0000-0000C3280000}"/>
    <cellStyle name="Note 4 6 5" xfId="7546" xr:uid="{00000000-0005-0000-0000-0000C4280000}"/>
    <cellStyle name="Note 4 6 5 2" xfId="7031" xr:uid="{00000000-0005-0000-0000-0000C5280000}"/>
    <cellStyle name="Note 4 6 5 2 2" xfId="9706" xr:uid="{00000000-0005-0000-0000-0000C6280000}"/>
    <cellStyle name="Note 4 6 5 2 2 2" xfId="9327" xr:uid="{00000000-0005-0000-0000-0000C7280000}"/>
    <cellStyle name="Note 4 6 5 2 2 2 2" xfId="12958" xr:uid="{00000000-0005-0000-0000-0000C8280000}"/>
    <cellStyle name="Note 4 6 5 2 2 3" xfId="11300" xr:uid="{00000000-0005-0000-0000-0000C9280000}"/>
    <cellStyle name="Note 4 6 5 2 3" xfId="11679" xr:uid="{00000000-0005-0000-0000-0000CA280000}"/>
    <cellStyle name="Note 4 6 5 3" xfId="8612" xr:uid="{00000000-0005-0000-0000-0000CB280000}"/>
    <cellStyle name="Note 4 6 5 3 2" xfId="12322" xr:uid="{00000000-0005-0000-0000-0000CC280000}"/>
    <cellStyle name="Note 4 6 5 4" xfId="10642" xr:uid="{00000000-0005-0000-0000-0000CD280000}"/>
    <cellStyle name="Note 4 6 6" xfId="7298" xr:uid="{00000000-0005-0000-0000-0000CE280000}"/>
    <cellStyle name="Note 4 6 6 2" xfId="7149" xr:uid="{00000000-0005-0000-0000-0000CF280000}"/>
    <cellStyle name="Note 4 6 6 2 2" xfId="9518" xr:uid="{00000000-0005-0000-0000-0000D0280000}"/>
    <cellStyle name="Note 4 6 6 2 2 2" xfId="9414" xr:uid="{00000000-0005-0000-0000-0000D1280000}"/>
    <cellStyle name="Note 4 6 6 2 2 2 2" xfId="13044" xr:uid="{00000000-0005-0000-0000-0000D2280000}"/>
    <cellStyle name="Note 4 6 6 2 2 3" xfId="11387" xr:uid="{00000000-0005-0000-0000-0000D3280000}"/>
    <cellStyle name="Note 4 6 6 2 3" xfId="11491" xr:uid="{00000000-0005-0000-0000-0000D4280000}"/>
    <cellStyle name="Note 4 6 6 3" xfId="8371" xr:uid="{00000000-0005-0000-0000-0000D5280000}"/>
    <cellStyle name="Note 4 6 6 3 2" xfId="12188" xr:uid="{00000000-0005-0000-0000-0000D6280000}"/>
    <cellStyle name="Note 4 6 6 4" xfId="10401" xr:uid="{00000000-0005-0000-0000-0000D7280000}"/>
    <cellStyle name="Note 4 6 7" xfId="7890" xr:uid="{00000000-0005-0000-0000-0000D8280000}"/>
    <cellStyle name="Note 4 6 7 2" xfId="8038" xr:uid="{00000000-0005-0000-0000-0000D9280000}"/>
    <cellStyle name="Note 4 6 7 2 2" xfId="9979" xr:uid="{00000000-0005-0000-0000-0000DA280000}"/>
    <cellStyle name="Note 4 6 7 2 2 2" xfId="10070" xr:uid="{00000000-0005-0000-0000-0000DB280000}"/>
    <cellStyle name="Note 4 6 7 2 2 2 2" xfId="13271" xr:uid="{00000000-0005-0000-0000-0000DC280000}"/>
    <cellStyle name="Note 4 6 7 2 2 3" xfId="12043" xr:uid="{00000000-0005-0000-0000-0000DD280000}"/>
    <cellStyle name="Note 4 6 7 2 3" xfId="11952" xr:uid="{00000000-0005-0000-0000-0000DE280000}"/>
    <cellStyle name="Note 4 6 7 3" xfId="8136" xr:uid="{00000000-0005-0000-0000-0000DF280000}"/>
    <cellStyle name="Note 4 6 7 3 2" xfId="10166" xr:uid="{00000000-0005-0000-0000-0000E0280000}"/>
    <cellStyle name="Note 4 6 7 3 2 2" xfId="13359" xr:uid="{00000000-0005-0000-0000-0000E1280000}"/>
    <cellStyle name="Note 4 6 7 3 3" xfId="12139" xr:uid="{00000000-0005-0000-0000-0000E2280000}"/>
    <cellStyle name="Note 4 6 7 4" xfId="8936" xr:uid="{00000000-0005-0000-0000-0000E3280000}"/>
    <cellStyle name="Note 4 6 7 4 2" xfId="12486" xr:uid="{00000000-0005-0000-0000-0000E4280000}"/>
    <cellStyle name="Note 4 6 7 5" xfId="10966" xr:uid="{00000000-0005-0000-0000-0000E5280000}"/>
    <cellStyle name="Note 4 6 8" xfId="8343" xr:uid="{00000000-0005-0000-0000-0000E6280000}"/>
    <cellStyle name="Note 4 6 8 2" xfId="9141" xr:uid="{00000000-0005-0000-0000-0000E7280000}"/>
    <cellStyle name="Note 4 6 8 2 2" xfId="12559" xr:uid="{00000000-0005-0000-0000-0000E8280000}"/>
    <cellStyle name="Note 4 6 8 3" xfId="11114" xr:uid="{00000000-0005-0000-0000-0000E9280000}"/>
    <cellStyle name="Note 4 6 9" xfId="10373" xr:uid="{00000000-0005-0000-0000-0000EA280000}"/>
    <cellStyle name="Note 4 7" xfId="2802" xr:uid="{00000000-0005-0000-0000-0000EB280000}"/>
    <cellStyle name="Note 4 7 2" xfId="7471" xr:uid="{00000000-0005-0000-0000-0000EC280000}"/>
    <cellStyle name="Note 4 7 2 2" xfId="6961" xr:uid="{00000000-0005-0000-0000-0000ED280000}"/>
    <cellStyle name="Note 4 7 2 2 2" xfId="9642" xr:uid="{00000000-0005-0000-0000-0000EE280000}"/>
    <cellStyle name="Note 4 7 2 2 2 2" xfId="9275" xr:uid="{00000000-0005-0000-0000-0000EF280000}"/>
    <cellStyle name="Note 4 7 2 2 2 2 2" xfId="12909" xr:uid="{00000000-0005-0000-0000-0000F0280000}"/>
    <cellStyle name="Note 4 7 2 2 2 3" xfId="11248" xr:uid="{00000000-0005-0000-0000-0000F1280000}"/>
    <cellStyle name="Note 4 7 2 2 3" xfId="11615" xr:uid="{00000000-0005-0000-0000-0000F2280000}"/>
    <cellStyle name="Note 4 7 2 3" xfId="8538" xr:uid="{00000000-0005-0000-0000-0000F3280000}"/>
    <cellStyle name="Note 4 7 2 3 2" xfId="12662" xr:uid="{00000000-0005-0000-0000-0000F4280000}"/>
    <cellStyle name="Note 4 7 2 4" xfId="10568" xr:uid="{00000000-0005-0000-0000-0000F5280000}"/>
    <cellStyle name="Note 4 7 3" xfId="7711" xr:uid="{00000000-0005-0000-0000-0000F6280000}"/>
    <cellStyle name="Note 4 7 3 2" xfId="6931" xr:uid="{00000000-0005-0000-0000-0000F7280000}"/>
    <cellStyle name="Note 4 7 3 2 2" xfId="9831" xr:uid="{00000000-0005-0000-0000-0000F8280000}"/>
    <cellStyle name="Note 4 7 3 2 2 2" xfId="9252" xr:uid="{00000000-0005-0000-0000-0000F9280000}"/>
    <cellStyle name="Note 4 7 3 2 2 2 2" xfId="12886" xr:uid="{00000000-0005-0000-0000-0000FA280000}"/>
    <cellStyle name="Note 4 7 3 2 2 3" xfId="11225" xr:uid="{00000000-0005-0000-0000-0000FB280000}"/>
    <cellStyle name="Note 4 7 3 2 3" xfId="11804" xr:uid="{00000000-0005-0000-0000-0000FC280000}"/>
    <cellStyle name="Note 4 7 3 3" xfId="8766" xr:uid="{00000000-0005-0000-0000-0000FD280000}"/>
    <cellStyle name="Note 4 7 3 3 2" xfId="12414" xr:uid="{00000000-0005-0000-0000-0000FE280000}"/>
    <cellStyle name="Note 4 7 3 4" xfId="10796" xr:uid="{00000000-0005-0000-0000-0000FF280000}"/>
    <cellStyle name="Note 4 7 4" xfId="7332" xr:uid="{00000000-0005-0000-0000-000000290000}"/>
    <cellStyle name="Note 4 7 4 2" xfId="7017" xr:uid="{00000000-0005-0000-0000-000001290000}"/>
    <cellStyle name="Note 4 7 4 2 2" xfId="9315" xr:uid="{00000000-0005-0000-0000-000002290000}"/>
    <cellStyle name="Note 4 7 4 2 2 2" xfId="12948" xr:uid="{00000000-0005-0000-0000-000003290000}"/>
    <cellStyle name="Note 4 7 4 2 3" xfId="11288" xr:uid="{00000000-0005-0000-0000-000004290000}"/>
    <cellStyle name="Note 4 7 4 3" xfId="8404" xr:uid="{00000000-0005-0000-0000-000005290000}"/>
    <cellStyle name="Note 4 7 4 3 2" xfId="12600" xr:uid="{00000000-0005-0000-0000-000006290000}"/>
    <cellStyle name="Note 4 7 4 4" xfId="10434" xr:uid="{00000000-0005-0000-0000-000007290000}"/>
    <cellStyle name="Note 4 7 5" xfId="7457" xr:uid="{00000000-0005-0000-0000-000008290000}"/>
    <cellStyle name="Note 4 7 5 2" xfId="6932" xr:uid="{00000000-0005-0000-0000-000009290000}"/>
    <cellStyle name="Note 4 7 5 2 2" xfId="9633" xr:uid="{00000000-0005-0000-0000-00000A290000}"/>
    <cellStyle name="Note 4 7 5 2 2 2" xfId="9253" xr:uid="{00000000-0005-0000-0000-00000B290000}"/>
    <cellStyle name="Note 4 7 5 2 2 2 2" xfId="12887" xr:uid="{00000000-0005-0000-0000-00000C290000}"/>
    <cellStyle name="Note 4 7 5 2 2 3" xfId="11226" xr:uid="{00000000-0005-0000-0000-00000D290000}"/>
    <cellStyle name="Note 4 7 5 2 3" xfId="11606" xr:uid="{00000000-0005-0000-0000-00000E290000}"/>
    <cellStyle name="Note 4 7 5 3" xfId="8524" xr:uid="{00000000-0005-0000-0000-00000F290000}"/>
    <cellStyle name="Note 4 7 5 3 2" xfId="12267" xr:uid="{00000000-0005-0000-0000-000010290000}"/>
    <cellStyle name="Note 4 7 5 4" xfId="10554" xr:uid="{00000000-0005-0000-0000-000011290000}"/>
    <cellStyle name="Note 4 7 6" xfId="7451" xr:uid="{00000000-0005-0000-0000-000012290000}"/>
    <cellStyle name="Note 4 7 6 2" xfId="6964" xr:uid="{00000000-0005-0000-0000-000013290000}"/>
    <cellStyle name="Note 4 7 6 2 2" xfId="9629" xr:uid="{00000000-0005-0000-0000-000014290000}"/>
    <cellStyle name="Note 4 7 6 2 2 2" xfId="9278" xr:uid="{00000000-0005-0000-0000-000015290000}"/>
    <cellStyle name="Note 4 7 6 2 2 2 2" xfId="12912" xr:uid="{00000000-0005-0000-0000-000016290000}"/>
    <cellStyle name="Note 4 7 6 2 2 3" xfId="11251" xr:uid="{00000000-0005-0000-0000-000017290000}"/>
    <cellStyle name="Note 4 7 6 2 3" xfId="11602" xr:uid="{00000000-0005-0000-0000-000018290000}"/>
    <cellStyle name="Note 4 7 6 3" xfId="8520" xr:uid="{00000000-0005-0000-0000-000019290000}"/>
    <cellStyle name="Note 4 7 6 3 2" xfId="12263" xr:uid="{00000000-0005-0000-0000-00001A290000}"/>
    <cellStyle name="Note 4 7 6 4" xfId="10550" xr:uid="{00000000-0005-0000-0000-00001B290000}"/>
    <cellStyle name="Note 4 7 7" xfId="7897" xr:uid="{00000000-0005-0000-0000-00001C290000}"/>
    <cellStyle name="Note 4 7 7 2" xfId="8045" xr:uid="{00000000-0005-0000-0000-00001D290000}"/>
    <cellStyle name="Note 4 7 7 2 2" xfId="9986" xr:uid="{00000000-0005-0000-0000-00001E290000}"/>
    <cellStyle name="Note 4 7 7 2 2 2" xfId="10077" xr:uid="{00000000-0005-0000-0000-00001F290000}"/>
    <cellStyle name="Note 4 7 7 2 2 2 2" xfId="13278" xr:uid="{00000000-0005-0000-0000-000020290000}"/>
    <cellStyle name="Note 4 7 7 2 2 3" xfId="12050" xr:uid="{00000000-0005-0000-0000-000021290000}"/>
    <cellStyle name="Note 4 7 7 2 3" xfId="11959" xr:uid="{00000000-0005-0000-0000-000022290000}"/>
    <cellStyle name="Note 4 7 7 3" xfId="8143" xr:uid="{00000000-0005-0000-0000-000023290000}"/>
    <cellStyle name="Note 4 7 7 3 2" xfId="10173" xr:uid="{00000000-0005-0000-0000-000024290000}"/>
    <cellStyle name="Note 4 7 7 3 2 2" xfId="13366" xr:uid="{00000000-0005-0000-0000-000025290000}"/>
    <cellStyle name="Note 4 7 7 3 3" xfId="12146" xr:uid="{00000000-0005-0000-0000-000026290000}"/>
    <cellStyle name="Note 4 7 7 4" xfId="8943" xr:uid="{00000000-0005-0000-0000-000027290000}"/>
    <cellStyle name="Note 4 7 7 4 2" xfId="12493" xr:uid="{00000000-0005-0000-0000-000028290000}"/>
    <cellStyle name="Note 4 7 7 5" xfId="10973" xr:uid="{00000000-0005-0000-0000-000029290000}"/>
    <cellStyle name="Note 4 7 8" xfId="8350" xr:uid="{00000000-0005-0000-0000-00002A290000}"/>
    <cellStyle name="Note 4 7 8 2" xfId="9148" xr:uid="{00000000-0005-0000-0000-00002B290000}"/>
    <cellStyle name="Note 4 7 8 2 2" xfId="12566" xr:uid="{00000000-0005-0000-0000-00002C290000}"/>
    <cellStyle name="Note 4 7 8 3" xfId="11121" xr:uid="{00000000-0005-0000-0000-00002D290000}"/>
    <cellStyle name="Note 4 7 9" xfId="10380" xr:uid="{00000000-0005-0000-0000-00002E290000}"/>
    <cellStyle name="Note 4 8" xfId="4363" xr:uid="{00000000-0005-0000-0000-00002F290000}"/>
    <cellStyle name="Note 4 8 2" xfId="7362" xr:uid="{00000000-0005-0000-0000-000030290000}"/>
    <cellStyle name="Note 4 8 2 2" xfId="7096" xr:uid="{00000000-0005-0000-0000-000031290000}"/>
    <cellStyle name="Note 4 8 2 2 2" xfId="9563" xr:uid="{00000000-0005-0000-0000-000032290000}"/>
    <cellStyle name="Note 4 8 2 2 2 2" xfId="9379" xr:uid="{00000000-0005-0000-0000-000033290000}"/>
    <cellStyle name="Note 4 8 2 2 2 2 2" xfId="13009" xr:uid="{00000000-0005-0000-0000-000034290000}"/>
    <cellStyle name="Note 4 8 2 2 2 3" xfId="11352" xr:uid="{00000000-0005-0000-0000-000035290000}"/>
    <cellStyle name="Note 4 8 2 2 3" xfId="11536" xr:uid="{00000000-0005-0000-0000-000036290000}"/>
    <cellStyle name="Note 4 8 2 3" xfId="8433" xr:uid="{00000000-0005-0000-0000-000037290000}"/>
    <cellStyle name="Note 4 8 2 3 2" xfId="12614" xr:uid="{00000000-0005-0000-0000-000038290000}"/>
    <cellStyle name="Note 4 8 2 4" xfId="10463" xr:uid="{00000000-0005-0000-0000-000039290000}"/>
    <cellStyle name="Note 4 8 3" xfId="7424" xr:uid="{00000000-0005-0000-0000-00003A290000}"/>
    <cellStyle name="Note 4 8 3 2" xfId="6832" xr:uid="{00000000-0005-0000-0000-00003B290000}"/>
    <cellStyle name="Note 4 8 3 2 2" xfId="9609" xr:uid="{00000000-0005-0000-0000-00003C290000}"/>
    <cellStyle name="Note 4 8 3 2 2 2" xfId="9175" xr:uid="{00000000-0005-0000-0000-00003D290000}"/>
    <cellStyle name="Note 4 8 3 2 2 2 2" xfId="12815" xr:uid="{00000000-0005-0000-0000-00003E290000}"/>
    <cellStyle name="Note 4 8 3 2 2 3" xfId="11148" xr:uid="{00000000-0005-0000-0000-00003F290000}"/>
    <cellStyle name="Note 4 8 3 2 3" xfId="11582" xr:uid="{00000000-0005-0000-0000-000040290000}"/>
    <cellStyle name="Note 4 8 3 3" xfId="8494" xr:uid="{00000000-0005-0000-0000-000041290000}"/>
    <cellStyle name="Note 4 8 3 3 2" xfId="12250" xr:uid="{00000000-0005-0000-0000-000042290000}"/>
    <cellStyle name="Note 4 8 3 4" xfId="10524" xr:uid="{00000000-0005-0000-0000-000043290000}"/>
    <cellStyle name="Note 4 8 4" xfId="7625" xr:uid="{00000000-0005-0000-0000-000044290000}"/>
    <cellStyle name="Note 4 8 4 2" xfId="6888" xr:uid="{00000000-0005-0000-0000-000045290000}"/>
    <cellStyle name="Note 4 8 4 2 2" xfId="9221" xr:uid="{00000000-0005-0000-0000-000046290000}"/>
    <cellStyle name="Note 4 8 4 2 2 2" xfId="12857" xr:uid="{00000000-0005-0000-0000-000047290000}"/>
    <cellStyle name="Note 4 8 4 2 3" xfId="11194" xr:uid="{00000000-0005-0000-0000-000048290000}"/>
    <cellStyle name="Note 4 8 4 3" xfId="8686" xr:uid="{00000000-0005-0000-0000-000049290000}"/>
    <cellStyle name="Note 4 8 4 3 2" xfId="12712" xr:uid="{00000000-0005-0000-0000-00004A290000}"/>
    <cellStyle name="Note 4 8 4 4" xfId="10716" xr:uid="{00000000-0005-0000-0000-00004B290000}"/>
    <cellStyle name="Note 4 8 5" xfId="7306" xr:uid="{00000000-0005-0000-0000-00004C290000}"/>
    <cellStyle name="Note 4 8 5 2" xfId="6930" xr:uid="{00000000-0005-0000-0000-00004D290000}"/>
    <cellStyle name="Note 4 8 5 2 2" xfId="9524" xr:uid="{00000000-0005-0000-0000-00004E290000}"/>
    <cellStyle name="Note 4 8 5 2 2 2" xfId="9251" xr:uid="{00000000-0005-0000-0000-00004F290000}"/>
    <cellStyle name="Note 4 8 5 2 2 2 2" xfId="12885" xr:uid="{00000000-0005-0000-0000-000050290000}"/>
    <cellStyle name="Note 4 8 5 2 2 3" xfId="11224" xr:uid="{00000000-0005-0000-0000-000051290000}"/>
    <cellStyle name="Note 4 8 5 2 3" xfId="11497" xr:uid="{00000000-0005-0000-0000-000052290000}"/>
    <cellStyle name="Note 4 8 5 3" xfId="8379" xr:uid="{00000000-0005-0000-0000-000053290000}"/>
    <cellStyle name="Note 4 8 5 3 2" xfId="12193" xr:uid="{00000000-0005-0000-0000-000054290000}"/>
    <cellStyle name="Note 4 8 5 4" xfId="10409" xr:uid="{00000000-0005-0000-0000-000055290000}"/>
    <cellStyle name="Note 4 8 6" xfId="7720" xr:uid="{00000000-0005-0000-0000-000056290000}"/>
    <cellStyle name="Note 4 8 6 2" xfId="6837" xr:uid="{00000000-0005-0000-0000-000057290000}"/>
    <cellStyle name="Note 4 8 6 2 2" xfId="9838" xr:uid="{00000000-0005-0000-0000-000058290000}"/>
    <cellStyle name="Note 4 8 6 2 2 2" xfId="9180" xr:uid="{00000000-0005-0000-0000-000059290000}"/>
    <cellStyle name="Note 4 8 6 2 2 2 2" xfId="12820" xr:uid="{00000000-0005-0000-0000-00005A290000}"/>
    <cellStyle name="Note 4 8 6 2 2 3" xfId="11153" xr:uid="{00000000-0005-0000-0000-00005B290000}"/>
    <cellStyle name="Note 4 8 6 2 3" xfId="11811" xr:uid="{00000000-0005-0000-0000-00005C290000}"/>
    <cellStyle name="Note 4 8 6 3" xfId="8775" xr:uid="{00000000-0005-0000-0000-00005D290000}"/>
    <cellStyle name="Note 4 8 6 3 2" xfId="12420" xr:uid="{00000000-0005-0000-0000-00005E290000}"/>
    <cellStyle name="Note 4 8 6 4" xfId="10805" xr:uid="{00000000-0005-0000-0000-00005F290000}"/>
    <cellStyle name="Note 4 8 7" xfId="7907" xr:uid="{00000000-0005-0000-0000-000060290000}"/>
    <cellStyle name="Note 4 8 7 2" xfId="8055" xr:uid="{00000000-0005-0000-0000-000061290000}"/>
    <cellStyle name="Note 4 8 7 2 2" xfId="9993" xr:uid="{00000000-0005-0000-0000-000062290000}"/>
    <cellStyle name="Note 4 8 7 2 2 2" xfId="10087" xr:uid="{00000000-0005-0000-0000-000063290000}"/>
    <cellStyle name="Note 4 8 7 2 2 2 2" xfId="13285" xr:uid="{00000000-0005-0000-0000-000064290000}"/>
    <cellStyle name="Note 4 8 7 2 2 3" xfId="12060" xr:uid="{00000000-0005-0000-0000-000065290000}"/>
    <cellStyle name="Note 4 8 7 2 3" xfId="11966" xr:uid="{00000000-0005-0000-0000-000066290000}"/>
    <cellStyle name="Note 4 8 7 3" xfId="8150" xr:uid="{00000000-0005-0000-0000-000067290000}"/>
    <cellStyle name="Note 4 8 7 3 2" xfId="10180" xr:uid="{00000000-0005-0000-0000-000068290000}"/>
    <cellStyle name="Note 4 8 7 3 2 2" xfId="13373" xr:uid="{00000000-0005-0000-0000-000069290000}"/>
    <cellStyle name="Note 4 8 7 3 3" xfId="12153" xr:uid="{00000000-0005-0000-0000-00006A290000}"/>
    <cellStyle name="Note 4 8 7 4" xfId="8953" xr:uid="{00000000-0005-0000-0000-00006B290000}"/>
    <cellStyle name="Note 4 8 7 4 2" xfId="12500" xr:uid="{00000000-0005-0000-0000-00006C290000}"/>
    <cellStyle name="Note 4 8 7 5" xfId="10983" xr:uid="{00000000-0005-0000-0000-00006D290000}"/>
    <cellStyle name="Note 4 8 8" xfId="8357" xr:uid="{00000000-0005-0000-0000-00006E290000}"/>
    <cellStyle name="Note 4 8 8 2" xfId="9155" xr:uid="{00000000-0005-0000-0000-00006F290000}"/>
    <cellStyle name="Note 4 8 8 2 2" xfId="12573" xr:uid="{00000000-0005-0000-0000-000070290000}"/>
    <cellStyle name="Note 4 8 8 3" xfId="11128" xr:uid="{00000000-0005-0000-0000-000071290000}"/>
    <cellStyle name="Note 4 8 9" xfId="10387" xr:uid="{00000000-0005-0000-0000-000072290000}"/>
    <cellStyle name="Note 4 9" xfId="5842" xr:uid="{00000000-0005-0000-0000-000073290000}"/>
    <cellStyle name="Note 4 9 2" xfId="7523" xr:uid="{00000000-0005-0000-0000-000074290000}"/>
    <cellStyle name="Note 4 9 2 2" xfId="7188" xr:uid="{00000000-0005-0000-0000-000075290000}"/>
    <cellStyle name="Note 4 9 2 2 2" xfId="9688" xr:uid="{00000000-0005-0000-0000-000076290000}"/>
    <cellStyle name="Note 4 9 2 2 2 2" xfId="9438" xr:uid="{00000000-0005-0000-0000-000077290000}"/>
    <cellStyle name="Note 4 9 2 2 2 2 2" xfId="13068" xr:uid="{00000000-0005-0000-0000-000078290000}"/>
    <cellStyle name="Note 4 9 2 2 2 3" xfId="11411" xr:uid="{00000000-0005-0000-0000-000079290000}"/>
    <cellStyle name="Note 4 9 2 2 3" xfId="11661" xr:uid="{00000000-0005-0000-0000-00007A290000}"/>
    <cellStyle name="Note 4 9 2 3" xfId="8589" xr:uid="{00000000-0005-0000-0000-00007B290000}"/>
    <cellStyle name="Note 4 9 2 3 2" xfId="12675" xr:uid="{00000000-0005-0000-0000-00007C290000}"/>
    <cellStyle name="Note 4 9 2 4" xfId="10619" xr:uid="{00000000-0005-0000-0000-00007D290000}"/>
    <cellStyle name="Note 4 9 3" xfId="7479" xr:uid="{00000000-0005-0000-0000-00007E290000}"/>
    <cellStyle name="Note 4 9 3 2" xfId="6850" xr:uid="{00000000-0005-0000-0000-00007F290000}"/>
    <cellStyle name="Note 4 9 3 2 2" xfId="9650" xr:uid="{00000000-0005-0000-0000-000080290000}"/>
    <cellStyle name="Note 4 9 3 2 2 2" xfId="9189" xr:uid="{00000000-0005-0000-0000-000081290000}"/>
    <cellStyle name="Note 4 9 3 2 2 2 2" xfId="12829" xr:uid="{00000000-0005-0000-0000-000082290000}"/>
    <cellStyle name="Note 4 9 3 2 2 3" xfId="11162" xr:uid="{00000000-0005-0000-0000-000083290000}"/>
    <cellStyle name="Note 4 9 3 2 3" xfId="11623" xr:uid="{00000000-0005-0000-0000-000084290000}"/>
    <cellStyle name="Note 4 9 3 3" xfId="8546" xr:uid="{00000000-0005-0000-0000-000085290000}"/>
    <cellStyle name="Note 4 9 3 3 2" xfId="12279" xr:uid="{00000000-0005-0000-0000-000086290000}"/>
    <cellStyle name="Note 4 9 3 4" xfId="10576" xr:uid="{00000000-0005-0000-0000-000087290000}"/>
    <cellStyle name="Note 4 9 4" xfId="7307" xr:uid="{00000000-0005-0000-0000-000088290000}"/>
    <cellStyle name="Note 4 9 4 2" xfId="6939" xr:uid="{00000000-0005-0000-0000-000089290000}"/>
    <cellStyle name="Note 4 9 4 2 2" xfId="9257" xr:uid="{00000000-0005-0000-0000-00008A290000}"/>
    <cellStyle name="Note 4 9 4 2 2 2" xfId="12891" xr:uid="{00000000-0005-0000-0000-00008B290000}"/>
    <cellStyle name="Note 4 9 4 2 3" xfId="11230" xr:uid="{00000000-0005-0000-0000-00008C290000}"/>
    <cellStyle name="Note 4 9 4 3" xfId="8380" xr:uid="{00000000-0005-0000-0000-00008D290000}"/>
    <cellStyle name="Note 4 9 4 3 2" xfId="12587" xr:uid="{00000000-0005-0000-0000-00008E290000}"/>
    <cellStyle name="Note 4 9 4 4" xfId="10410" xr:uid="{00000000-0005-0000-0000-00008F290000}"/>
    <cellStyle name="Note 4 9 5" xfId="7655" xr:uid="{00000000-0005-0000-0000-000090290000}"/>
    <cellStyle name="Note 4 9 5 2" xfId="7071" xr:uid="{00000000-0005-0000-0000-000091290000}"/>
    <cellStyle name="Note 4 9 5 2 2" xfId="9785" xr:uid="{00000000-0005-0000-0000-000092290000}"/>
    <cellStyle name="Note 4 9 5 2 2 2" xfId="9360" xr:uid="{00000000-0005-0000-0000-000093290000}"/>
    <cellStyle name="Note 4 9 5 2 2 2 2" xfId="12991" xr:uid="{00000000-0005-0000-0000-000094290000}"/>
    <cellStyle name="Note 4 9 5 2 2 3" xfId="11333" xr:uid="{00000000-0005-0000-0000-000095290000}"/>
    <cellStyle name="Note 4 9 5 2 3" xfId="11758" xr:uid="{00000000-0005-0000-0000-000096290000}"/>
    <cellStyle name="Note 4 9 5 3" xfId="8712" xr:uid="{00000000-0005-0000-0000-000097290000}"/>
    <cellStyle name="Note 4 9 5 3 2" xfId="12379" xr:uid="{00000000-0005-0000-0000-000098290000}"/>
    <cellStyle name="Note 4 9 5 4" xfId="10742" xr:uid="{00000000-0005-0000-0000-000099290000}"/>
    <cellStyle name="Note 4 9 6" xfId="7443" xr:uid="{00000000-0005-0000-0000-00009A290000}"/>
    <cellStyle name="Note 4 9 6 2" xfId="7140" xr:uid="{00000000-0005-0000-0000-00009B290000}"/>
    <cellStyle name="Note 4 9 6 2 2" xfId="9624" xr:uid="{00000000-0005-0000-0000-00009C290000}"/>
    <cellStyle name="Note 4 9 6 2 2 2" xfId="9409" xr:uid="{00000000-0005-0000-0000-00009D290000}"/>
    <cellStyle name="Note 4 9 6 2 2 2 2" xfId="13039" xr:uid="{00000000-0005-0000-0000-00009E290000}"/>
    <cellStyle name="Note 4 9 6 2 2 3" xfId="11382" xr:uid="{00000000-0005-0000-0000-00009F290000}"/>
    <cellStyle name="Note 4 9 6 2 3" xfId="11597" xr:uid="{00000000-0005-0000-0000-0000A0290000}"/>
    <cellStyle name="Note 4 9 6 3" xfId="8513" xr:uid="{00000000-0005-0000-0000-0000A1290000}"/>
    <cellStyle name="Note 4 9 6 3 2" xfId="12258" xr:uid="{00000000-0005-0000-0000-0000A2290000}"/>
    <cellStyle name="Note 4 9 6 4" xfId="10543" xr:uid="{00000000-0005-0000-0000-0000A3290000}"/>
    <cellStyle name="Note 4 9 7" xfId="7916" xr:uid="{00000000-0005-0000-0000-0000A4290000}"/>
    <cellStyle name="Note 4 9 7 2" xfId="8063" xr:uid="{00000000-0005-0000-0000-0000A5290000}"/>
    <cellStyle name="Note 4 9 7 2 2" xfId="10001" xr:uid="{00000000-0005-0000-0000-0000A6290000}"/>
    <cellStyle name="Note 4 9 7 2 2 2" xfId="10094" xr:uid="{00000000-0005-0000-0000-0000A7290000}"/>
    <cellStyle name="Note 4 9 7 2 2 2 2" xfId="13292" xr:uid="{00000000-0005-0000-0000-0000A8290000}"/>
    <cellStyle name="Note 4 9 7 2 2 3" xfId="12067" xr:uid="{00000000-0005-0000-0000-0000A9290000}"/>
    <cellStyle name="Note 4 9 7 2 3" xfId="11974" xr:uid="{00000000-0005-0000-0000-0000AA290000}"/>
    <cellStyle name="Note 4 9 7 3" xfId="8158" xr:uid="{00000000-0005-0000-0000-0000AB290000}"/>
    <cellStyle name="Note 4 9 7 3 2" xfId="10188" xr:uid="{00000000-0005-0000-0000-0000AC290000}"/>
    <cellStyle name="Note 4 9 7 3 2 2" xfId="13380" xr:uid="{00000000-0005-0000-0000-0000AD290000}"/>
    <cellStyle name="Note 4 9 7 3 3" xfId="12161" xr:uid="{00000000-0005-0000-0000-0000AE290000}"/>
    <cellStyle name="Note 4 9 7 4" xfId="8962" xr:uid="{00000000-0005-0000-0000-0000AF290000}"/>
    <cellStyle name="Note 4 9 7 4 2" xfId="12507" xr:uid="{00000000-0005-0000-0000-0000B0290000}"/>
    <cellStyle name="Note 4 9 7 5" xfId="10992" xr:uid="{00000000-0005-0000-0000-0000B1290000}"/>
    <cellStyle name="Note 4 9 8" xfId="8364" xr:uid="{00000000-0005-0000-0000-0000B2290000}"/>
    <cellStyle name="Note 4 9 8 2" xfId="9162" xr:uid="{00000000-0005-0000-0000-0000B3290000}"/>
    <cellStyle name="Note 4 9 8 2 2" xfId="12580" xr:uid="{00000000-0005-0000-0000-0000B4290000}"/>
    <cellStyle name="Note 4 9 8 3" xfId="11135" xr:uid="{00000000-0005-0000-0000-0000B5290000}"/>
    <cellStyle name="Note 4 9 9" xfId="10394" xr:uid="{00000000-0005-0000-0000-0000B6290000}"/>
    <cellStyle name="Note 5" xfId="1470" xr:uid="{00000000-0005-0000-0000-0000B7290000}"/>
    <cellStyle name="Note 5 10" xfId="7407" xr:uid="{00000000-0005-0000-0000-0000B8290000}"/>
    <cellStyle name="Note 5 10 2" xfId="7221" xr:uid="{00000000-0005-0000-0000-0000B9290000}"/>
    <cellStyle name="Note 5 10 2 2" xfId="9596" xr:uid="{00000000-0005-0000-0000-0000BA290000}"/>
    <cellStyle name="Note 5 10 2 2 2" xfId="9462" xr:uid="{00000000-0005-0000-0000-0000BB290000}"/>
    <cellStyle name="Note 5 10 2 2 2 2" xfId="13088" xr:uid="{00000000-0005-0000-0000-0000BC290000}"/>
    <cellStyle name="Note 5 10 2 2 3" xfId="11435" xr:uid="{00000000-0005-0000-0000-0000BD290000}"/>
    <cellStyle name="Note 5 10 2 3" xfId="11569" xr:uid="{00000000-0005-0000-0000-0000BE290000}"/>
    <cellStyle name="Note 5 10 3" xfId="8477" xr:uid="{00000000-0005-0000-0000-0000BF290000}"/>
    <cellStyle name="Note 5 10 3 2" xfId="12636" xr:uid="{00000000-0005-0000-0000-0000C0290000}"/>
    <cellStyle name="Note 5 10 4" xfId="10507" xr:uid="{00000000-0005-0000-0000-0000C1290000}"/>
    <cellStyle name="Note 5 11" xfId="7561" xr:uid="{00000000-0005-0000-0000-0000C2290000}"/>
    <cellStyle name="Note 5 11 2" xfId="6976" xr:uid="{00000000-0005-0000-0000-0000C3290000}"/>
    <cellStyle name="Note 5 11 2 2" xfId="9718" xr:uid="{00000000-0005-0000-0000-0000C4290000}"/>
    <cellStyle name="Note 5 11 2 2 2" xfId="9286" xr:uid="{00000000-0005-0000-0000-0000C5290000}"/>
    <cellStyle name="Note 5 11 2 2 2 2" xfId="12919" xr:uid="{00000000-0005-0000-0000-0000C6290000}"/>
    <cellStyle name="Note 5 11 2 2 3" xfId="11259" xr:uid="{00000000-0005-0000-0000-0000C7290000}"/>
    <cellStyle name="Note 5 11 2 3" xfId="11691" xr:uid="{00000000-0005-0000-0000-0000C8290000}"/>
    <cellStyle name="Note 5 11 3" xfId="8626" xr:uid="{00000000-0005-0000-0000-0000C9290000}"/>
    <cellStyle name="Note 5 11 3 2" xfId="12332" xr:uid="{00000000-0005-0000-0000-0000CA290000}"/>
    <cellStyle name="Note 5 11 4" xfId="10656" xr:uid="{00000000-0005-0000-0000-0000CB290000}"/>
    <cellStyle name="Note 5 12" xfId="7421" xr:uid="{00000000-0005-0000-0000-0000CC290000}"/>
    <cellStyle name="Note 5 12 2" xfId="6900" xr:uid="{00000000-0005-0000-0000-0000CD290000}"/>
    <cellStyle name="Note 5 12 2 2" xfId="9228" xr:uid="{00000000-0005-0000-0000-0000CE290000}"/>
    <cellStyle name="Note 5 12 2 2 2" xfId="12864" xr:uid="{00000000-0005-0000-0000-0000CF290000}"/>
    <cellStyle name="Note 5 12 2 3" xfId="11201" xr:uid="{00000000-0005-0000-0000-0000D0290000}"/>
    <cellStyle name="Note 5 12 3" xfId="8491" xr:uid="{00000000-0005-0000-0000-0000D1290000}"/>
    <cellStyle name="Note 5 12 3 2" xfId="12642" xr:uid="{00000000-0005-0000-0000-0000D2290000}"/>
    <cellStyle name="Note 5 12 4" xfId="10521" xr:uid="{00000000-0005-0000-0000-0000D3290000}"/>
    <cellStyle name="Note 5 13" xfId="7640" xr:uid="{00000000-0005-0000-0000-0000D4290000}"/>
    <cellStyle name="Note 5 13 2" xfId="7229" xr:uid="{00000000-0005-0000-0000-0000D5290000}"/>
    <cellStyle name="Note 5 13 2 2" xfId="9773" xr:uid="{00000000-0005-0000-0000-0000D6290000}"/>
    <cellStyle name="Note 5 13 2 2 2" xfId="9468" xr:uid="{00000000-0005-0000-0000-0000D7290000}"/>
    <cellStyle name="Note 5 13 2 2 2 2" xfId="13094" xr:uid="{00000000-0005-0000-0000-0000D8290000}"/>
    <cellStyle name="Note 5 13 2 2 3" xfId="11441" xr:uid="{00000000-0005-0000-0000-0000D9290000}"/>
    <cellStyle name="Note 5 13 2 3" xfId="11746" xr:uid="{00000000-0005-0000-0000-0000DA290000}"/>
    <cellStyle name="Note 5 13 3" xfId="8699" xr:uid="{00000000-0005-0000-0000-0000DB290000}"/>
    <cellStyle name="Note 5 13 3 2" xfId="12371" xr:uid="{00000000-0005-0000-0000-0000DC290000}"/>
    <cellStyle name="Note 5 13 4" xfId="10729" xr:uid="{00000000-0005-0000-0000-0000DD290000}"/>
    <cellStyle name="Note 5 14" xfId="7303" xr:uid="{00000000-0005-0000-0000-0000DE290000}"/>
    <cellStyle name="Note 5 14 2" xfId="6913" xr:uid="{00000000-0005-0000-0000-0000DF290000}"/>
    <cellStyle name="Note 5 14 2 2" xfId="9522" xr:uid="{00000000-0005-0000-0000-0000E0290000}"/>
    <cellStyle name="Note 5 14 2 2 2" xfId="9237" xr:uid="{00000000-0005-0000-0000-0000E1290000}"/>
    <cellStyle name="Note 5 14 2 2 2 2" xfId="12873" xr:uid="{00000000-0005-0000-0000-0000E2290000}"/>
    <cellStyle name="Note 5 14 2 2 3" xfId="11210" xr:uid="{00000000-0005-0000-0000-0000E3290000}"/>
    <cellStyle name="Note 5 14 2 3" xfId="11495" xr:uid="{00000000-0005-0000-0000-0000E4290000}"/>
    <cellStyle name="Note 5 14 3" xfId="8376" xr:uid="{00000000-0005-0000-0000-0000E5290000}"/>
    <cellStyle name="Note 5 14 3 2" xfId="12191" xr:uid="{00000000-0005-0000-0000-0000E6290000}"/>
    <cellStyle name="Note 5 14 4" xfId="10406" xr:uid="{00000000-0005-0000-0000-0000E7290000}"/>
    <cellStyle name="Note 5 15" xfId="7816" xr:uid="{00000000-0005-0000-0000-0000E8290000}"/>
    <cellStyle name="Note 5 15 2" xfId="7965" xr:uid="{00000000-0005-0000-0000-0000E9290000}"/>
    <cellStyle name="Note 5 15 2 2" xfId="9919" xr:uid="{00000000-0005-0000-0000-0000EA290000}"/>
    <cellStyle name="Note 5 15 2 2 2" xfId="10023" xr:uid="{00000000-0005-0000-0000-0000EB290000}"/>
    <cellStyle name="Note 5 15 2 2 2 2" xfId="13237" xr:uid="{00000000-0005-0000-0000-0000EC290000}"/>
    <cellStyle name="Note 5 15 2 2 3" xfId="11996" xr:uid="{00000000-0005-0000-0000-0000ED290000}"/>
    <cellStyle name="Note 5 15 2 3" xfId="11892" xr:uid="{00000000-0005-0000-0000-0000EE290000}"/>
    <cellStyle name="Note 5 15 3" xfId="8076" xr:uid="{00000000-0005-0000-0000-0000EF290000}"/>
    <cellStyle name="Note 5 15 3 2" xfId="10106" xr:uid="{00000000-0005-0000-0000-0000F0290000}"/>
    <cellStyle name="Note 5 15 3 2 2" xfId="13300" xr:uid="{00000000-0005-0000-0000-0000F1290000}"/>
    <cellStyle name="Note 5 15 3 3" xfId="12079" xr:uid="{00000000-0005-0000-0000-0000F2290000}"/>
    <cellStyle name="Note 5 15 4" xfId="8863" xr:uid="{00000000-0005-0000-0000-0000F3290000}"/>
    <cellStyle name="Note 5 15 4 2" xfId="12452" xr:uid="{00000000-0005-0000-0000-0000F4290000}"/>
    <cellStyle name="Note 5 15 5" xfId="10893" xr:uid="{00000000-0005-0000-0000-0000F5290000}"/>
    <cellStyle name="Note 5 16" xfId="8272" xr:uid="{00000000-0005-0000-0000-0000F6290000}"/>
    <cellStyle name="Note 5 16 2" xfId="9017" xr:uid="{00000000-0005-0000-0000-0000F7290000}"/>
    <cellStyle name="Note 5 16 2 2" xfId="12524" xr:uid="{00000000-0005-0000-0000-0000F8290000}"/>
    <cellStyle name="Note 5 16 3" xfId="11036" xr:uid="{00000000-0005-0000-0000-0000F9290000}"/>
    <cellStyle name="Note 5 17" xfId="10302" xr:uid="{00000000-0005-0000-0000-0000FA290000}"/>
    <cellStyle name="Note 5 2" xfId="1747" xr:uid="{00000000-0005-0000-0000-0000FB290000}"/>
    <cellStyle name="Note 5 2 2" xfId="7667" xr:uid="{00000000-0005-0000-0000-0000FC290000}"/>
    <cellStyle name="Note 5 2 2 2" xfId="6929" xr:uid="{00000000-0005-0000-0000-0000FD290000}"/>
    <cellStyle name="Note 5 2 2 2 2" xfId="9794" xr:uid="{00000000-0005-0000-0000-0000FE290000}"/>
    <cellStyle name="Note 5 2 2 2 2 2" xfId="9250" xr:uid="{00000000-0005-0000-0000-0000FF290000}"/>
    <cellStyle name="Note 5 2 2 2 2 2 2" xfId="12884" xr:uid="{00000000-0005-0000-0000-0000002A0000}"/>
    <cellStyle name="Note 5 2 2 2 2 3" xfId="11223" xr:uid="{00000000-0005-0000-0000-0000012A0000}"/>
    <cellStyle name="Note 5 2 2 2 3" xfId="11767" xr:uid="{00000000-0005-0000-0000-0000022A0000}"/>
    <cellStyle name="Note 5 2 2 3" xfId="8723" xr:uid="{00000000-0005-0000-0000-0000032A0000}"/>
    <cellStyle name="Note 5 2 2 3 2" xfId="12728" xr:uid="{00000000-0005-0000-0000-0000042A0000}"/>
    <cellStyle name="Note 5 2 2 4" xfId="10753" xr:uid="{00000000-0005-0000-0000-0000052A0000}"/>
    <cellStyle name="Note 5 2 3" xfId="7477" xr:uid="{00000000-0005-0000-0000-0000062A0000}"/>
    <cellStyle name="Note 5 2 3 2" xfId="7268" xr:uid="{00000000-0005-0000-0000-0000072A0000}"/>
    <cellStyle name="Note 5 2 3 2 2" xfId="9648" xr:uid="{00000000-0005-0000-0000-0000082A0000}"/>
    <cellStyle name="Note 5 2 3 2 2 2" xfId="9495" xr:uid="{00000000-0005-0000-0000-0000092A0000}"/>
    <cellStyle name="Note 5 2 3 2 2 2 2" xfId="13119" xr:uid="{00000000-0005-0000-0000-00000A2A0000}"/>
    <cellStyle name="Note 5 2 3 2 2 3" xfId="11468" xr:uid="{00000000-0005-0000-0000-00000B2A0000}"/>
    <cellStyle name="Note 5 2 3 2 3" xfId="11621" xr:uid="{00000000-0005-0000-0000-00000C2A0000}"/>
    <cellStyle name="Note 5 2 3 3" xfId="8544" xr:uid="{00000000-0005-0000-0000-00000D2A0000}"/>
    <cellStyle name="Note 5 2 3 3 2" xfId="12277" xr:uid="{00000000-0005-0000-0000-00000E2A0000}"/>
    <cellStyle name="Note 5 2 3 4" xfId="10574" xr:uid="{00000000-0005-0000-0000-00000F2A0000}"/>
    <cellStyle name="Note 5 2 4" xfId="7602" xr:uid="{00000000-0005-0000-0000-0000102A0000}"/>
    <cellStyle name="Note 5 2 4 2" xfId="6863" xr:uid="{00000000-0005-0000-0000-0000112A0000}"/>
    <cellStyle name="Note 5 2 4 2 2" xfId="9201" xr:uid="{00000000-0005-0000-0000-0000122A0000}"/>
    <cellStyle name="Note 5 2 4 2 2 2" xfId="12840" xr:uid="{00000000-0005-0000-0000-0000132A0000}"/>
    <cellStyle name="Note 5 2 4 2 3" xfId="11174" xr:uid="{00000000-0005-0000-0000-0000142A0000}"/>
    <cellStyle name="Note 5 2 4 3" xfId="8664" xr:uid="{00000000-0005-0000-0000-0000152A0000}"/>
    <cellStyle name="Note 5 2 4 3 2" xfId="12703" xr:uid="{00000000-0005-0000-0000-0000162A0000}"/>
    <cellStyle name="Note 5 2 4 4" xfId="10694" xr:uid="{00000000-0005-0000-0000-0000172A0000}"/>
    <cellStyle name="Note 5 2 5" xfId="7324" xr:uid="{00000000-0005-0000-0000-0000182A0000}"/>
    <cellStyle name="Note 5 2 5 2" xfId="7098" xr:uid="{00000000-0005-0000-0000-0000192A0000}"/>
    <cellStyle name="Note 5 2 5 2 2" xfId="9537" xr:uid="{00000000-0005-0000-0000-00001A2A0000}"/>
    <cellStyle name="Note 5 2 5 2 2 2" xfId="9381" xr:uid="{00000000-0005-0000-0000-00001B2A0000}"/>
    <cellStyle name="Note 5 2 5 2 2 2 2" xfId="13011" xr:uid="{00000000-0005-0000-0000-00001C2A0000}"/>
    <cellStyle name="Note 5 2 5 2 2 3" xfId="11354" xr:uid="{00000000-0005-0000-0000-00001D2A0000}"/>
    <cellStyle name="Note 5 2 5 2 3" xfId="11510" xr:uid="{00000000-0005-0000-0000-00001E2A0000}"/>
    <cellStyle name="Note 5 2 5 3" xfId="8397" xr:uid="{00000000-0005-0000-0000-00001F2A0000}"/>
    <cellStyle name="Note 5 2 5 3 2" xfId="12201" xr:uid="{00000000-0005-0000-0000-0000202A0000}"/>
    <cellStyle name="Note 5 2 5 4" xfId="10427" xr:uid="{00000000-0005-0000-0000-0000212A0000}"/>
    <cellStyle name="Note 5 2 6" xfId="7484" xr:uid="{00000000-0005-0000-0000-0000222A0000}"/>
    <cellStyle name="Note 5 2 6 2" xfId="7148" xr:uid="{00000000-0005-0000-0000-0000232A0000}"/>
    <cellStyle name="Note 5 2 6 2 2" xfId="9655" xr:uid="{00000000-0005-0000-0000-0000242A0000}"/>
    <cellStyle name="Note 5 2 6 2 2 2" xfId="9413" xr:uid="{00000000-0005-0000-0000-0000252A0000}"/>
    <cellStyle name="Note 5 2 6 2 2 2 2" xfId="13043" xr:uid="{00000000-0005-0000-0000-0000262A0000}"/>
    <cellStyle name="Note 5 2 6 2 2 3" xfId="11386" xr:uid="{00000000-0005-0000-0000-0000272A0000}"/>
    <cellStyle name="Note 5 2 6 2 3" xfId="11628" xr:uid="{00000000-0005-0000-0000-0000282A0000}"/>
    <cellStyle name="Note 5 2 6 3" xfId="8551" xr:uid="{00000000-0005-0000-0000-0000292A0000}"/>
    <cellStyle name="Note 5 2 6 3 2" xfId="12283" xr:uid="{00000000-0005-0000-0000-00002A2A0000}"/>
    <cellStyle name="Note 5 2 6 4" xfId="10581" xr:uid="{00000000-0005-0000-0000-00002B2A0000}"/>
    <cellStyle name="Note 5 2 7" xfId="7868" xr:uid="{00000000-0005-0000-0000-00002C2A0000}"/>
    <cellStyle name="Note 5 2 7 2" xfId="8017" xr:uid="{00000000-0005-0000-0000-00002D2A0000}"/>
    <cellStyle name="Note 5 2 7 2 2" xfId="9959" xr:uid="{00000000-0005-0000-0000-00002E2A0000}"/>
    <cellStyle name="Note 5 2 7 2 2 2" xfId="10049" xr:uid="{00000000-0005-0000-0000-00002F2A0000}"/>
    <cellStyle name="Note 5 2 7 2 2 2 2" xfId="13251" xr:uid="{00000000-0005-0000-0000-0000302A0000}"/>
    <cellStyle name="Note 5 2 7 2 2 3" xfId="12022" xr:uid="{00000000-0005-0000-0000-0000312A0000}"/>
    <cellStyle name="Note 5 2 7 2 3" xfId="11932" xr:uid="{00000000-0005-0000-0000-0000322A0000}"/>
    <cellStyle name="Note 5 2 7 3" xfId="8116" xr:uid="{00000000-0005-0000-0000-0000332A0000}"/>
    <cellStyle name="Note 5 2 7 3 2" xfId="10146" xr:uid="{00000000-0005-0000-0000-0000342A0000}"/>
    <cellStyle name="Note 5 2 7 3 2 2" xfId="13339" xr:uid="{00000000-0005-0000-0000-0000352A0000}"/>
    <cellStyle name="Note 5 2 7 3 3" xfId="12119" xr:uid="{00000000-0005-0000-0000-0000362A0000}"/>
    <cellStyle name="Note 5 2 7 4" xfId="8915" xr:uid="{00000000-0005-0000-0000-0000372A0000}"/>
    <cellStyle name="Note 5 2 7 4 2" xfId="12466" xr:uid="{00000000-0005-0000-0000-0000382A0000}"/>
    <cellStyle name="Note 5 2 7 5" xfId="10945" xr:uid="{00000000-0005-0000-0000-0000392A0000}"/>
    <cellStyle name="Note 5 2 8" xfId="8323" xr:uid="{00000000-0005-0000-0000-00003A2A0000}"/>
    <cellStyle name="Note 5 2 8 2" xfId="9121" xr:uid="{00000000-0005-0000-0000-00003B2A0000}"/>
    <cellStyle name="Note 5 2 8 2 2" xfId="12539" xr:uid="{00000000-0005-0000-0000-00003C2A0000}"/>
    <cellStyle name="Note 5 2 8 3" xfId="11094" xr:uid="{00000000-0005-0000-0000-00003D2A0000}"/>
    <cellStyle name="Note 5 2 9" xfId="10353" xr:uid="{00000000-0005-0000-0000-00003E2A0000}"/>
    <cellStyle name="Note 5 3" xfId="1621" xr:uid="{00000000-0005-0000-0000-00003F2A0000}"/>
    <cellStyle name="Note 5 3 2" xfId="7652" xr:uid="{00000000-0005-0000-0000-0000402A0000}"/>
    <cellStyle name="Note 5 3 2 2" xfId="7029" xr:uid="{00000000-0005-0000-0000-0000412A0000}"/>
    <cellStyle name="Note 5 3 2 2 2" xfId="9782" xr:uid="{00000000-0005-0000-0000-0000422A0000}"/>
    <cellStyle name="Note 5 3 2 2 2 2" xfId="9325" xr:uid="{00000000-0005-0000-0000-0000432A0000}"/>
    <cellStyle name="Note 5 3 2 2 2 2 2" xfId="12956" xr:uid="{00000000-0005-0000-0000-0000442A0000}"/>
    <cellStyle name="Note 5 3 2 2 2 3" xfId="11298" xr:uid="{00000000-0005-0000-0000-0000452A0000}"/>
    <cellStyle name="Note 5 3 2 2 3" xfId="11755" xr:uid="{00000000-0005-0000-0000-0000462A0000}"/>
    <cellStyle name="Note 5 3 2 3" xfId="8709" xr:uid="{00000000-0005-0000-0000-0000472A0000}"/>
    <cellStyle name="Note 5 3 2 3 2" xfId="12721" xr:uid="{00000000-0005-0000-0000-0000482A0000}"/>
    <cellStyle name="Note 5 3 2 4" xfId="10739" xr:uid="{00000000-0005-0000-0000-0000492A0000}"/>
    <cellStyle name="Note 5 3 3" xfId="7409" xr:uid="{00000000-0005-0000-0000-00004A2A0000}"/>
    <cellStyle name="Note 5 3 3 2" xfId="6866" xr:uid="{00000000-0005-0000-0000-00004B2A0000}"/>
    <cellStyle name="Note 5 3 3 2 2" xfId="9597" xr:uid="{00000000-0005-0000-0000-00004C2A0000}"/>
    <cellStyle name="Note 5 3 3 2 2 2" xfId="9203" xr:uid="{00000000-0005-0000-0000-00004D2A0000}"/>
    <cellStyle name="Note 5 3 3 2 2 2 2" xfId="12842" xr:uid="{00000000-0005-0000-0000-00004E2A0000}"/>
    <cellStyle name="Note 5 3 3 2 2 3" xfId="11176" xr:uid="{00000000-0005-0000-0000-00004F2A0000}"/>
    <cellStyle name="Note 5 3 3 2 3" xfId="11570" xr:uid="{00000000-0005-0000-0000-0000502A0000}"/>
    <cellStyle name="Note 5 3 3 3" xfId="8479" xr:uid="{00000000-0005-0000-0000-0000512A0000}"/>
    <cellStyle name="Note 5 3 3 3 2" xfId="12241" xr:uid="{00000000-0005-0000-0000-0000522A0000}"/>
    <cellStyle name="Note 5 3 3 4" xfId="10509" xr:uid="{00000000-0005-0000-0000-0000532A0000}"/>
    <cellStyle name="Note 5 3 4" xfId="7353" xr:uid="{00000000-0005-0000-0000-0000542A0000}"/>
    <cellStyle name="Note 5 3 4 2" xfId="7062" xr:uid="{00000000-0005-0000-0000-0000552A0000}"/>
    <cellStyle name="Note 5 3 4 2 2" xfId="9353" xr:uid="{00000000-0005-0000-0000-0000562A0000}"/>
    <cellStyle name="Note 5 3 4 2 2 2" xfId="12984" xr:uid="{00000000-0005-0000-0000-0000572A0000}"/>
    <cellStyle name="Note 5 3 4 2 3" xfId="11326" xr:uid="{00000000-0005-0000-0000-0000582A0000}"/>
    <cellStyle name="Note 5 3 4 3" xfId="8425" xr:uid="{00000000-0005-0000-0000-0000592A0000}"/>
    <cellStyle name="Note 5 3 4 3 2" xfId="12611" xr:uid="{00000000-0005-0000-0000-00005A2A0000}"/>
    <cellStyle name="Note 5 3 4 4" xfId="10455" xr:uid="{00000000-0005-0000-0000-00005B2A0000}"/>
    <cellStyle name="Note 5 3 5" xfId="7604" xr:uid="{00000000-0005-0000-0000-00005C2A0000}"/>
    <cellStyle name="Note 5 3 5 2" xfId="7199" xr:uid="{00000000-0005-0000-0000-00005D2A0000}"/>
    <cellStyle name="Note 5 3 5 2 2" xfId="9746" xr:uid="{00000000-0005-0000-0000-00005E2A0000}"/>
    <cellStyle name="Note 5 3 5 2 2 2" xfId="9445" xr:uid="{00000000-0005-0000-0000-00005F2A0000}"/>
    <cellStyle name="Note 5 3 5 2 2 2 2" xfId="13073" xr:uid="{00000000-0005-0000-0000-0000602A0000}"/>
    <cellStyle name="Note 5 3 5 2 2 3" xfId="11418" xr:uid="{00000000-0005-0000-0000-0000612A0000}"/>
    <cellStyle name="Note 5 3 5 2 3" xfId="11719" xr:uid="{00000000-0005-0000-0000-0000622A0000}"/>
    <cellStyle name="Note 5 3 5 3" xfId="8666" xr:uid="{00000000-0005-0000-0000-0000632A0000}"/>
    <cellStyle name="Note 5 3 5 3 2" xfId="12352" xr:uid="{00000000-0005-0000-0000-0000642A0000}"/>
    <cellStyle name="Note 5 3 5 4" xfId="10696" xr:uid="{00000000-0005-0000-0000-0000652A0000}"/>
    <cellStyle name="Note 5 3 6" xfId="7396" xr:uid="{00000000-0005-0000-0000-0000662A0000}"/>
    <cellStyle name="Note 5 3 6 2" xfId="6963" xr:uid="{00000000-0005-0000-0000-0000672A0000}"/>
    <cellStyle name="Note 5 3 6 2 2" xfId="9590" xr:uid="{00000000-0005-0000-0000-0000682A0000}"/>
    <cellStyle name="Note 5 3 6 2 2 2" xfId="9277" xr:uid="{00000000-0005-0000-0000-0000692A0000}"/>
    <cellStyle name="Note 5 3 6 2 2 2 2" xfId="12911" xr:uid="{00000000-0005-0000-0000-00006A2A0000}"/>
    <cellStyle name="Note 5 3 6 2 2 3" xfId="11250" xr:uid="{00000000-0005-0000-0000-00006B2A0000}"/>
    <cellStyle name="Note 5 3 6 2 3" xfId="11563" xr:uid="{00000000-0005-0000-0000-00006C2A0000}"/>
    <cellStyle name="Note 5 3 6 3" xfId="8466" xr:uid="{00000000-0005-0000-0000-00006D2A0000}"/>
    <cellStyle name="Note 5 3 6 3 2" xfId="12235" xr:uid="{00000000-0005-0000-0000-00006E2A0000}"/>
    <cellStyle name="Note 5 3 6 4" xfId="10496" xr:uid="{00000000-0005-0000-0000-00006F2A0000}"/>
    <cellStyle name="Note 5 3 7" xfId="7857" xr:uid="{00000000-0005-0000-0000-0000702A0000}"/>
    <cellStyle name="Note 5 3 7 2" xfId="8006" xr:uid="{00000000-0005-0000-0000-0000712A0000}"/>
    <cellStyle name="Note 5 3 7 2 2" xfId="9948" xr:uid="{00000000-0005-0000-0000-0000722A0000}"/>
    <cellStyle name="Note 5 3 7 2 2 2" xfId="10038" xr:uid="{00000000-0005-0000-0000-0000732A0000}"/>
    <cellStyle name="Note 5 3 7 2 2 2 2" xfId="13240" xr:uid="{00000000-0005-0000-0000-0000742A0000}"/>
    <cellStyle name="Note 5 3 7 2 2 3" xfId="12011" xr:uid="{00000000-0005-0000-0000-0000752A0000}"/>
    <cellStyle name="Note 5 3 7 2 3" xfId="11921" xr:uid="{00000000-0005-0000-0000-0000762A0000}"/>
    <cellStyle name="Note 5 3 7 3" xfId="8105" xr:uid="{00000000-0005-0000-0000-0000772A0000}"/>
    <cellStyle name="Note 5 3 7 3 2" xfId="10135" xr:uid="{00000000-0005-0000-0000-0000782A0000}"/>
    <cellStyle name="Note 5 3 7 3 2 2" xfId="13328" xr:uid="{00000000-0005-0000-0000-0000792A0000}"/>
    <cellStyle name="Note 5 3 7 3 3" xfId="12108" xr:uid="{00000000-0005-0000-0000-00007A2A0000}"/>
    <cellStyle name="Note 5 3 7 4" xfId="8904" xr:uid="{00000000-0005-0000-0000-00007B2A0000}"/>
    <cellStyle name="Note 5 3 7 4 2" xfId="12455" xr:uid="{00000000-0005-0000-0000-00007C2A0000}"/>
    <cellStyle name="Note 5 3 7 5" xfId="10934" xr:uid="{00000000-0005-0000-0000-00007D2A0000}"/>
    <cellStyle name="Note 5 3 8" xfId="8312" xr:uid="{00000000-0005-0000-0000-00007E2A0000}"/>
    <cellStyle name="Note 5 3 8 2" xfId="8974" xr:uid="{00000000-0005-0000-0000-00007F2A0000}"/>
    <cellStyle name="Note 5 3 8 2 2" xfId="12528" xr:uid="{00000000-0005-0000-0000-0000802A0000}"/>
    <cellStyle name="Note 5 3 8 3" xfId="11004" xr:uid="{00000000-0005-0000-0000-0000812A0000}"/>
    <cellStyle name="Note 5 3 9" xfId="10342" xr:uid="{00000000-0005-0000-0000-0000822A0000}"/>
    <cellStyle name="Note 5 4" xfId="2080" xr:uid="{00000000-0005-0000-0000-0000832A0000}"/>
    <cellStyle name="Note 5 4 2" xfId="7685" xr:uid="{00000000-0005-0000-0000-0000842A0000}"/>
    <cellStyle name="Note 5 4 2 2" xfId="6877" xr:uid="{00000000-0005-0000-0000-0000852A0000}"/>
    <cellStyle name="Note 5 4 2 2 2" xfId="9809" xr:uid="{00000000-0005-0000-0000-0000862A0000}"/>
    <cellStyle name="Note 5 4 2 2 2 2" xfId="9214" xr:uid="{00000000-0005-0000-0000-0000872A0000}"/>
    <cellStyle name="Note 5 4 2 2 2 2 2" xfId="12850" xr:uid="{00000000-0005-0000-0000-0000882A0000}"/>
    <cellStyle name="Note 5 4 2 2 2 3" xfId="11187" xr:uid="{00000000-0005-0000-0000-0000892A0000}"/>
    <cellStyle name="Note 5 4 2 2 3" xfId="11782" xr:uid="{00000000-0005-0000-0000-00008A2A0000}"/>
    <cellStyle name="Note 5 4 2 3" xfId="8740" xr:uid="{00000000-0005-0000-0000-00008B2A0000}"/>
    <cellStyle name="Note 5 4 2 3 2" xfId="12735" xr:uid="{00000000-0005-0000-0000-00008C2A0000}"/>
    <cellStyle name="Note 5 4 2 4" xfId="10770" xr:uid="{00000000-0005-0000-0000-00008D2A0000}"/>
    <cellStyle name="Note 5 4 3" xfId="7621" xr:uid="{00000000-0005-0000-0000-00008E2A0000}"/>
    <cellStyle name="Note 5 4 3 2" xfId="6825" xr:uid="{00000000-0005-0000-0000-00008F2A0000}"/>
    <cellStyle name="Note 5 4 3 2 2" xfId="9760" xr:uid="{00000000-0005-0000-0000-0000902A0000}"/>
    <cellStyle name="Note 5 4 3 2 2 2" xfId="9170" xr:uid="{00000000-0005-0000-0000-0000912A0000}"/>
    <cellStyle name="Note 5 4 3 2 2 2 2" xfId="12810" xr:uid="{00000000-0005-0000-0000-0000922A0000}"/>
    <cellStyle name="Note 5 4 3 2 2 3" xfId="11143" xr:uid="{00000000-0005-0000-0000-0000932A0000}"/>
    <cellStyle name="Note 5 4 3 2 3" xfId="11733" xr:uid="{00000000-0005-0000-0000-0000942A0000}"/>
    <cellStyle name="Note 5 4 3 3" xfId="8682" xr:uid="{00000000-0005-0000-0000-0000952A0000}"/>
    <cellStyle name="Note 5 4 3 3 2" xfId="12363" xr:uid="{00000000-0005-0000-0000-0000962A0000}"/>
    <cellStyle name="Note 5 4 3 4" xfId="10712" xr:uid="{00000000-0005-0000-0000-0000972A0000}"/>
    <cellStyle name="Note 5 4 4" xfId="7406" xr:uid="{00000000-0005-0000-0000-0000982A0000}"/>
    <cellStyle name="Note 5 4 4 2" xfId="7158" xr:uid="{00000000-0005-0000-0000-0000992A0000}"/>
    <cellStyle name="Note 5 4 4 2 2" xfId="9419" xr:uid="{00000000-0005-0000-0000-00009A2A0000}"/>
    <cellStyle name="Note 5 4 4 2 2 2" xfId="13049" xr:uid="{00000000-0005-0000-0000-00009B2A0000}"/>
    <cellStyle name="Note 5 4 4 2 3" xfId="11392" xr:uid="{00000000-0005-0000-0000-00009C2A0000}"/>
    <cellStyle name="Note 5 4 4 3" xfId="8476" xr:uid="{00000000-0005-0000-0000-00009D2A0000}"/>
    <cellStyle name="Note 5 4 4 3 2" xfId="12635" xr:uid="{00000000-0005-0000-0000-00009E2A0000}"/>
    <cellStyle name="Note 5 4 4 4" xfId="10506" xr:uid="{00000000-0005-0000-0000-00009F2A0000}"/>
    <cellStyle name="Note 5 4 5" xfId="7606" xr:uid="{00000000-0005-0000-0000-0000A02A0000}"/>
    <cellStyle name="Note 5 4 5 2" xfId="7028" xr:uid="{00000000-0005-0000-0000-0000A12A0000}"/>
    <cellStyle name="Note 5 4 5 2 2" xfId="9748" xr:uid="{00000000-0005-0000-0000-0000A22A0000}"/>
    <cellStyle name="Note 5 4 5 2 2 2" xfId="9324" xr:uid="{00000000-0005-0000-0000-0000A32A0000}"/>
    <cellStyle name="Note 5 4 5 2 2 2 2" xfId="12955" xr:uid="{00000000-0005-0000-0000-0000A42A0000}"/>
    <cellStyle name="Note 5 4 5 2 2 3" xfId="11297" xr:uid="{00000000-0005-0000-0000-0000A52A0000}"/>
    <cellStyle name="Note 5 4 5 2 3" xfId="11721" xr:uid="{00000000-0005-0000-0000-0000A62A0000}"/>
    <cellStyle name="Note 5 4 5 3" xfId="8668" xr:uid="{00000000-0005-0000-0000-0000A72A0000}"/>
    <cellStyle name="Note 5 4 5 3 2" xfId="12354" xr:uid="{00000000-0005-0000-0000-0000A82A0000}"/>
    <cellStyle name="Note 5 4 5 4" xfId="10698" xr:uid="{00000000-0005-0000-0000-0000A92A0000}"/>
    <cellStyle name="Note 5 4 6" xfId="7333" xr:uid="{00000000-0005-0000-0000-0000AA2A0000}"/>
    <cellStyle name="Note 5 4 6 2" xfId="7085" xr:uid="{00000000-0005-0000-0000-0000AB2A0000}"/>
    <cellStyle name="Note 5 4 6 2 2" xfId="9542" xr:uid="{00000000-0005-0000-0000-0000AC2A0000}"/>
    <cellStyle name="Note 5 4 6 2 2 2" xfId="9371" xr:uid="{00000000-0005-0000-0000-0000AD2A0000}"/>
    <cellStyle name="Note 5 4 6 2 2 2 2" xfId="13002" xr:uid="{00000000-0005-0000-0000-0000AE2A0000}"/>
    <cellStyle name="Note 5 4 6 2 2 3" xfId="11344" xr:uid="{00000000-0005-0000-0000-0000AF2A0000}"/>
    <cellStyle name="Note 5 4 6 2 3" xfId="11515" xr:uid="{00000000-0005-0000-0000-0000B02A0000}"/>
    <cellStyle name="Note 5 4 6 3" xfId="8405" xr:uid="{00000000-0005-0000-0000-0000B12A0000}"/>
    <cellStyle name="Note 5 4 6 3 2" xfId="12205" xr:uid="{00000000-0005-0000-0000-0000B22A0000}"/>
    <cellStyle name="Note 5 4 6 4" xfId="10435" xr:uid="{00000000-0005-0000-0000-0000B32A0000}"/>
    <cellStyle name="Note 5 4 7" xfId="7880" xr:uid="{00000000-0005-0000-0000-0000B42A0000}"/>
    <cellStyle name="Note 5 4 7 2" xfId="8029" xr:uid="{00000000-0005-0000-0000-0000B52A0000}"/>
    <cellStyle name="Note 5 4 7 2 2" xfId="9971" xr:uid="{00000000-0005-0000-0000-0000B62A0000}"/>
    <cellStyle name="Note 5 4 7 2 2 2" xfId="10061" xr:uid="{00000000-0005-0000-0000-0000B72A0000}"/>
    <cellStyle name="Note 5 4 7 2 2 2 2" xfId="13263" xr:uid="{00000000-0005-0000-0000-0000B82A0000}"/>
    <cellStyle name="Note 5 4 7 2 2 3" xfId="12034" xr:uid="{00000000-0005-0000-0000-0000B92A0000}"/>
    <cellStyle name="Note 5 4 7 2 3" xfId="11944" xr:uid="{00000000-0005-0000-0000-0000BA2A0000}"/>
    <cellStyle name="Note 5 4 7 3" xfId="8128" xr:uid="{00000000-0005-0000-0000-0000BB2A0000}"/>
    <cellStyle name="Note 5 4 7 3 2" xfId="10158" xr:uid="{00000000-0005-0000-0000-0000BC2A0000}"/>
    <cellStyle name="Note 5 4 7 3 2 2" xfId="13351" xr:uid="{00000000-0005-0000-0000-0000BD2A0000}"/>
    <cellStyle name="Note 5 4 7 3 3" xfId="12131" xr:uid="{00000000-0005-0000-0000-0000BE2A0000}"/>
    <cellStyle name="Note 5 4 7 4" xfId="8927" xr:uid="{00000000-0005-0000-0000-0000BF2A0000}"/>
    <cellStyle name="Note 5 4 7 4 2" xfId="12478" xr:uid="{00000000-0005-0000-0000-0000C02A0000}"/>
    <cellStyle name="Note 5 4 7 5" xfId="10957" xr:uid="{00000000-0005-0000-0000-0000C12A0000}"/>
    <cellStyle name="Note 5 4 8" xfId="8335" xr:uid="{00000000-0005-0000-0000-0000C22A0000}"/>
    <cellStyle name="Note 5 4 8 2" xfId="9133" xr:uid="{00000000-0005-0000-0000-0000C32A0000}"/>
    <cellStyle name="Note 5 4 8 2 2" xfId="12551" xr:uid="{00000000-0005-0000-0000-0000C42A0000}"/>
    <cellStyle name="Note 5 4 8 3" xfId="11106" xr:uid="{00000000-0005-0000-0000-0000C52A0000}"/>
    <cellStyle name="Note 5 4 9" xfId="10365" xr:uid="{00000000-0005-0000-0000-0000C62A0000}"/>
    <cellStyle name="Note 5 5" xfId="1897" xr:uid="{00000000-0005-0000-0000-0000C72A0000}"/>
    <cellStyle name="Note 5 5 2" xfId="7644" xr:uid="{00000000-0005-0000-0000-0000C82A0000}"/>
    <cellStyle name="Note 5 5 2 2" xfId="7122" xr:uid="{00000000-0005-0000-0000-0000C92A0000}"/>
    <cellStyle name="Note 5 5 2 2 2" xfId="9776" xr:uid="{00000000-0005-0000-0000-0000CA2A0000}"/>
    <cellStyle name="Note 5 5 2 2 2 2" xfId="9397" xr:uid="{00000000-0005-0000-0000-0000CB2A0000}"/>
    <cellStyle name="Note 5 5 2 2 2 2 2" xfId="13027" xr:uid="{00000000-0005-0000-0000-0000CC2A0000}"/>
    <cellStyle name="Note 5 5 2 2 2 3" xfId="11370" xr:uid="{00000000-0005-0000-0000-0000CD2A0000}"/>
    <cellStyle name="Note 5 5 2 2 3" xfId="11749" xr:uid="{00000000-0005-0000-0000-0000CE2A0000}"/>
    <cellStyle name="Note 5 5 2 3" xfId="8702" xr:uid="{00000000-0005-0000-0000-0000CF2A0000}"/>
    <cellStyle name="Note 5 5 2 3 2" xfId="12719" xr:uid="{00000000-0005-0000-0000-0000D02A0000}"/>
    <cellStyle name="Note 5 5 2 4" xfId="10732" xr:uid="{00000000-0005-0000-0000-0000D12A0000}"/>
    <cellStyle name="Note 5 5 3" xfId="7414" xr:uid="{00000000-0005-0000-0000-0000D22A0000}"/>
    <cellStyle name="Note 5 5 3 2" xfId="7273" xr:uid="{00000000-0005-0000-0000-0000D32A0000}"/>
    <cellStyle name="Note 5 5 3 2 2" xfId="9602" xr:uid="{00000000-0005-0000-0000-0000D42A0000}"/>
    <cellStyle name="Note 5 5 3 2 2 2" xfId="9499" xr:uid="{00000000-0005-0000-0000-0000D52A0000}"/>
    <cellStyle name="Note 5 5 3 2 2 2 2" xfId="13123" xr:uid="{00000000-0005-0000-0000-0000D62A0000}"/>
    <cellStyle name="Note 5 5 3 2 2 3" xfId="11472" xr:uid="{00000000-0005-0000-0000-0000D72A0000}"/>
    <cellStyle name="Note 5 5 3 2 3" xfId="11575" xr:uid="{00000000-0005-0000-0000-0000D82A0000}"/>
    <cellStyle name="Note 5 5 3 3" xfId="8484" xr:uid="{00000000-0005-0000-0000-0000D92A0000}"/>
    <cellStyle name="Note 5 5 3 3 2" xfId="12243" xr:uid="{00000000-0005-0000-0000-0000DA2A0000}"/>
    <cellStyle name="Note 5 5 3 4" xfId="10514" xr:uid="{00000000-0005-0000-0000-0000DB2A0000}"/>
    <cellStyle name="Note 5 5 4" xfId="7591" xr:uid="{00000000-0005-0000-0000-0000DC2A0000}"/>
    <cellStyle name="Note 5 5 4 2" xfId="7124" xr:uid="{00000000-0005-0000-0000-0000DD2A0000}"/>
    <cellStyle name="Note 5 5 4 2 2" xfId="9399" xr:uid="{00000000-0005-0000-0000-0000DE2A0000}"/>
    <cellStyle name="Note 5 5 4 2 2 2" xfId="13029" xr:uid="{00000000-0005-0000-0000-0000DF2A0000}"/>
    <cellStyle name="Note 5 5 4 2 3" xfId="11372" xr:uid="{00000000-0005-0000-0000-0000E02A0000}"/>
    <cellStyle name="Note 5 5 4 3" xfId="8654" xr:uid="{00000000-0005-0000-0000-0000E12A0000}"/>
    <cellStyle name="Note 5 5 4 3 2" xfId="12701" xr:uid="{00000000-0005-0000-0000-0000E22A0000}"/>
    <cellStyle name="Note 5 5 4 4" xfId="10684" xr:uid="{00000000-0005-0000-0000-0000E32A0000}"/>
    <cellStyle name="Note 5 5 5" xfId="7616" xr:uid="{00000000-0005-0000-0000-0000E42A0000}"/>
    <cellStyle name="Note 5 5 5 2" xfId="6959" xr:uid="{00000000-0005-0000-0000-0000E52A0000}"/>
    <cellStyle name="Note 5 5 5 2 2" xfId="9756" xr:uid="{00000000-0005-0000-0000-0000E62A0000}"/>
    <cellStyle name="Note 5 5 5 2 2 2" xfId="9274" xr:uid="{00000000-0005-0000-0000-0000E72A0000}"/>
    <cellStyle name="Note 5 5 5 2 2 2 2" xfId="12908" xr:uid="{00000000-0005-0000-0000-0000E82A0000}"/>
    <cellStyle name="Note 5 5 5 2 2 3" xfId="11247" xr:uid="{00000000-0005-0000-0000-0000E92A0000}"/>
    <cellStyle name="Note 5 5 5 2 3" xfId="11729" xr:uid="{00000000-0005-0000-0000-0000EA2A0000}"/>
    <cellStyle name="Note 5 5 5 3" xfId="8678" xr:uid="{00000000-0005-0000-0000-0000EB2A0000}"/>
    <cellStyle name="Note 5 5 5 3 2" xfId="12360" xr:uid="{00000000-0005-0000-0000-0000EC2A0000}"/>
    <cellStyle name="Note 5 5 5 4" xfId="10708" xr:uid="{00000000-0005-0000-0000-0000ED2A0000}"/>
    <cellStyle name="Note 5 5 6" xfId="7468" xr:uid="{00000000-0005-0000-0000-0000EE2A0000}"/>
    <cellStyle name="Note 5 5 6 2" xfId="6940" xr:uid="{00000000-0005-0000-0000-0000EF2A0000}"/>
    <cellStyle name="Note 5 5 6 2 2" xfId="9639" xr:uid="{00000000-0005-0000-0000-0000F02A0000}"/>
    <cellStyle name="Note 5 5 6 2 2 2" xfId="9258" xr:uid="{00000000-0005-0000-0000-0000F12A0000}"/>
    <cellStyle name="Note 5 5 6 2 2 2 2" xfId="12892" xr:uid="{00000000-0005-0000-0000-0000F22A0000}"/>
    <cellStyle name="Note 5 5 6 2 2 3" xfId="11231" xr:uid="{00000000-0005-0000-0000-0000F32A0000}"/>
    <cellStyle name="Note 5 5 6 2 3" xfId="11612" xr:uid="{00000000-0005-0000-0000-0000F42A0000}"/>
    <cellStyle name="Note 5 5 6 3" xfId="8535" xr:uid="{00000000-0005-0000-0000-0000F52A0000}"/>
    <cellStyle name="Note 5 5 6 3 2" xfId="12271" xr:uid="{00000000-0005-0000-0000-0000F62A0000}"/>
    <cellStyle name="Note 5 5 6 4" xfId="10565" xr:uid="{00000000-0005-0000-0000-0000F72A0000}"/>
    <cellStyle name="Note 5 5 7" xfId="7871" xr:uid="{00000000-0005-0000-0000-0000F82A0000}"/>
    <cellStyle name="Note 5 5 7 2" xfId="8020" xr:uid="{00000000-0005-0000-0000-0000F92A0000}"/>
    <cellStyle name="Note 5 5 7 2 2" xfId="9962" xr:uid="{00000000-0005-0000-0000-0000FA2A0000}"/>
    <cellStyle name="Note 5 5 7 2 2 2" xfId="10052" xr:uid="{00000000-0005-0000-0000-0000FB2A0000}"/>
    <cellStyle name="Note 5 5 7 2 2 2 2" xfId="13254" xr:uid="{00000000-0005-0000-0000-0000FC2A0000}"/>
    <cellStyle name="Note 5 5 7 2 2 3" xfId="12025" xr:uid="{00000000-0005-0000-0000-0000FD2A0000}"/>
    <cellStyle name="Note 5 5 7 2 3" xfId="11935" xr:uid="{00000000-0005-0000-0000-0000FE2A0000}"/>
    <cellStyle name="Note 5 5 7 3" xfId="8119" xr:uid="{00000000-0005-0000-0000-0000FF2A0000}"/>
    <cellStyle name="Note 5 5 7 3 2" xfId="10149" xr:uid="{00000000-0005-0000-0000-0000002B0000}"/>
    <cellStyle name="Note 5 5 7 3 2 2" xfId="13342" xr:uid="{00000000-0005-0000-0000-0000012B0000}"/>
    <cellStyle name="Note 5 5 7 3 3" xfId="12122" xr:uid="{00000000-0005-0000-0000-0000022B0000}"/>
    <cellStyle name="Note 5 5 7 4" xfId="8918" xr:uid="{00000000-0005-0000-0000-0000032B0000}"/>
    <cellStyle name="Note 5 5 7 4 2" xfId="12469" xr:uid="{00000000-0005-0000-0000-0000042B0000}"/>
    <cellStyle name="Note 5 5 7 5" xfId="10948" xr:uid="{00000000-0005-0000-0000-0000052B0000}"/>
    <cellStyle name="Note 5 5 8" xfId="8326" xr:uid="{00000000-0005-0000-0000-0000062B0000}"/>
    <cellStyle name="Note 5 5 8 2" xfId="9124" xr:uid="{00000000-0005-0000-0000-0000072B0000}"/>
    <cellStyle name="Note 5 5 8 2 2" xfId="12542" xr:uid="{00000000-0005-0000-0000-0000082B0000}"/>
    <cellStyle name="Note 5 5 8 3" xfId="11097" xr:uid="{00000000-0005-0000-0000-0000092B0000}"/>
    <cellStyle name="Note 5 5 9" xfId="10356" xr:uid="{00000000-0005-0000-0000-00000A2B0000}"/>
    <cellStyle name="Note 5 6" xfId="2770" xr:uid="{00000000-0005-0000-0000-00000B2B0000}"/>
    <cellStyle name="Note 5 6 2" xfId="7582" xr:uid="{00000000-0005-0000-0000-00000C2B0000}"/>
    <cellStyle name="Note 5 6 2 2" xfId="7110" xr:uid="{00000000-0005-0000-0000-00000D2B0000}"/>
    <cellStyle name="Note 5 6 2 2 2" xfId="9731" xr:uid="{00000000-0005-0000-0000-00000E2B0000}"/>
    <cellStyle name="Note 5 6 2 2 2 2" xfId="9389" xr:uid="{00000000-0005-0000-0000-00000F2B0000}"/>
    <cellStyle name="Note 5 6 2 2 2 2 2" xfId="13019" xr:uid="{00000000-0005-0000-0000-0000102B0000}"/>
    <cellStyle name="Note 5 6 2 2 2 3" xfId="11362" xr:uid="{00000000-0005-0000-0000-0000112B0000}"/>
    <cellStyle name="Note 5 6 2 2 3" xfId="11704" xr:uid="{00000000-0005-0000-0000-0000122B0000}"/>
    <cellStyle name="Note 5 6 2 3" xfId="8645" xr:uid="{00000000-0005-0000-0000-0000132B0000}"/>
    <cellStyle name="Note 5 6 2 3 2" xfId="12695" xr:uid="{00000000-0005-0000-0000-0000142B0000}"/>
    <cellStyle name="Note 5 6 2 4" xfId="10675" xr:uid="{00000000-0005-0000-0000-0000152B0000}"/>
    <cellStyle name="Note 5 6 3" xfId="7531" xr:uid="{00000000-0005-0000-0000-0000162B0000}"/>
    <cellStyle name="Note 5 6 3 2" xfId="7128" xr:uid="{00000000-0005-0000-0000-0000172B0000}"/>
    <cellStyle name="Note 5 6 3 2 2" xfId="9694" xr:uid="{00000000-0005-0000-0000-0000182B0000}"/>
    <cellStyle name="Note 5 6 3 2 2 2" xfId="9401" xr:uid="{00000000-0005-0000-0000-0000192B0000}"/>
    <cellStyle name="Note 5 6 3 2 2 2 2" xfId="13031" xr:uid="{00000000-0005-0000-0000-00001A2B0000}"/>
    <cellStyle name="Note 5 6 3 2 2 3" xfId="11374" xr:uid="{00000000-0005-0000-0000-00001B2B0000}"/>
    <cellStyle name="Note 5 6 3 2 3" xfId="11667" xr:uid="{00000000-0005-0000-0000-00001C2B0000}"/>
    <cellStyle name="Note 5 6 3 3" xfId="8597" xr:uid="{00000000-0005-0000-0000-00001D2B0000}"/>
    <cellStyle name="Note 5 6 3 3 2" xfId="12311" xr:uid="{00000000-0005-0000-0000-00001E2B0000}"/>
    <cellStyle name="Note 5 6 3 4" xfId="10627" xr:uid="{00000000-0005-0000-0000-00001F2B0000}"/>
    <cellStyle name="Note 5 6 4" xfId="7504" xr:uid="{00000000-0005-0000-0000-0000202B0000}"/>
    <cellStyle name="Note 5 6 4 2" xfId="7034" xr:uid="{00000000-0005-0000-0000-0000212B0000}"/>
    <cellStyle name="Note 5 6 4 2 2" xfId="9330" xr:uid="{00000000-0005-0000-0000-0000222B0000}"/>
    <cellStyle name="Note 5 6 4 2 2 2" xfId="12961" xr:uid="{00000000-0005-0000-0000-0000232B0000}"/>
    <cellStyle name="Note 5 6 4 2 3" xfId="11303" xr:uid="{00000000-0005-0000-0000-0000242B0000}"/>
    <cellStyle name="Note 5 6 4 3" xfId="8571" xr:uid="{00000000-0005-0000-0000-0000252B0000}"/>
    <cellStyle name="Note 5 6 4 3 2" xfId="12670" xr:uid="{00000000-0005-0000-0000-0000262B0000}"/>
    <cellStyle name="Note 5 6 4 4" xfId="10601" xr:uid="{00000000-0005-0000-0000-0000272B0000}"/>
    <cellStyle name="Note 5 6 5" xfId="7522" xr:uid="{00000000-0005-0000-0000-0000282B0000}"/>
    <cellStyle name="Note 5 6 5 2" xfId="7231" xr:uid="{00000000-0005-0000-0000-0000292B0000}"/>
    <cellStyle name="Note 5 6 5 2 2" xfId="9687" xr:uid="{00000000-0005-0000-0000-00002A2B0000}"/>
    <cellStyle name="Note 5 6 5 2 2 2" xfId="9470" xr:uid="{00000000-0005-0000-0000-00002B2B0000}"/>
    <cellStyle name="Note 5 6 5 2 2 2 2" xfId="13096" xr:uid="{00000000-0005-0000-0000-00002C2B0000}"/>
    <cellStyle name="Note 5 6 5 2 2 3" xfId="11443" xr:uid="{00000000-0005-0000-0000-00002D2B0000}"/>
    <cellStyle name="Note 5 6 5 2 3" xfId="11660" xr:uid="{00000000-0005-0000-0000-00002E2B0000}"/>
    <cellStyle name="Note 5 6 5 3" xfId="8588" xr:uid="{00000000-0005-0000-0000-00002F2B0000}"/>
    <cellStyle name="Note 5 6 5 3 2" xfId="12306" xr:uid="{00000000-0005-0000-0000-0000302B0000}"/>
    <cellStyle name="Note 5 6 5 4" xfId="10618" xr:uid="{00000000-0005-0000-0000-0000312B0000}"/>
    <cellStyle name="Note 5 6 6" xfId="7573" xr:uid="{00000000-0005-0000-0000-0000322B0000}"/>
    <cellStyle name="Note 5 6 6 2" xfId="7163" xr:uid="{00000000-0005-0000-0000-0000332B0000}"/>
    <cellStyle name="Note 5 6 6 2 2" xfId="9727" xr:uid="{00000000-0005-0000-0000-0000342B0000}"/>
    <cellStyle name="Note 5 6 6 2 2 2" xfId="9424" xr:uid="{00000000-0005-0000-0000-0000352B0000}"/>
    <cellStyle name="Note 5 6 6 2 2 2 2" xfId="13054" xr:uid="{00000000-0005-0000-0000-0000362B0000}"/>
    <cellStyle name="Note 5 6 6 2 2 3" xfId="11397" xr:uid="{00000000-0005-0000-0000-0000372B0000}"/>
    <cellStyle name="Note 5 6 6 2 3" xfId="11700" xr:uid="{00000000-0005-0000-0000-0000382B0000}"/>
    <cellStyle name="Note 5 6 6 3" xfId="8637" xr:uid="{00000000-0005-0000-0000-0000392B0000}"/>
    <cellStyle name="Note 5 6 6 3 2" xfId="12338" xr:uid="{00000000-0005-0000-0000-00003A2B0000}"/>
    <cellStyle name="Note 5 6 6 4" xfId="10667" xr:uid="{00000000-0005-0000-0000-00003B2B0000}"/>
    <cellStyle name="Note 5 6 7" xfId="7891" xr:uid="{00000000-0005-0000-0000-00003C2B0000}"/>
    <cellStyle name="Note 5 6 7 2" xfId="8039" xr:uid="{00000000-0005-0000-0000-00003D2B0000}"/>
    <cellStyle name="Note 5 6 7 2 2" xfId="9980" xr:uid="{00000000-0005-0000-0000-00003E2B0000}"/>
    <cellStyle name="Note 5 6 7 2 2 2" xfId="10071" xr:uid="{00000000-0005-0000-0000-00003F2B0000}"/>
    <cellStyle name="Note 5 6 7 2 2 2 2" xfId="13272" xr:uid="{00000000-0005-0000-0000-0000402B0000}"/>
    <cellStyle name="Note 5 6 7 2 2 3" xfId="12044" xr:uid="{00000000-0005-0000-0000-0000412B0000}"/>
    <cellStyle name="Note 5 6 7 2 3" xfId="11953" xr:uid="{00000000-0005-0000-0000-0000422B0000}"/>
    <cellStyle name="Note 5 6 7 3" xfId="8137" xr:uid="{00000000-0005-0000-0000-0000432B0000}"/>
    <cellStyle name="Note 5 6 7 3 2" xfId="10167" xr:uid="{00000000-0005-0000-0000-0000442B0000}"/>
    <cellStyle name="Note 5 6 7 3 2 2" xfId="13360" xr:uid="{00000000-0005-0000-0000-0000452B0000}"/>
    <cellStyle name="Note 5 6 7 3 3" xfId="12140" xr:uid="{00000000-0005-0000-0000-0000462B0000}"/>
    <cellStyle name="Note 5 6 7 4" xfId="8937" xr:uid="{00000000-0005-0000-0000-0000472B0000}"/>
    <cellStyle name="Note 5 6 7 4 2" xfId="12487" xr:uid="{00000000-0005-0000-0000-0000482B0000}"/>
    <cellStyle name="Note 5 6 7 5" xfId="10967" xr:uid="{00000000-0005-0000-0000-0000492B0000}"/>
    <cellStyle name="Note 5 6 8" xfId="8344" xr:uid="{00000000-0005-0000-0000-00004A2B0000}"/>
    <cellStyle name="Note 5 6 8 2" xfId="9142" xr:uid="{00000000-0005-0000-0000-00004B2B0000}"/>
    <cellStyle name="Note 5 6 8 2 2" xfId="12560" xr:uid="{00000000-0005-0000-0000-00004C2B0000}"/>
    <cellStyle name="Note 5 6 8 3" xfId="11115" xr:uid="{00000000-0005-0000-0000-00004D2B0000}"/>
    <cellStyle name="Note 5 6 9" xfId="10374" xr:uid="{00000000-0005-0000-0000-00004E2B0000}"/>
    <cellStyle name="Note 5 7" xfId="2803" xr:uid="{00000000-0005-0000-0000-00004F2B0000}"/>
    <cellStyle name="Note 5 7 2" xfId="7368" xr:uid="{00000000-0005-0000-0000-0000502B0000}"/>
    <cellStyle name="Note 5 7 2 2" xfId="7152" xr:uid="{00000000-0005-0000-0000-0000512B0000}"/>
    <cellStyle name="Note 5 7 2 2 2" xfId="9568" xr:uid="{00000000-0005-0000-0000-0000522B0000}"/>
    <cellStyle name="Note 5 7 2 2 2 2" xfId="9416" xr:uid="{00000000-0005-0000-0000-0000532B0000}"/>
    <cellStyle name="Note 5 7 2 2 2 2 2" xfId="13046" xr:uid="{00000000-0005-0000-0000-0000542B0000}"/>
    <cellStyle name="Note 5 7 2 2 2 3" xfId="11389" xr:uid="{00000000-0005-0000-0000-0000552B0000}"/>
    <cellStyle name="Note 5 7 2 2 3" xfId="11541" xr:uid="{00000000-0005-0000-0000-0000562B0000}"/>
    <cellStyle name="Note 5 7 2 3" xfId="8439" xr:uid="{00000000-0005-0000-0000-0000572B0000}"/>
    <cellStyle name="Note 5 7 2 3 2" xfId="12617" xr:uid="{00000000-0005-0000-0000-0000582B0000}"/>
    <cellStyle name="Note 5 7 2 4" xfId="10469" xr:uid="{00000000-0005-0000-0000-0000592B0000}"/>
    <cellStyle name="Note 5 7 3" xfId="7423" xr:uid="{00000000-0005-0000-0000-00005A2B0000}"/>
    <cellStyle name="Note 5 7 3 2" xfId="6880" xr:uid="{00000000-0005-0000-0000-00005B2B0000}"/>
    <cellStyle name="Note 5 7 3 2 2" xfId="9608" xr:uid="{00000000-0005-0000-0000-00005C2B0000}"/>
    <cellStyle name="Note 5 7 3 2 2 2" xfId="9215" xr:uid="{00000000-0005-0000-0000-00005D2B0000}"/>
    <cellStyle name="Note 5 7 3 2 2 2 2" xfId="12851" xr:uid="{00000000-0005-0000-0000-00005E2B0000}"/>
    <cellStyle name="Note 5 7 3 2 2 3" xfId="11188" xr:uid="{00000000-0005-0000-0000-00005F2B0000}"/>
    <cellStyle name="Note 5 7 3 2 3" xfId="11581" xr:uid="{00000000-0005-0000-0000-0000602B0000}"/>
    <cellStyle name="Note 5 7 3 3" xfId="8493" xr:uid="{00000000-0005-0000-0000-0000612B0000}"/>
    <cellStyle name="Note 5 7 3 3 2" xfId="12249" xr:uid="{00000000-0005-0000-0000-0000622B0000}"/>
    <cellStyle name="Note 5 7 3 4" xfId="10523" xr:uid="{00000000-0005-0000-0000-0000632B0000}"/>
    <cellStyle name="Note 5 7 4" xfId="7497" xr:uid="{00000000-0005-0000-0000-0000642B0000}"/>
    <cellStyle name="Note 5 7 4 2" xfId="6911" xr:uid="{00000000-0005-0000-0000-0000652B0000}"/>
    <cellStyle name="Note 5 7 4 2 2" xfId="9236" xr:uid="{00000000-0005-0000-0000-0000662B0000}"/>
    <cellStyle name="Note 5 7 4 2 2 2" xfId="12872" xr:uid="{00000000-0005-0000-0000-0000672B0000}"/>
    <cellStyle name="Note 5 7 4 2 3" xfId="11209" xr:uid="{00000000-0005-0000-0000-0000682B0000}"/>
    <cellStyle name="Note 5 7 4 3" xfId="8564" xr:uid="{00000000-0005-0000-0000-0000692B0000}"/>
    <cellStyle name="Note 5 7 4 3 2" xfId="12665" xr:uid="{00000000-0005-0000-0000-00006A2B0000}"/>
    <cellStyle name="Note 5 7 4 4" xfId="10594" xr:uid="{00000000-0005-0000-0000-00006B2B0000}"/>
    <cellStyle name="Note 5 7 5" xfId="7696" xr:uid="{00000000-0005-0000-0000-00006C2B0000}"/>
    <cellStyle name="Note 5 7 5 2" xfId="7061" xr:uid="{00000000-0005-0000-0000-00006D2B0000}"/>
    <cellStyle name="Note 5 7 5 2 2" xfId="9817" xr:uid="{00000000-0005-0000-0000-00006E2B0000}"/>
    <cellStyle name="Note 5 7 5 2 2 2" xfId="9352" xr:uid="{00000000-0005-0000-0000-00006F2B0000}"/>
    <cellStyle name="Note 5 7 5 2 2 2 2" xfId="12983" xr:uid="{00000000-0005-0000-0000-0000702B0000}"/>
    <cellStyle name="Note 5 7 5 2 2 3" xfId="11325" xr:uid="{00000000-0005-0000-0000-0000712B0000}"/>
    <cellStyle name="Note 5 7 5 2 3" xfId="11790" xr:uid="{00000000-0005-0000-0000-0000722B0000}"/>
    <cellStyle name="Note 5 7 5 3" xfId="8751" xr:uid="{00000000-0005-0000-0000-0000732B0000}"/>
    <cellStyle name="Note 5 7 5 3 2" xfId="12403" xr:uid="{00000000-0005-0000-0000-0000742B0000}"/>
    <cellStyle name="Note 5 7 5 4" xfId="10781" xr:uid="{00000000-0005-0000-0000-0000752B0000}"/>
    <cellStyle name="Note 5 7 6" xfId="7394" xr:uid="{00000000-0005-0000-0000-0000762B0000}"/>
    <cellStyle name="Note 5 7 6 2" xfId="7008" xr:uid="{00000000-0005-0000-0000-0000772B0000}"/>
    <cellStyle name="Note 5 7 6 2 2" xfId="9589" xr:uid="{00000000-0005-0000-0000-0000782B0000}"/>
    <cellStyle name="Note 5 7 6 2 2 2" xfId="9309" xr:uid="{00000000-0005-0000-0000-0000792B0000}"/>
    <cellStyle name="Note 5 7 6 2 2 2 2" xfId="12942" xr:uid="{00000000-0005-0000-0000-00007A2B0000}"/>
    <cellStyle name="Note 5 7 6 2 2 3" xfId="11282" xr:uid="{00000000-0005-0000-0000-00007B2B0000}"/>
    <cellStyle name="Note 5 7 6 2 3" xfId="11562" xr:uid="{00000000-0005-0000-0000-00007C2B0000}"/>
    <cellStyle name="Note 5 7 6 3" xfId="8464" xr:uid="{00000000-0005-0000-0000-00007D2B0000}"/>
    <cellStyle name="Note 5 7 6 3 2" xfId="12234" xr:uid="{00000000-0005-0000-0000-00007E2B0000}"/>
    <cellStyle name="Note 5 7 6 4" xfId="10494" xr:uid="{00000000-0005-0000-0000-00007F2B0000}"/>
    <cellStyle name="Note 5 7 7" xfId="7898" xr:uid="{00000000-0005-0000-0000-0000802B0000}"/>
    <cellStyle name="Note 5 7 7 2" xfId="8046" xr:uid="{00000000-0005-0000-0000-0000812B0000}"/>
    <cellStyle name="Note 5 7 7 2 2" xfId="9987" xr:uid="{00000000-0005-0000-0000-0000822B0000}"/>
    <cellStyle name="Note 5 7 7 2 2 2" xfId="10078" xr:uid="{00000000-0005-0000-0000-0000832B0000}"/>
    <cellStyle name="Note 5 7 7 2 2 2 2" xfId="13279" xr:uid="{00000000-0005-0000-0000-0000842B0000}"/>
    <cellStyle name="Note 5 7 7 2 2 3" xfId="12051" xr:uid="{00000000-0005-0000-0000-0000852B0000}"/>
    <cellStyle name="Note 5 7 7 2 3" xfId="11960" xr:uid="{00000000-0005-0000-0000-0000862B0000}"/>
    <cellStyle name="Note 5 7 7 3" xfId="8144" xr:uid="{00000000-0005-0000-0000-0000872B0000}"/>
    <cellStyle name="Note 5 7 7 3 2" xfId="10174" xr:uid="{00000000-0005-0000-0000-0000882B0000}"/>
    <cellStyle name="Note 5 7 7 3 2 2" xfId="13367" xr:uid="{00000000-0005-0000-0000-0000892B0000}"/>
    <cellStyle name="Note 5 7 7 3 3" xfId="12147" xr:uid="{00000000-0005-0000-0000-00008A2B0000}"/>
    <cellStyle name="Note 5 7 7 4" xfId="8944" xr:uid="{00000000-0005-0000-0000-00008B2B0000}"/>
    <cellStyle name="Note 5 7 7 4 2" xfId="12494" xr:uid="{00000000-0005-0000-0000-00008C2B0000}"/>
    <cellStyle name="Note 5 7 7 5" xfId="10974" xr:uid="{00000000-0005-0000-0000-00008D2B0000}"/>
    <cellStyle name="Note 5 7 8" xfId="8351" xr:uid="{00000000-0005-0000-0000-00008E2B0000}"/>
    <cellStyle name="Note 5 7 8 2" xfId="9149" xr:uid="{00000000-0005-0000-0000-00008F2B0000}"/>
    <cellStyle name="Note 5 7 8 2 2" xfId="12567" xr:uid="{00000000-0005-0000-0000-0000902B0000}"/>
    <cellStyle name="Note 5 7 8 3" xfId="11122" xr:uid="{00000000-0005-0000-0000-0000912B0000}"/>
    <cellStyle name="Note 5 7 9" xfId="10381" xr:uid="{00000000-0005-0000-0000-0000922B0000}"/>
    <cellStyle name="Note 5 8" xfId="4364" xr:uid="{00000000-0005-0000-0000-0000932B0000}"/>
    <cellStyle name="Note 5 8 2" xfId="7663" xr:uid="{00000000-0005-0000-0000-0000942B0000}"/>
    <cellStyle name="Note 5 8 2 2" xfId="6861" xr:uid="{00000000-0005-0000-0000-0000952B0000}"/>
    <cellStyle name="Note 5 8 2 2 2" xfId="9790" xr:uid="{00000000-0005-0000-0000-0000962B0000}"/>
    <cellStyle name="Note 5 8 2 2 2 2" xfId="9199" xr:uid="{00000000-0005-0000-0000-0000972B0000}"/>
    <cellStyle name="Note 5 8 2 2 2 2 2" xfId="12839" xr:uid="{00000000-0005-0000-0000-0000982B0000}"/>
    <cellStyle name="Note 5 8 2 2 2 3" xfId="11172" xr:uid="{00000000-0005-0000-0000-0000992B0000}"/>
    <cellStyle name="Note 5 8 2 2 3" xfId="11763" xr:uid="{00000000-0005-0000-0000-00009A2B0000}"/>
    <cellStyle name="Note 5 8 2 3" xfId="8719" xr:uid="{00000000-0005-0000-0000-00009B2B0000}"/>
    <cellStyle name="Note 5 8 2 3 2" xfId="12726" xr:uid="{00000000-0005-0000-0000-00009C2B0000}"/>
    <cellStyle name="Note 5 8 2 4" xfId="10749" xr:uid="{00000000-0005-0000-0000-00009D2B0000}"/>
    <cellStyle name="Note 5 8 3" xfId="7745" xr:uid="{00000000-0005-0000-0000-00009E2B0000}"/>
    <cellStyle name="Note 5 8 3 2" xfId="6981" xr:uid="{00000000-0005-0000-0000-00009F2B0000}"/>
    <cellStyle name="Note 5 8 3 2 2" xfId="9858" xr:uid="{00000000-0005-0000-0000-0000A02B0000}"/>
    <cellStyle name="Note 5 8 3 2 2 2" xfId="9290" xr:uid="{00000000-0005-0000-0000-0000A12B0000}"/>
    <cellStyle name="Note 5 8 3 2 2 2 2" xfId="12923" xr:uid="{00000000-0005-0000-0000-0000A22B0000}"/>
    <cellStyle name="Note 5 8 3 2 2 3" xfId="11263" xr:uid="{00000000-0005-0000-0000-0000A32B0000}"/>
    <cellStyle name="Note 5 8 3 2 3" xfId="11831" xr:uid="{00000000-0005-0000-0000-0000A42B0000}"/>
    <cellStyle name="Note 5 8 3 3" xfId="8799" xr:uid="{00000000-0005-0000-0000-0000A52B0000}"/>
    <cellStyle name="Note 5 8 3 3 2" xfId="12438" xr:uid="{00000000-0005-0000-0000-0000A62B0000}"/>
    <cellStyle name="Note 5 8 3 4" xfId="10829" xr:uid="{00000000-0005-0000-0000-0000A72B0000}"/>
    <cellStyle name="Note 5 8 4" xfId="7500" xr:uid="{00000000-0005-0000-0000-0000A82B0000}"/>
    <cellStyle name="Note 5 8 4 2" xfId="7069" xr:uid="{00000000-0005-0000-0000-0000A92B0000}"/>
    <cellStyle name="Note 5 8 4 2 2" xfId="9358" xr:uid="{00000000-0005-0000-0000-0000AA2B0000}"/>
    <cellStyle name="Note 5 8 4 2 2 2" xfId="12989" xr:uid="{00000000-0005-0000-0000-0000AB2B0000}"/>
    <cellStyle name="Note 5 8 4 2 3" xfId="11331" xr:uid="{00000000-0005-0000-0000-0000AC2B0000}"/>
    <cellStyle name="Note 5 8 4 3" xfId="8567" xr:uid="{00000000-0005-0000-0000-0000AD2B0000}"/>
    <cellStyle name="Note 5 8 4 3 2" xfId="12668" xr:uid="{00000000-0005-0000-0000-0000AE2B0000}"/>
    <cellStyle name="Note 5 8 4 4" xfId="10597" xr:uid="{00000000-0005-0000-0000-0000AF2B0000}"/>
    <cellStyle name="Note 5 8 5" xfId="7364" xr:uid="{00000000-0005-0000-0000-0000B02B0000}"/>
    <cellStyle name="Note 5 8 5 2" xfId="7267" xr:uid="{00000000-0005-0000-0000-0000B12B0000}"/>
    <cellStyle name="Note 5 8 5 2 2" xfId="9565" xr:uid="{00000000-0005-0000-0000-0000B22B0000}"/>
    <cellStyle name="Note 5 8 5 2 2 2" xfId="9494" xr:uid="{00000000-0005-0000-0000-0000B32B0000}"/>
    <cellStyle name="Note 5 8 5 2 2 2 2" xfId="13118" xr:uid="{00000000-0005-0000-0000-0000B42B0000}"/>
    <cellStyle name="Note 5 8 5 2 2 3" xfId="11467" xr:uid="{00000000-0005-0000-0000-0000B52B0000}"/>
    <cellStyle name="Note 5 8 5 2 3" xfId="11538" xr:uid="{00000000-0005-0000-0000-0000B62B0000}"/>
    <cellStyle name="Note 5 8 5 3" xfId="8435" xr:uid="{00000000-0005-0000-0000-0000B72B0000}"/>
    <cellStyle name="Note 5 8 5 3 2" xfId="12220" xr:uid="{00000000-0005-0000-0000-0000B82B0000}"/>
    <cellStyle name="Note 5 8 5 4" xfId="10465" xr:uid="{00000000-0005-0000-0000-0000B92B0000}"/>
    <cellStyle name="Note 5 8 6" xfId="7462" xr:uid="{00000000-0005-0000-0000-0000BA2B0000}"/>
    <cellStyle name="Note 5 8 6 2" xfId="6869" xr:uid="{00000000-0005-0000-0000-0000BB2B0000}"/>
    <cellStyle name="Note 5 8 6 2 2" xfId="9636" xr:uid="{00000000-0005-0000-0000-0000BC2B0000}"/>
    <cellStyle name="Note 5 8 6 2 2 2" xfId="9206" xr:uid="{00000000-0005-0000-0000-0000BD2B0000}"/>
    <cellStyle name="Note 5 8 6 2 2 2 2" xfId="12845" xr:uid="{00000000-0005-0000-0000-0000BE2B0000}"/>
    <cellStyle name="Note 5 8 6 2 2 3" xfId="11179" xr:uid="{00000000-0005-0000-0000-0000BF2B0000}"/>
    <cellStyle name="Note 5 8 6 2 3" xfId="11609" xr:uid="{00000000-0005-0000-0000-0000C02B0000}"/>
    <cellStyle name="Note 5 8 6 3" xfId="8529" xr:uid="{00000000-0005-0000-0000-0000C12B0000}"/>
    <cellStyle name="Note 5 8 6 3 2" xfId="12269" xr:uid="{00000000-0005-0000-0000-0000C22B0000}"/>
    <cellStyle name="Note 5 8 6 4" xfId="10559" xr:uid="{00000000-0005-0000-0000-0000C32B0000}"/>
    <cellStyle name="Note 5 8 7" xfId="7908" xr:uid="{00000000-0005-0000-0000-0000C42B0000}"/>
    <cellStyle name="Note 5 8 7 2" xfId="8056" xr:uid="{00000000-0005-0000-0000-0000C52B0000}"/>
    <cellStyle name="Note 5 8 7 2 2" xfId="9994" xr:uid="{00000000-0005-0000-0000-0000C62B0000}"/>
    <cellStyle name="Note 5 8 7 2 2 2" xfId="10088" xr:uid="{00000000-0005-0000-0000-0000C72B0000}"/>
    <cellStyle name="Note 5 8 7 2 2 2 2" xfId="13286" xr:uid="{00000000-0005-0000-0000-0000C82B0000}"/>
    <cellStyle name="Note 5 8 7 2 2 3" xfId="12061" xr:uid="{00000000-0005-0000-0000-0000C92B0000}"/>
    <cellStyle name="Note 5 8 7 2 3" xfId="11967" xr:uid="{00000000-0005-0000-0000-0000CA2B0000}"/>
    <cellStyle name="Note 5 8 7 3" xfId="8151" xr:uid="{00000000-0005-0000-0000-0000CB2B0000}"/>
    <cellStyle name="Note 5 8 7 3 2" xfId="10181" xr:uid="{00000000-0005-0000-0000-0000CC2B0000}"/>
    <cellStyle name="Note 5 8 7 3 2 2" xfId="13374" xr:uid="{00000000-0005-0000-0000-0000CD2B0000}"/>
    <cellStyle name="Note 5 8 7 3 3" xfId="12154" xr:uid="{00000000-0005-0000-0000-0000CE2B0000}"/>
    <cellStyle name="Note 5 8 7 4" xfId="8954" xr:uid="{00000000-0005-0000-0000-0000CF2B0000}"/>
    <cellStyle name="Note 5 8 7 4 2" xfId="12501" xr:uid="{00000000-0005-0000-0000-0000D02B0000}"/>
    <cellStyle name="Note 5 8 7 5" xfId="10984" xr:uid="{00000000-0005-0000-0000-0000D12B0000}"/>
    <cellStyle name="Note 5 8 8" xfId="8358" xr:uid="{00000000-0005-0000-0000-0000D22B0000}"/>
    <cellStyle name="Note 5 8 8 2" xfId="9156" xr:uid="{00000000-0005-0000-0000-0000D32B0000}"/>
    <cellStyle name="Note 5 8 8 2 2" xfId="12574" xr:uid="{00000000-0005-0000-0000-0000D42B0000}"/>
    <cellStyle name="Note 5 8 8 3" xfId="11129" xr:uid="{00000000-0005-0000-0000-0000D52B0000}"/>
    <cellStyle name="Note 5 8 9" xfId="10388" xr:uid="{00000000-0005-0000-0000-0000D62B0000}"/>
    <cellStyle name="Note 5 9" xfId="5843" xr:uid="{00000000-0005-0000-0000-0000D72B0000}"/>
    <cellStyle name="Note 5 9 2" xfId="7389" xr:uid="{00000000-0005-0000-0000-0000D82B0000}"/>
    <cellStyle name="Note 5 9 2 2" xfId="7233" xr:uid="{00000000-0005-0000-0000-0000D92B0000}"/>
    <cellStyle name="Note 5 9 2 2 2" xfId="9585" xr:uid="{00000000-0005-0000-0000-0000DA2B0000}"/>
    <cellStyle name="Note 5 9 2 2 2 2" xfId="9472" xr:uid="{00000000-0005-0000-0000-0000DB2B0000}"/>
    <cellStyle name="Note 5 9 2 2 2 2 2" xfId="13098" xr:uid="{00000000-0005-0000-0000-0000DC2B0000}"/>
    <cellStyle name="Note 5 9 2 2 2 3" xfId="11445" xr:uid="{00000000-0005-0000-0000-0000DD2B0000}"/>
    <cellStyle name="Note 5 9 2 2 3" xfId="11558" xr:uid="{00000000-0005-0000-0000-0000DE2B0000}"/>
    <cellStyle name="Note 5 9 2 3" xfId="8459" xr:uid="{00000000-0005-0000-0000-0000DF2B0000}"/>
    <cellStyle name="Note 5 9 2 3 2" xfId="12627" xr:uid="{00000000-0005-0000-0000-0000E02B0000}"/>
    <cellStyle name="Note 5 9 2 4" xfId="10489" xr:uid="{00000000-0005-0000-0000-0000E12B0000}"/>
    <cellStyle name="Note 5 9 3" xfId="7747" xr:uid="{00000000-0005-0000-0000-0000E22B0000}"/>
    <cellStyle name="Note 5 9 3 2" xfId="6834" xr:uid="{00000000-0005-0000-0000-0000E32B0000}"/>
    <cellStyle name="Note 5 9 3 2 2" xfId="9860" xr:uid="{00000000-0005-0000-0000-0000E42B0000}"/>
    <cellStyle name="Note 5 9 3 2 2 2" xfId="9177" xr:uid="{00000000-0005-0000-0000-0000E52B0000}"/>
    <cellStyle name="Note 5 9 3 2 2 2 2" xfId="12817" xr:uid="{00000000-0005-0000-0000-0000E62B0000}"/>
    <cellStyle name="Note 5 9 3 2 2 3" xfId="11150" xr:uid="{00000000-0005-0000-0000-0000E72B0000}"/>
    <cellStyle name="Note 5 9 3 2 3" xfId="11833" xr:uid="{00000000-0005-0000-0000-0000E82B0000}"/>
    <cellStyle name="Note 5 9 3 3" xfId="8801" xr:uid="{00000000-0005-0000-0000-0000E92B0000}"/>
    <cellStyle name="Note 5 9 3 3 2" xfId="12440" xr:uid="{00000000-0005-0000-0000-0000EA2B0000}"/>
    <cellStyle name="Note 5 9 3 4" xfId="10831" xr:uid="{00000000-0005-0000-0000-0000EB2B0000}"/>
    <cellStyle name="Note 5 9 4" xfId="7645" xr:uid="{00000000-0005-0000-0000-0000EC2B0000}"/>
    <cellStyle name="Note 5 9 4 2" xfId="7201" xr:uid="{00000000-0005-0000-0000-0000ED2B0000}"/>
    <cellStyle name="Note 5 9 4 2 2" xfId="9447" xr:uid="{00000000-0005-0000-0000-0000EE2B0000}"/>
    <cellStyle name="Note 5 9 4 2 2 2" xfId="13074" xr:uid="{00000000-0005-0000-0000-0000EF2B0000}"/>
    <cellStyle name="Note 5 9 4 2 3" xfId="11420" xr:uid="{00000000-0005-0000-0000-0000F02B0000}"/>
    <cellStyle name="Note 5 9 4 3" xfId="8703" xr:uid="{00000000-0005-0000-0000-0000F12B0000}"/>
    <cellStyle name="Note 5 9 4 3 2" xfId="12720" xr:uid="{00000000-0005-0000-0000-0000F22B0000}"/>
    <cellStyle name="Note 5 9 4 4" xfId="10733" xr:uid="{00000000-0005-0000-0000-0000F32B0000}"/>
    <cellStyle name="Note 5 9 5" xfId="7610" xr:uid="{00000000-0005-0000-0000-0000F42B0000}"/>
    <cellStyle name="Note 5 9 5 2" xfId="6934" xr:uid="{00000000-0005-0000-0000-0000F52B0000}"/>
    <cellStyle name="Note 5 9 5 2 2" xfId="9751" xr:uid="{00000000-0005-0000-0000-0000F62B0000}"/>
    <cellStyle name="Note 5 9 5 2 2 2" xfId="9255" xr:uid="{00000000-0005-0000-0000-0000F72B0000}"/>
    <cellStyle name="Note 5 9 5 2 2 2 2" xfId="12889" xr:uid="{00000000-0005-0000-0000-0000F82B0000}"/>
    <cellStyle name="Note 5 9 5 2 2 3" xfId="11228" xr:uid="{00000000-0005-0000-0000-0000F92B0000}"/>
    <cellStyle name="Note 5 9 5 2 3" xfId="11724" xr:uid="{00000000-0005-0000-0000-0000FA2B0000}"/>
    <cellStyle name="Note 5 9 5 3" xfId="8672" xr:uid="{00000000-0005-0000-0000-0000FB2B0000}"/>
    <cellStyle name="Note 5 9 5 3 2" xfId="12356" xr:uid="{00000000-0005-0000-0000-0000FC2B0000}"/>
    <cellStyle name="Note 5 9 5 4" xfId="10702" xr:uid="{00000000-0005-0000-0000-0000FD2B0000}"/>
    <cellStyle name="Note 5 9 6" xfId="7570" xr:uid="{00000000-0005-0000-0000-0000FE2B0000}"/>
    <cellStyle name="Note 5 9 6 2" xfId="7018" xr:uid="{00000000-0005-0000-0000-0000FF2B0000}"/>
    <cellStyle name="Note 5 9 6 2 2" xfId="9724" xr:uid="{00000000-0005-0000-0000-0000002C0000}"/>
    <cellStyle name="Note 5 9 6 2 2 2" xfId="9316" xr:uid="{00000000-0005-0000-0000-0000012C0000}"/>
    <cellStyle name="Note 5 9 6 2 2 2 2" xfId="12949" xr:uid="{00000000-0005-0000-0000-0000022C0000}"/>
    <cellStyle name="Note 5 9 6 2 2 3" xfId="11289" xr:uid="{00000000-0005-0000-0000-0000032C0000}"/>
    <cellStyle name="Note 5 9 6 2 3" xfId="11697" xr:uid="{00000000-0005-0000-0000-0000042C0000}"/>
    <cellStyle name="Note 5 9 6 3" xfId="8634" xr:uid="{00000000-0005-0000-0000-0000052C0000}"/>
    <cellStyle name="Note 5 9 6 3 2" xfId="12335" xr:uid="{00000000-0005-0000-0000-0000062C0000}"/>
    <cellStyle name="Note 5 9 6 4" xfId="10664" xr:uid="{00000000-0005-0000-0000-0000072C0000}"/>
    <cellStyle name="Note 5 9 7" xfId="7917" xr:uid="{00000000-0005-0000-0000-0000082C0000}"/>
    <cellStyle name="Note 5 9 7 2" xfId="8064" xr:uid="{00000000-0005-0000-0000-0000092C0000}"/>
    <cellStyle name="Note 5 9 7 2 2" xfId="10002" xr:uid="{00000000-0005-0000-0000-00000A2C0000}"/>
    <cellStyle name="Note 5 9 7 2 2 2" xfId="10095" xr:uid="{00000000-0005-0000-0000-00000B2C0000}"/>
    <cellStyle name="Note 5 9 7 2 2 2 2" xfId="13293" xr:uid="{00000000-0005-0000-0000-00000C2C0000}"/>
    <cellStyle name="Note 5 9 7 2 2 3" xfId="12068" xr:uid="{00000000-0005-0000-0000-00000D2C0000}"/>
    <cellStyle name="Note 5 9 7 2 3" xfId="11975" xr:uid="{00000000-0005-0000-0000-00000E2C0000}"/>
    <cellStyle name="Note 5 9 7 3" xfId="8159" xr:uid="{00000000-0005-0000-0000-00000F2C0000}"/>
    <cellStyle name="Note 5 9 7 3 2" xfId="10189" xr:uid="{00000000-0005-0000-0000-0000102C0000}"/>
    <cellStyle name="Note 5 9 7 3 2 2" xfId="13381" xr:uid="{00000000-0005-0000-0000-0000112C0000}"/>
    <cellStyle name="Note 5 9 7 3 3" xfId="12162" xr:uid="{00000000-0005-0000-0000-0000122C0000}"/>
    <cellStyle name="Note 5 9 7 4" xfId="8963" xr:uid="{00000000-0005-0000-0000-0000132C0000}"/>
    <cellStyle name="Note 5 9 7 4 2" xfId="12508" xr:uid="{00000000-0005-0000-0000-0000142C0000}"/>
    <cellStyle name="Note 5 9 7 5" xfId="10993" xr:uid="{00000000-0005-0000-0000-0000152C0000}"/>
    <cellStyle name="Note 5 9 8" xfId="8365" xr:uid="{00000000-0005-0000-0000-0000162C0000}"/>
    <cellStyle name="Note 5 9 8 2" xfId="9163" xr:uid="{00000000-0005-0000-0000-0000172C0000}"/>
    <cellStyle name="Note 5 9 8 2 2" xfId="12581" xr:uid="{00000000-0005-0000-0000-0000182C0000}"/>
    <cellStyle name="Note 5 9 8 3" xfId="11136" xr:uid="{00000000-0005-0000-0000-0000192C0000}"/>
    <cellStyle name="Note 5 9 9" xfId="10395" xr:uid="{00000000-0005-0000-0000-00001A2C0000}"/>
    <cellStyle name="Note 6" xfId="1471" xr:uid="{00000000-0005-0000-0000-00001B2C0000}"/>
    <cellStyle name="Note 6 10" xfId="7317" xr:uid="{00000000-0005-0000-0000-00001C2C0000}"/>
    <cellStyle name="Note 6 10 2" xfId="7134" xr:uid="{00000000-0005-0000-0000-00001D2C0000}"/>
    <cellStyle name="Note 6 10 2 2" xfId="9531" xr:uid="{00000000-0005-0000-0000-00001E2C0000}"/>
    <cellStyle name="Note 6 10 2 2 2" xfId="9406" xr:uid="{00000000-0005-0000-0000-00001F2C0000}"/>
    <cellStyle name="Note 6 10 2 2 2 2" xfId="13036" xr:uid="{00000000-0005-0000-0000-0000202C0000}"/>
    <cellStyle name="Note 6 10 2 2 3" xfId="11379" xr:uid="{00000000-0005-0000-0000-0000212C0000}"/>
    <cellStyle name="Note 6 10 2 3" xfId="11504" xr:uid="{00000000-0005-0000-0000-0000222C0000}"/>
    <cellStyle name="Note 6 10 3" xfId="8390" xr:uid="{00000000-0005-0000-0000-0000232C0000}"/>
    <cellStyle name="Note 6 10 3 2" xfId="12594" xr:uid="{00000000-0005-0000-0000-0000242C0000}"/>
    <cellStyle name="Note 6 10 4" xfId="10420" xr:uid="{00000000-0005-0000-0000-0000252C0000}"/>
    <cellStyle name="Note 6 11" xfId="7733" xr:uid="{00000000-0005-0000-0000-0000262C0000}"/>
    <cellStyle name="Note 6 11 2" xfId="7957" xr:uid="{00000000-0005-0000-0000-0000272C0000}"/>
    <cellStyle name="Note 6 11 2 2" xfId="9849" xr:uid="{00000000-0005-0000-0000-0000282C0000}"/>
    <cellStyle name="Note 6 11 2 2 2" xfId="10016" xr:uid="{00000000-0005-0000-0000-0000292C0000}"/>
    <cellStyle name="Note 6 11 2 2 2 2" xfId="13230" xr:uid="{00000000-0005-0000-0000-00002A2C0000}"/>
    <cellStyle name="Note 6 11 2 2 3" xfId="11989" xr:uid="{00000000-0005-0000-0000-00002B2C0000}"/>
    <cellStyle name="Note 6 11 2 3" xfId="11822" xr:uid="{00000000-0005-0000-0000-00002C2C0000}"/>
    <cellStyle name="Note 6 11 3" xfId="8787" xr:uid="{00000000-0005-0000-0000-00002D2C0000}"/>
    <cellStyle name="Note 6 11 3 2" xfId="12430" xr:uid="{00000000-0005-0000-0000-00002E2C0000}"/>
    <cellStyle name="Note 6 11 4" xfId="10817" xr:uid="{00000000-0005-0000-0000-00002F2C0000}"/>
    <cellStyle name="Note 6 12" xfId="7580" xr:uid="{00000000-0005-0000-0000-0000302C0000}"/>
    <cellStyle name="Note 6 12 2" xfId="7283" xr:uid="{00000000-0005-0000-0000-0000312C0000}"/>
    <cellStyle name="Note 6 12 2 2" xfId="9506" xr:uid="{00000000-0005-0000-0000-0000322C0000}"/>
    <cellStyle name="Note 6 12 2 2 2" xfId="13130" xr:uid="{00000000-0005-0000-0000-0000332C0000}"/>
    <cellStyle name="Note 6 12 2 3" xfId="11479" xr:uid="{00000000-0005-0000-0000-0000342C0000}"/>
    <cellStyle name="Note 6 12 3" xfId="8643" xr:uid="{00000000-0005-0000-0000-0000352C0000}"/>
    <cellStyle name="Note 6 12 3 2" xfId="12693" xr:uid="{00000000-0005-0000-0000-0000362C0000}"/>
    <cellStyle name="Note 6 12 4" xfId="10673" xr:uid="{00000000-0005-0000-0000-0000372C0000}"/>
    <cellStyle name="Note 6 13" xfId="7447" xr:uid="{00000000-0005-0000-0000-0000382C0000}"/>
    <cellStyle name="Note 6 13 2" xfId="7160" xr:uid="{00000000-0005-0000-0000-0000392C0000}"/>
    <cellStyle name="Note 6 13 2 2" xfId="9626" xr:uid="{00000000-0005-0000-0000-00003A2C0000}"/>
    <cellStyle name="Note 6 13 2 2 2" xfId="9421" xr:uid="{00000000-0005-0000-0000-00003B2C0000}"/>
    <cellStyle name="Note 6 13 2 2 2 2" xfId="13051" xr:uid="{00000000-0005-0000-0000-00003C2C0000}"/>
    <cellStyle name="Note 6 13 2 2 3" xfId="11394" xr:uid="{00000000-0005-0000-0000-00003D2C0000}"/>
    <cellStyle name="Note 6 13 2 3" xfId="11599" xr:uid="{00000000-0005-0000-0000-00003E2C0000}"/>
    <cellStyle name="Note 6 13 3" xfId="8516" xr:uid="{00000000-0005-0000-0000-00003F2C0000}"/>
    <cellStyle name="Note 6 13 3 2" xfId="12260" xr:uid="{00000000-0005-0000-0000-0000402C0000}"/>
    <cellStyle name="Note 6 13 4" xfId="10546" xr:uid="{00000000-0005-0000-0000-0000412C0000}"/>
    <cellStyle name="Note 6 14" xfId="7344" xr:uid="{00000000-0005-0000-0000-0000422C0000}"/>
    <cellStyle name="Note 6 14 2" xfId="6890" xr:uid="{00000000-0005-0000-0000-0000432C0000}"/>
    <cellStyle name="Note 6 14 2 2" xfId="9550" xr:uid="{00000000-0005-0000-0000-0000442C0000}"/>
    <cellStyle name="Note 6 14 2 2 2" xfId="9223" xr:uid="{00000000-0005-0000-0000-0000452C0000}"/>
    <cellStyle name="Note 6 14 2 2 2 2" xfId="12859" xr:uid="{00000000-0005-0000-0000-0000462C0000}"/>
    <cellStyle name="Note 6 14 2 2 3" xfId="11196" xr:uid="{00000000-0005-0000-0000-0000472C0000}"/>
    <cellStyle name="Note 6 14 2 3" xfId="11523" xr:uid="{00000000-0005-0000-0000-0000482C0000}"/>
    <cellStyle name="Note 6 14 3" xfId="8416" xr:uid="{00000000-0005-0000-0000-0000492C0000}"/>
    <cellStyle name="Note 6 14 3 2" xfId="12210" xr:uid="{00000000-0005-0000-0000-00004A2C0000}"/>
    <cellStyle name="Note 6 14 4" xfId="10446" xr:uid="{00000000-0005-0000-0000-00004B2C0000}"/>
    <cellStyle name="Note 6 15" xfId="7817" xr:uid="{00000000-0005-0000-0000-00004C2C0000}"/>
    <cellStyle name="Note 6 15 2" xfId="7966" xr:uid="{00000000-0005-0000-0000-00004D2C0000}"/>
    <cellStyle name="Note 6 15 2 2" xfId="9920" xr:uid="{00000000-0005-0000-0000-00004E2C0000}"/>
    <cellStyle name="Note 6 15 2 2 2" xfId="10024" xr:uid="{00000000-0005-0000-0000-00004F2C0000}"/>
    <cellStyle name="Note 6 15 2 2 2 2" xfId="13238" xr:uid="{00000000-0005-0000-0000-0000502C0000}"/>
    <cellStyle name="Note 6 15 2 2 3" xfId="11997" xr:uid="{00000000-0005-0000-0000-0000512C0000}"/>
    <cellStyle name="Note 6 15 2 3" xfId="11893" xr:uid="{00000000-0005-0000-0000-0000522C0000}"/>
    <cellStyle name="Note 6 15 3" xfId="8077" xr:uid="{00000000-0005-0000-0000-0000532C0000}"/>
    <cellStyle name="Note 6 15 3 2" xfId="10107" xr:uid="{00000000-0005-0000-0000-0000542C0000}"/>
    <cellStyle name="Note 6 15 3 2 2" xfId="13301" xr:uid="{00000000-0005-0000-0000-0000552C0000}"/>
    <cellStyle name="Note 6 15 3 3" xfId="12080" xr:uid="{00000000-0005-0000-0000-0000562C0000}"/>
    <cellStyle name="Note 6 15 4" xfId="8864" xr:uid="{00000000-0005-0000-0000-0000572C0000}"/>
    <cellStyle name="Note 6 15 4 2" xfId="12453" xr:uid="{00000000-0005-0000-0000-0000582C0000}"/>
    <cellStyle name="Note 6 15 5" xfId="10894" xr:uid="{00000000-0005-0000-0000-0000592C0000}"/>
    <cellStyle name="Note 6 16" xfId="8273" xr:uid="{00000000-0005-0000-0000-00005A2C0000}"/>
    <cellStyle name="Note 6 16 2" xfId="9016" xr:uid="{00000000-0005-0000-0000-00005B2C0000}"/>
    <cellStyle name="Note 6 16 2 2" xfId="12525" xr:uid="{00000000-0005-0000-0000-00005C2C0000}"/>
    <cellStyle name="Note 6 16 3" xfId="11035" xr:uid="{00000000-0005-0000-0000-00005D2C0000}"/>
    <cellStyle name="Note 6 17" xfId="10303" xr:uid="{00000000-0005-0000-0000-00005E2C0000}"/>
    <cellStyle name="Note 6 2" xfId="1748" xr:uid="{00000000-0005-0000-0000-00005F2C0000}"/>
    <cellStyle name="Note 6 2 2" xfId="7641" xr:uid="{00000000-0005-0000-0000-0000602C0000}"/>
    <cellStyle name="Note 6 2 2 2" xfId="7095" xr:uid="{00000000-0005-0000-0000-0000612C0000}"/>
    <cellStyle name="Note 6 2 2 2 2" xfId="9774" xr:uid="{00000000-0005-0000-0000-0000622C0000}"/>
    <cellStyle name="Note 6 2 2 2 2 2" xfId="9378" xr:uid="{00000000-0005-0000-0000-0000632C0000}"/>
    <cellStyle name="Note 6 2 2 2 2 2 2" xfId="13008" xr:uid="{00000000-0005-0000-0000-0000642C0000}"/>
    <cellStyle name="Note 6 2 2 2 2 3" xfId="11351" xr:uid="{00000000-0005-0000-0000-0000652C0000}"/>
    <cellStyle name="Note 6 2 2 2 3" xfId="11747" xr:uid="{00000000-0005-0000-0000-0000662C0000}"/>
    <cellStyle name="Note 6 2 2 3" xfId="8700" xr:uid="{00000000-0005-0000-0000-0000672C0000}"/>
    <cellStyle name="Note 6 2 2 3 2" xfId="12718" xr:uid="{00000000-0005-0000-0000-0000682C0000}"/>
    <cellStyle name="Note 6 2 2 4" xfId="10730" xr:uid="{00000000-0005-0000-0000-0000692C0000}"/>
    <cellStyle name="Note 6 2 3" xfId="7506" xr:uid="{00000000-0005-0000-0000-00006A2C0000}"/>
    <cellStyle name="Note 6 2 3 2" xfId="7123" xr:uid="{00000000-0005-0000-0000-00006B2C0000}"/>
    <cellStyle name="Note 6 2 3 2 2" xfId="9672" xr:uid="{00000000-0005-0000-0000-00006C2C0000}"/>
    <cellStyle name="Note 6 2 3 2 2 2" xfId="9398" xr:uid="{00000000-0005-0000-0000-00006D2C0000}"/>
    <cellStyle name="Note 6 2 3 2 2 2 2" xfId="13028" xr:uid="{00000000-0005-0000-0000-00006E2C0000}"/>
    <cellStyle name="Note 6 2 3 2 2 3" xfId="11371" xr:uid="{00000000-0005-0000-0000-00006F2C0000}"/>
    <cellStyle name="Note 6 2 3 2 3" xfId="11645" xr:uid="{00000000-0005-0000-0000-0000702C0000}"/>
    <cellStyle name="Note 6 2 3 3" xfId="8573" xr:uid="{00000000-0005-0000-0000-0000712C0000}"/>
    <cellStyle name="Note 6 2 3 3 2" xfId="12296" xr:uid="{00000000-0005-0000-0000-0000722C0000}"/>
    <cellStyle name="Note 6 2 3 4" xfId="10603" xr:uid="{00000000-0005-0000-0000-0000732C0000}"/>
    <cellStyle name="Note 6 2 4" xfId="7440" xr:uid="{00000000-0005-0000-0000-0000742C0000}"/>
    <cellStyle name="Note 6 2 4 2" xfId="7090" xr:uid="{00000000-0005-0000-0000-0000752C0000}"/>
    <cellStyle name="Note 6 2 4 2 2" xfId="9374" xr:uid="{00000000-0005-0000-0000-0000762C0000}"/>
    <cellStyle name="Note 6 2 4 2 2 2" xfId="13005" xr:uid="{00000000-0005-0000-0000-0000772C0000}"/>
    <cellStyle name="Note 6 2 4 2 3" xfId="11347" xr:uid="{00000000-0005-0000-0000-0000782C0000}"/>
    <cellStyle name="Note 6 2 4 3" xfId="8510" xr:uid="{00000000-0005-0000-0000-0000792C0000}"/>
    <cellStyle name="Note 6 2 4 3 2" xfId="12652" xr:uid="{00000000-0005-0000-0000-00007A2C0000}"/>
    <cellStyle name="Note 6 2 4 4" xfId="10540" xr:uid="{00000000-0005-0000-0000-00007B2C0000}"/>
    <cellStyle name="Note 6 2 5" xfId="7628" xr:uid="{00000000-0005-0000-0000-00007C2C0000}"/>
    <cellStyle name="Note 6 2 5 2" xfId="7196" xr:uid="{00000000-0005-0000-0000-00007D2C0000}"/>
    <cellStyle name="Note 6 2 5 2 2" xfId="9764" xr:uid="{00000000-0005-0000-0000-00007E2C0000}"/>
    <cellStyle name="Note 6 2 5 2 2 2" xfId="9443" xr:uid="{00000000-0005-0000-0000-00007F2C0000}"/>
    <cellStyle name="Note 6 2 5 2 2 2 2" xfId="13072" xr:uid="{00000000-0005-0000-0000-0000802C0000}"/>
    <cellStyle name="Note 6 2 5 2 2 3" xfId="11416" xr:uid="{00000000-0005-0000-0000-0000812C0000}"/>
    <cellStyle name="Note 6 2 5 2 3" xfId="11737" xr:uid="{00000000-0005-0000-0000-0000822C0000}"/>
    <cellStyle name="Note 6 2 5 3" xfId="8688" xr:uid="{00000000-0005-0000-0000-0000832C0000}"/>
    <cellStyle name="Note 6 2 5 3 2" xfId="12366" xr:uid="{00000000-0005-0000-0000-0000842C0000}"/>
    <cellStyle name="Note 6 2 5 4" xfId="10718" xr:uid="{00000000-0005-0000-0000-0000852C0000}"/>
    <cellStyle name="Note 6 2 6" xfId="7752" xr:uid="{00000000-0005-0000-0000-0000862C0000}"/>
    <cellStyle name="Note 6 2 6 2" xfId="6872" xr:uid="{00000000-0005-0000-0000-0000872C0000}"/>
    <cellStyle name="Note 6 2 6 2 2" xfId="9864" xr:uid="{00000000-0005-0000-0000-0000882C0000}"/>
    <cellStyle name="Note 6 2 6 2 2 2" xfId="9209" xr:uid="{00000000-0005-0000-0000-0000892C0000}"/>
    <cellStyle name="Note 6 2 6 2 2 2 2" xfId="12847" xr:uid="{00000000-0005-0000-0000-00008A2C0000}"/>
    <cellStyle name="Note 6 2 6 2 2 3" xfId="11182" xr:uid="{00000000-0005-0000-0000-00008B2C0000}"/>
    <cellStyle name="Note 6 2 6 2 3" xfId="11837" xr:uid="{00000000-0005-0000-0000-00008C2C0000}"/>
    <cellStyle name="Note 6 2 6 3" xfId="8806" xr:uid="{00000000-0005-0000-0000-00008D2C0000}"/>
    <cellStyle name="Note 6 2 6 3 2" xfId="12444" xr:uid="{00000000-0005-0000-0000-00008E2C0000}"/>
    <cellStyle name="Note 6 2 6 4" xfId="10836" xr:uid="{00000000-0005-0000-0000-00008F2C0000}"/>
    <cellStyle name="Note 6 2 7" xfId="7869" xr:uid="{00000000-0005-0000-0000-0000902C0000}"/>
    <cellStyle name="Note 6 2 7 2" xfId="8018" xr:uid="{00000000-0005-0000-0000-0000912C0000}"/>
    <cellStyle name="Note 6 2 7 2 2" xfId="9960" xr:uid="{00000000-0005-0000-0000-0000922C0000}"/>
    <cellStyle name="Note 6 2 7 2 2 2" xfId="10050" xr:uid="{00000000-0005-0000-0000-0000932C0000}"/>
    <cellStyle name="Note 6 2 7 2 2 2 2" xfId="13252" xr:uid="{00000000-0005-0000-0000-0000942C0000}"/>
    <cellStyle name="Note 6 2 7 2 2 3" xfId="12023" xr:uid="{00000000-0005-0000-0000-0000952C0000}"/>
    <cellStyle name="Note 6 2 7 2 3" xfId="11933" xr:uid="{00000000-0005-0000-0000-0000962C0000}"/>
    <cellStyle name="Note 6 2 7 3" xfId="8117" xr:uid="{00000000-0005-0000-0000-0000972C0000}"/>
    <cellStyle name="Note 6 2 7 3 2" xfId="10147" xr:uid="{00000000-0005-0000-0000-0000982C0000}"/>
    <cellStyle name="Note 6 2 7 3 2 2" xfId="13340" xr:uid="{00000000-0005-0000-0000-0000992C0000}"/>
    <cellStyle name="Note 6 2 7 3 3" xfId="12120" xr:uid="{00000000-0005-0000-0000-00009A2C0000}"/>
    <cellStyle name="Note 6 2 7 4" xfId="8916" xr:uid="{00000000-0005-0000-0000-00009B2C0000}"/>
    <cellStyle name="Note 6 2 7 4 2" xfId="12467" xr:uid="{00000000-0005-0000-0000-00009C2C0000}"/>
    <cellStyle name="Note 6 2 7 5" xfId="10946" xr:uid="{00000000-0005-0000-0000-00009D2C0000}"/>
    <cellStyle name="Note 6 2 8" xfId="8324" xr:uid="{00000000-0005-0000-0000-00009E2C0000}"/>
    <cellStyle name="Note 6 2 8 2" xfId="9122" xr:uid="{00000000-0005-0000-0000-00009F2C0000}"/>
    <cellStyle name="Note 6 2 8 2 2" xfId="12540" xr:uid="{00000000-0005-0000-0000-0000A02C0000}"/>
    <cellStyle name="Note 6 2 8 3" xfId="11095" xr:uid="{00000000-0005-0000-0000-0000A12C0000}"/>
    <cellStyle name="Note 6 2 9" xfId="10354" xr:uid="{00000000-0005-0000-0000-0000A22C0000}"/>
    <cellStyle name="Note 6 3" xfId="1620" xr:uid="{00000000-0005-0000-0000-0000A32C0000}"/>
    <cellStyle name="Note 6 3 2" xfId="7459" xr:uid="{00000000-0005-0000-0000-0000A42C0000}"/>
    <cellStyle name="Note 6 3 2 2" xfId="7005" xr:uid="{00000000-0005-0000-0000-0000A52C0000}"/>
    <cellStyle name="Note 6 3 2 2 2" xfId="9634" xr:uid="{00000000-0005-0000-0000-0000A62C0000}"/>
    <cellStyle name="Note 6 3 2 2 2 2" xfId="9306" xr:uid="{00000000-0005-0000-0000-0000A72C0000}"/>
    <cellStyle name="Note 6 3 2 2 2 2 2" xfId="12939" xr:uid="{00000000-0005-0000-0000-0000A82C0000}"/>
    <cellStyle name="Note 6 3 2 2 2 3" xfId="11279" xr:uid="{00000000-0005-0000-0000-0000A92C0000}"/>
    <cellStyle name="Note 6 3 2 2 3" xfId="11607" xr:uid="{00000000-0005-0000-0000-0000AA2C0000}"/>
    <cellStyle name="Note 6 3 2 3" xfId="8526" xr:uid="{00000000-0005-0000-0000-0000AB2C0000}"/>
    <cellStyle name="Note 6 3 2 3 2" xfId="12656" xr:uid="{00000000-0005-0000-0000-0000AC2C0000}"/>
    <cellStyle name="Note 6 3 2 4" xfId="10556" xr:uid="{00000000-0005-0000-0000-0000AD2C0000}"/>
    <cellStyle name="Note 6 3 3" xfId="7346" xr:uid="{00000000-0005-0000-0000-0000AE2C0000}"/>
    <cellStyle name="Note 6 3 3 2" xfId="7041" xr:uid="{00000000-0005-0000-0000-0000AF2C0000}"/>
    <cellStyle name="Note 6 3 3 2 2" xfId="9551" xr:uid="{00000000-0005-0000-0000-0000B02C0000}"/>
    <cellStyle name="Note 6 3 3 2 2 2" xfId="9335" xr:uid="{00000000-0005-0000-0000-0000B12C0000}"/>
    <cellStyle name="Note 6 3 3 2 2 2 2" xfId="12966" xr:uid="{00000000-0005-0000-0000-0000B22C0000}"/>
    <cellStyle name="Note 6 3 3 2 2 3" xfId="11308" xr:uid="{00000000-0005-0000-0000-0000B32C0000}"/>
    <cellStyle name="Note 6 3 3 2 3" xfId="11524" xr:uid="{00000000-0005-0000-0000-0000B42C0000}"/>
    <cellStyle name="Note 6 3 3 3" xfId="8418" xr:uid="{00000000-0005-0000-0000-0000B52C0000}"/>
    <cellStyle name="Note 6 3 3 3 2" xfId="12211" xr:uid="{00000000-0005-0000-0000-0000B62C0000}"/>
    <cellStyle name="Note 6 3 3 4" xfId="10448" xr:uid="{00000000-0005-0000-0000-0000B72C0000}"/>
    <cellStyle name="Note 6 3 4" xfId="7340" xr:uid="{00000000-0005-0000-0000-0000B82C0000}"/>
    <cellStyle name="Note 6 3 4 2" xfId="7210" xr:uid="{00000000-0005-0000-0000-0000B92C0000}"/>
    <cellStyle name="Note 6 3 4 2 2" xfId="9454" xr:uid="{00000000-0005-0000-0000-0000BA2C0000}"/>
    <cellStyle name="Note 6 3 4 2 2 2" xfId="13081" xr:uid="{00000000-0005-0000-0000-0000BB2C0000}"/>
    <cellStyle name="Note 6 3 4 2 3" xfId="11427" xr:uid="{00000000-0005-0000-0000-0000BC2C0000}"/>
    <cellStyle name="Note 6 3 4 3" xfId="8412" xr:uid="{00000000-0005-0000-0000-0000BD2C0000}"/>
    <cellStyle name="Note 6 3 4 3 2" xfId="12604" xr:uid="{00000000-0005-0000-0000-0000BE2C0000}"/>
    <cellStyle name="Note 6 3 4 4" xfId="10442" xr:uid="{00000000-0005-0000-0000-0000BF2C0000}"/>
    <cellStyle name="Note 6 3 5" xfId="7415" xr:uid="{00000000-0005-0000-0000-0000C02C0000}"/>
    <cellStyle name="Note 6 3 5 2" xfId="6935" xr:uid="{00000000-0005-0000-0000-0000C12C0000}"/>
    <cellStyle name="Note 6 3 5 2 2" xfId="9603" xr:uid="{00000000-0005-0000-0000-0000C22C0000}"/>
    <cellStyle name="Note 6 3 5 2 2 2" xfId="9256" xr:uid="{00000000-0005-0000-0000-0000C32C0000}"/>
    <cellStyle name="Note 6 3 5 2 2 2 2" xfId="12890" xr:uid="{00000000-0005-0000-0000-0000C42C0000}"/>
    <cellStyle name="Note 6 3 5 2 2 3" xfId="11229" xr:uid="{00000000-0005-0000-0000-0000C52C0000}"/>
    <cellStyle name="Note 6 3 5 2 3" xfId="11576" xr:uid="{00000000-0005-0000-0000-0000C62C0000}"/>
    <cellStyle name="Note 6 3 5 3" xfId="8485" xr:uid="{00000000-0005-0000-0000-0000C72C0000}"/>
    <cellStyle name="Note 6 3 5 3 2" xfId="12244" xr:uid="{00000000-0005-0000-0000-0000C82C0000}"/>
    <cellStyle name="Note 6 3 5 4" xfId="10515" xr:uid="{00000000-0005-0000-0000-0000C92C0000}"/>
    <cellStyle name="Note 6 3 6" xfId="7730" xr:uid="{00000000-0005-0000-0000-0000CA2C0000}"/>
    <cellStyle name="Note 6 3 6 2" xfId="7955" xr:uid="{00000000-0005-0000-0000-0000CB2C0000}"/>
    <cellStyle name="Note 6 3 6 2 2" xfId="9846" xr:uid="{00000000-0005-0000-0000-0000CC2C0000}"/>
    <cellStyle name="Note 6 3 6 2 2 2" xfId="10014" xr:uid="{00000000-0005-0000-0000-0000CD2C0000}"/>
    <cellStyle name="Note 6 3 6 2 2 2 2" xfId="13228" xr:uid="{00000000-0005-0000-0000-0000CE2C0000}"/>
    <cellStyle name="Note 6 3 6 2 2 3" xfId="11987" xr:uid="{00000000-0005-0000-0000-0000CF2C0000}"/>
    <cellStyle name="Note 6 3 6 2 3" xfId="11819" xr:uid="{00000000-0005-0000-0000-0000D02C0000}"/>
    <cellStyle name="Note 6 3 6 3" xfId="8784" xr:uid="{00000000-0005-0000-0000-0000D12C0000}"/>
    <cellStyle name="Note 6 3 6 3 2" xfId="12427" xr:uid="{00000000-0005-0000-0000-0000D22C0000}"/>
    <cellStyle name="Note 6 3 6 4" xfId="10814" xr:uid="{00000000-0005-0000-0000-0000D32C0000}"/>
    <cellStyle name="Note 6 3 7" xfId="7856" xr:uid="{00000000-0005-0000-0000-0000D42C0000}"/>
    <cellStyle name="Note 6 3 7 2" xfId="8005" xr:uid="{00000000-0005-0000-0000-0000D52C0000}"/>
    <cellStyle name="Note 6 3 7 2 2" xfId="9947" xr:uid="{00000000-0005-0000-0000-0000D62C0000}"/>
    <cellStyle name="Note 6 3 7 2 2 2" xfId="10037" xr:uid="{00000000-0005-0000-0000-0000D72C0000}"/>
    <cellStyle name="Note 6 3 7 2 2 2 2" xfId="13239" xr:uid="{00000000-0005-0000-0000-0000D82C0000}"/>
    <cellStyle name="Note 6 3 7 2 2 3" xfId="12010" xr:uid="{00000000-0005-0000-0000-0000D92C0000}"/>
    <cellStyle name="Note 6 3 7 2 3" xfId="11920" xr:uid="{00000000-0005-0000-0000-0000DA2C0000}"/>
    <cellStyle name="Note 6 3 7 3" xfId="8104" xr:uid="{00000000-0005-0000-0000-0000DB2C0000}"/>
    <cellStyle name="Note 6 3 7 3 2" xfId="10134" xr:uid="{00000000-0005-0000-0000-0000DC2C0000}"/>
    <cellStyle name="Note 6 3 7 3 2 2" xfId="13327" xr:uid="{00000000-0005-0000-0000-0000DD2C0000}"/>
    <cellStyle name="Note 6 3 7 3 3" xfId="12107" xr:uid="{00000000-0005-0000-0000-0000DE2C0000}"/>
    <cellStyle name="Note 6 3 7 4" xfId="8903" xr:uid="{00000000-0005-0000-0000-0000DF2C0000}"/>
    <cellStyle name="Note 6 3 7 4 2" xfId="12454" xr:uid="{00000000-0005-0000-0000-0000E02C0000}"/>
    <cellStyle name="Note 6 3 7 5" xfId="10933" xr:uid="{00000000-0005-0000-0000-0000E12C0000}"/>
    <cellStyle name="Note 6 3 8" xfId="8311" xr:uid="{00000000-0005-0000-0000-0000E22C0000}"/>
    <cellStyle name="Note 6 3 8 2" xfId="8975" xr:uid="{00000000-0005-0000-0000-0000E32C0000}"/>
    <cellStyle name="Note 6 3 8 2 2" xfId="12527" xr:uid="{00000000-0005-0000-0000-0000E42C0000}"/>
    <cellStyle name="Note 6 3 8 3" xfId="11005" xr:uid="{00000000-0005-0000-0000-0000E52C0000}"/>
    <cellStyle name="Note 6 3 9" xfId="10341" xr:uid="{00000000-0005-0000-0000-0000E62C0000}"/>
    <cellStyle name="Note 6 4" xfId="2082" xr:uid="{00000000-0005-0000-0000-0000E72C0000}"/>
    <cellStyle name="Note 6 4 2" xfId="7321" xr:uid="{00000000-0005-0000-0000-0000E82C0000}"/>
    <cellStyle name="Note 6 4 2 2" xfId="6889" xr:uid="{00000000-0005-0000-0000-0000E92C0000}"/>
    <cellStyle name="Note 6 4 2 2 2" xfId="9534" xr:uid="{00000000-0005-0000-0000-0000EA2C0000}"/>
    <cellStyle name="Note 6 4 2 2 2 2" xfId="9222" xr:uid="{00000000-0005-0000-0000-0000EB2C0000}"/>
    <cellStyle name="Note 6 4 2 2 2 2 2" xfId="12858" xr:uid="{00000000-0005-0000-0000-0000EC2C0000}"/>
    <cellStyle name="Note 6 4 2 2 2 3" xfId="11195" xr:uid="{00000000-0005-0000-0000-0000ED2C0000}"/>
    <cellStyle name="Note 6 4 2 2 3" xfId="11507" xr:uid="{00000000-0005-0000-0000-0000EE2C0000}"/>
    <cellStyle name="Note 6 4 2 3" xfId="8394" xr:uid="{00000000-0005-0000-0000-0000EF2C0000}"/>
    <cellStyle name="Note 6 4 2 3 2" xfId="12596" xr:uid="{00000000-0005-0000-0000-0000F02C0000}"/>
    <cellStyle name="Note 6 4 2 4" xfId="10424" xr:uid="{00000000-0005-0000-0000-0000F12C0000}"/>
    <cellStyle name="Note 6 4 3" xfId="7464" xr:uid="{00000000-0005-0000-0000-0000F22C0000}"/>
    <cellStyle name="Note 6 4 3 2" xfId="7204" xr:uid="{00000000-0005-0000-0000-0000F32C0000}"/>
    <cellStyle name="Note 6 4 3 2 2" xfId="9637" xr:uid="{00000000-0005-0000-0000-0000F42C0000}"/>
    <cellStyle name="Note 6 4 3 2 2 2" xfId="9449" xr:uid="{00000000-0005-0000-0000-0000F52C0000}"/>
    <cellStyle name="Note 6 4 3 2 2 2 2" xfId="13076" xr:uid="{00000000-0005-0000-0000-0000F62C0000}"/>
    <cellStyle name="Note 6 4 3 2 2 3" xfId="11422" xr:uid="{00000000-0005-0000-0000-0000F72C0000}"/>
    <cellStyle name="Note 6 4 3 2 3" xfId="11610" xr:uid="{00000000-0005-0000-0000-0000F82C0000}"/>
    <cellStyle name="Note 6 4 3 3" xfId="8531" xr:uid="{00000000-0005-0000-0000-0000F92C0000}"/>
    <cellStyle name="Note 6 4 3 3 2" xfId="12270" xr:uid="{00000000-0005-0000-0000-0000FA2C0000}"/>
    <cellStyle name="Note 6 4 3 4" xfId="10561" xr:uid="{00000000-0005-0000-0000-0000FB2C0000}"/>
    <cellStyle name="Note 6 4 4" xfId="7367" xr:uid="{00000000-0005-0000-0000-0000FC2C0000}"/>
    <cellStyle name="Note 6 4 4 2" xfId="6922" xr:uid="{00000000-0005-0000-0000-0000FD2C0000}"/>
    <cellStyle name="Note 6 4 4 2 2" xfId="9244" xr:uid="{00000000-0005-0000-0000-0000FE2C0000}"/>
    <cellStyle name="Note 6 4 4 2 2 2" xfId="12878" xr:uid="{00000000-0005-0000-0000-0000FF2C0000}"/>
    <cellStyle name="Note 6 4 4 2 3" xfId="11217" xr:uid="{00000000-0005-0000-0000-0000002D0000}"/>
    <cellStyle name="Note 6 4 4 3" xfId="8438" xr:uid="{00000000-0005-0000-0000-0000012D0000}"/>
    <cellStyle name="Note 6 4 4 3 2" xfId="12616" xr:uid="{00000000-0005-0000-0000-0000022D0000}"/>
    <cellStyle name="Note 6 4 4 4" xfId="10468" xr:uid="{00000000-0005-0000-0000-0000032D0000}"/>
    <cellStyle name="Note 6 4 5" xfId="7385" xr:uid="{00000000-0005-0000-0000-0000042D0000}"/>
    <cellStyle name="Note 6 4 5 2" xfId="7156" xr:uid="{00000000-0005-0000-0000-0000052D0000}"/>
    <cellStyle name="Note 6 4 5 2 2" xfId="9581" xr:uid="{00000000-0005-0000-0000-0000062D0000}"/>
    <cellStyle name="Note 6 4 5 2 2 2" xfId="9417" xr:uid="{00000000-0005-0000-0000-0000072D0000}"/>
    <cellStyle name="Note 6 4 5 2 2 2 2" xfId="13047" xr:uid="{00000000-0005-0000-0000-0000082D0000}"/>
    <cellStyle name="Note 6 4 5 2 2 3" xfId="11390" xr:uid="{00000000-0005-0000-0000-0000092D0000}"/>
    <cellStyle name="Note 6 4 5 2 3" xfId="11554" xr:uid="{00000000-0005-0000-0000-00000A2D0000}"/>
    <cellStyle name="Note 6 4 5 3" xfId="8455" xr:uid="{00000000-0005-0000-0000-00000B2D0000}"/>
    <cellStyle name="Note 6 4 5 3 2" xfId="12229" xr:uid="{00000000-0005-0000-0000-00000C2D0000}"/>
    <cellStyle name="Note 6 4 5 4" xfId="10485" xr:uid="{00000000-0005-0000-0000-00000D2D0000}"/>
    <cellStyle name="Note 6 4 6" xfId="7302" xr:uid="{00000000-0005-0000-0000-00000E2D0000}"/>
    <cellStyle name="Note 6 4 6 2" xfId="7287" xr:uid="{00000000-0005-0000-0000-00000F2D0000}"/>
    <cellStyle name="Note 6 4 6 2 2" xfId="9521" xr:uid="{00000000-0005-0000-0000-0000102D0000}"/>
    <cellStyle name="Note 6 4 6 2 2 2" xfId="9510" xr:uid="{00000000-0005-0000-0000-0000112D0000}"/>
    <cellStyle name="Note 6 4 6 2 2 2 2" xfId="13133" xr:uid="{00000000-0005-0000-0000-0000122D0000}"/>
    <cellStyle name="Note 6 4 6 2 2 3" xfId="11483" xr:uid="{00000000-0005-0000-0000-0000132D0000}"/>
    <cellStyle name="Note 6 4 6 2 3" xfId="11494" xr:uid="{00000000-0005-0000-0000-0000142D0000}"/>
    <cellStyle name="Note 6 4 6 3" xfId="8375" xr:uid="{00000000-0005-0000-0000-0000152D0000}"/>
    <cellStyle name="Note 6 4 6 3 2" xfId="12190" xr:uid="{00000000-0005-0000-0000-0000162D0000}"/>
    <cellStyle name="Note 6 4 6 4" xfId="10405" xr:uid="{00000000-0005-0000-0000-0000172D0000}"/>
    <cellStyle name="Note 6 4 7" xfId="7881" xr:uid="{00000000-0005-0000-0000-0000182D0000}"/>
    <cellStyle name="Note 6 4 7 2" xfId="8030" xr:uid="{00000000-0005-0000-0000-0000192D0000}"/>
    <cellStyle name="Note 6 4 7 2 2" xfId="9972" xr:uid="{00000000-0005-0000-0000-00001A2D0000}"/>
    <cellStyle name="Note 6 4 7 2 2 2" xfId="10062" xr:uid="{00000000-0005-0000-0000-00001B2D0000}"/>
    <cellStyle name="Note 6 4 7 2 2 2 2" xfId="13264" xr:uid="{00000000-0005-0000-0000-00001C2D0000}"/>
    <cellStyle name="Note 6 4 7 2 2 3" xfId="12035" xr:uid="{00000000-0005-0000-0000-00001D2D0000}"/>
    <cellStyle name="Note 6 4 7 2 3" xfId="11945" xr:uid="{00000000-0005-0000-0000-00001E2D0000}"/>
    <cellStyle name="Note 6 4 7 3" xfId="8129" xr:uid="{00000000-0005-0000-0000-00001F2D0000}"/>
    <cellStyle name="Note 6 4 7 3 2" xfId="10159" xr:uid="{00000000-0005-0000-0000-0000202D0000}"/>
    <cellStyle name="Note 6 4 7 3 2 2" xfId="13352" xr:uid="{00000000-0005-0000-0000-0000212D0000}"/>
    <cellStyle name="Note 6 4 7 3 3" xfId="12132" xr:uid="{00000000-0005-0000-0000-0000222D0000}"/>
    <cellStyle name="Note 6 4 7 4" xfId="8928" xr:uid="{00000000-0005-0000-0000-0000232D0000}"/>
    <cellStyle name="Note 6 4 7 4 2" xfId="12479" xr:uid="{00000000-0005-0000-0000-0000242D0000}"/>
    <cellStyle name="Note 6 4 7 5" xfId="10958" xr:uid="{00000000-0005-0000-0000-0000252D0000}"/>
    <cellStyle name="Note 6 4 8" xfId="8336" xr:uid="{00000000-0005-0000-0000-0000262D0000}"/>
    <cellStyle name="Note 6 4 8 2" xfId="9134" xr:uid="{00000000-0005-0000-0000-0000272D0000}"/>
    <cellStyle name="Note 6 4 8 2 2" xfId="12552" xr:uid="{00000000-0005-0000-0000-0000282D0000}"/>
    <cellStyle name="Note 6 4 8 3" xfId="11107" xr:uid="{00000000-0005-0000-0000-0000292D0000}"/>
    <cellStyle name="Note 6 4 9" xfId="10366" xr:uid="{00000000-0005-0000-0000-00002A2D0000}"/>
    <cellStyle name="Note 6 5" xfId="1896" xr:uid="{00000000-0005-0000-0000-00002B2D0000}"/>
    <cellStyle name="Note 6 5 2" xfId="7381" xr:uid="{00000000-0005-0000-0000-00002C2D0000}"/>
    <cellStyle name="Note 6 5 2 2" xfId="7010" xr:uid="{00000000-0005-0000-0000-00002D2D0000}"/>
    <cellStyle name="Note 6 5 2 2 2" xfId="9578" xr:uid="{00000000-0005-0000-0000-00002E2D0000}"/>
    <cellStyle name="Note 6 5 2 2 2 2" xfId="9310" xr:uid="{00000000-0005-0000-0000-00002F2D0000}"/>
    <cellStyle name="Note 6 5 2 2 2 2 2" xfId="12943" xr:uid="{00000000-0005-0000-0000-0000302D0000}"/>
    <cellStyle name="Note 6 5 2 2 2 3" xfId="11283" xr:uid="{00000000-0005-0000-0000-0000312D0000}"/>
    <cellStyle name="Note 6 5 2 2 3" xfId="11551" xr:uid="{00000000-0005-0000-0000-0000322D0000}"/>
    <cellStyle name="Note 6 5 2 3" xfId="8451" xr:uid="{00000000-0005-0000-0000-0000332D0000}"/>
    <cellStyle name="Note 6 5 2 3 2" xfId="12624" xr:uid="{00000000-0005-0000-0000-0000342D0000}"/>
    <cellStyle name="Note 6 5 2 4" xfId="10481" xr:uid="{00000000-0005-0000-0000-0000352D0000}"/>
    <cellStyle name="Note 6 5 3" xfId="7727" xr:uid="{00000000-0005-0000-0000-0000362D0000}"/>
    <cellStyle name="Note 6 5 3 2" xfId="7958" xr:uid="{00000000-0005-0000-0000-0000372D0000}"/>
    <cellStyle name="Note 6 5 3 2 2" xfId="9844" xr:uid="{00000000-0005-0000-0000-0000382D0000}"/>
    <cellStyle name="Note 6 5 3 2 2 2" xfId="10017" xr:uid="{00000000-0005-0000-0000-0000392D0000}"/>
    <cellStyle name="Note 6 5 3 2 2 2 2" xfId="13231" xr:uid="{00000000-0005-0000-0000-00003A2D0000}"/>
    <cellStyle name="Note 6 5 3 2 2 3" xfId="11990" xr:uid="{00000000-0005-0000-0000-00003B2D0000}"/>
    <cellStyle name="Note 6 5 3 2 3" xfId="11817" xr:uid="{00000000-0005-0000-0000-00003C2D0000}"/>
    <cellStyle name="Note 6 5 3 3" xfId="8781" xr:uid="{00000000-0005-0000-0000-00003D2D0000}"/>
    <cellStyle name="Note 6 5 3 3 2" xfId="12425" xr:uid="{00000000-0005-0000-0000-00003E2D0000}"/>
    <cellStyle name="Note 6 5 3 4" xfId="10811" xr:uid="{00000000-0005-0000-0000-00003F2D0000}"/>
    <cellStyle name="Note 6 5 4" xfId="7329" xr:uid="{00000000-0005-0000-0000-0000402D0000}"/>
    <cellStyle name="Note 6 5 4 2" xfId="7226" xr:uid="{00000000-0005-0000-0000-0000412D0000}"/>
    <cellStyle name="Note 6 5 4 2 2" xfId="9466" xr:uid="{00000000-0005-0000-0000-0000422D0000}"/>
    <cellStyle name="Note 6 5 4 2 2 2" xfId="13092" xr:uid="{00000000-0005-0000-0000-0000432D0000}"/>
    <cellStyle name="Note 6 5 4 2 3" xfId="11439" xr:uid="{00000000-0005-0000-0000-0000442D0000}"/>
    <cellStyle name="Note 6 5 4 3" xfId="8401" xr:uid="{00000000-0005-0000-0000-0000452D0000}"/>
    <cellStyle name="Note 6 5 4 3 2" xfId="12598" xr:uid="{00000000-0005-0000-0000-0000462D0000}"/>
    <cellStyle name="Note 6 5 4 4" xfId="10431" xr:uid="{00000000-0005-0000-0000-0000472D0000}"/>
    <cellStyle name="Note 6 5 5" xfId="7684" xr:uid="{00000000-0005-0000-0000-0000482D0000}"/>
    <cellStyle name="Note 6 5 5 2" xfId="7036" xr:uid="{00000000-0005-0000-0000-0000492D0000}"/>
    <cellStyle name="Note 6 5 5 2 2" xfId="9808" xr:uid="{00000000-0005-0000-0000-00004A2D0000}"/>
    <cellStyle name="Note 6 5 5 2 2 2" xfId="9331" xr:uid="{00000000-0005-0000-0000-00004B2D0000}"/>
    <cellStyle name="Note 6 5 5 2 2 2 2" xfId="12962" xr:uid="{00000000-0005-0000-0000-00004C2D0000}"/>
    <cellStyle name="Note 6 5 5 2 2 3" xfId="11304" xr:uid="{00000000-0005-0000-0000-00004D2D0000}"/>
    <cellStyle name="Note 6 5 5 2 3" xfId="11781" xr:uid="{00000000-0005-0000-0000-00004E2D0000}"/>
    <cellStyle name="Note 6 5 5 3" xfId="8739" xr:uid="{00000000-0005-0000-0000-00004F2D0000}"/>
    <cellStyle name="Note 6 5 5 3 2" xfId="12395" xr:uid="{00000000-0005-0000-0000-0000502D0000}"/>
    <cellStyle name="Note 6 5 5 4" xfId="10769" xr:uid="{00000000-0005-0000-0000-0000512D0000}"/>
    <cellStyle name="Note 6 5 6" xfId="7599" xr:uid="{00000000-0005-0000-0000-0000522D0000}"/>
    <cellStyle name="Note 6 5 6 2" xfId="7277" xr:uid="{00000000-0005-0000-0000-0000532D0000}"/>
    <cellStyle name="Note 6 5 6 2 2" xfId="9742" xr:uid="{00000000-0005-0000-0000-0000542D0000}"/>
    <cellStyle name="Note 6 5 6 2 2 2" xfId="9502" xr:uid="{00000000-0005-0000-0000-0000552D0000}"/>
    <cellStyle name="Note 6 5 6 2 2 2 2" xfId="13126" xr:uid="{00000000-0005-0000-0000-0000562D0000}"/>
    <cellStyle name="Note 6 5 6 2 2 3" xfId="11475" xr:uid="{00000000-0005-0000-0000-0000572D0000}"/>
    <cellStyle name="Note 6 5 6 2 3" xfId="11715" xr:uid="{00000000-0005-0000-0000-0000582D0000}"/>
    <cellStyle name="Note 6 5 6 3" xfId="8661" xr:uid="{00000000-0005-0000-0000-0000592D0000}"/>
    <cellStyle name="Note 6 5 6 3 2" xfId="12349" xr:uid="{00000000-0005-0000-0000-00005A2D0000}"/>
    <cellStyle name="Note 6 5 6 4" xfId="10691" xr:uid="{00000000-0005-0000-0000-00005B2D0000}"/>
    <cellStyle name="Note 6 5 7" xfId="7870" xr:uid="{00000000-0005-0000-0000-00005C2D0000}"/>
    <cellStyle name="Note 6 5 7 2" xfId="8019" xr:uid="{00000000-0005-0000-0000-00005D2D0000}"/>
    <cellStyle name="Note 6 5 7 2 2" xfId="9961" xr:uid="{00000000-0005-0000-0000-00005E2D0000}"/>
    <cellStyle name="Note 6 5 7 2 2 2" xfId="10051" xr:uid="{00000000-0005-0000-0000-00005F2D0000}"/>
    <cellStyle name="Note 6 5 7 2 2 2 2" xfId="13253" xr:uid="{00000000-0005-0000-0000-0000602D0000}"/>
    <cellStyle name="Note 6 5 7 2 2 3" xfId="12024" xr:uid="{00000000-0005-0000-0000-0000612D0000}"/>
    <cellStyle name="Note 6 5 7 2 3" xfId="11934" xr:uid="{00000000-0005-0000-0000-0000622D0000}"/>
    <cellStyle name="Note 6 5 7 3" xfId="8118" xr:uid="{00000000-0005-0000-0000-0000632D0000}"/>
    <cellStyle name="Note 6 5 7 3 2" xfId="10148" xr:uid="{00000000-0005-0000-0000-0000642D0000}"/>
    <cellStyle name="Note 6 5 7 3 2 2" xfId="13341" xr:uid="{00000000-0005-0000-0000-0000652D0000}"/>
    <cellStyle name="Note 6 5 7 3 3" xfId="12121" xr:uid="{00000000-0005-0000-0000-0000662D0000}"/>
    <cellStyle name="Note 6 5 7 4" xfId="8917" xr:uid="{00000000-0005-0000-0000-0000672D0000}"/>
    <cellStyle name="Note 6 5 7 4 2" xfId="12468" xr:uid="{00000000-0005-0000-0000-0000682D0000}"/>
    <cellStyle name="Note 6 5 7 5" xfId="10947" xr:uid="{00000000-0005-0000-0000-0000692D0000}"/>
    <cellStyle name="Note 6 5 8" xfId="8325" xr:uid="{00000000-0005-0000-0000-00006A2D0000}"/>
    <cellStyle name="Note 6 5 8 2" xfId="9123" xr:uid="{00000000-0005-0000-0000-00006B2D0000}"/>
    <cellStyle name="Note 6 5 8 2 2" xfId="12541" xr:uid="{00000000-0005-0000-0000-00006C2D0000}"/>
    <cellStyle name="Note 6 5 8 3" xfId="11096" xr:uid="{00000000-0005-0000-0000-00006D2D0000}"/>
    <cellStyle name="Note 6 5 9" xfId="10355" xr:uid="{00000000-0005-0000-0000-00006E2D0000}"/>
    <cellStyle name="Note 6 6" xfId="2771" xr:uid="{00000000-0005-0000-0000-00006F2D0000}"/>
    <cellStyle name="Note 6 6 2" xfId="7363" xr:uid="{00000000-0005-0000-0000-0000702D0000}"/>
    <cellStyle name="Note 6 6 2 2" xfId="6885" xr:uid="{00000000-0005-0000-0000-0000712D0000}"/>
    <cellStyle name="Note 6 6 2 2 2" xfId="9564" xr:uid="{00000000-0005-0000-0000-0000722D0000}"/>
    <cellStyle name="Note 6 6 2 2 2 2" xfId="9218" xr:uid="{00000000-0005-0000-0000-0000732D0000}"/>
    <cellStyle name="Note 6 6 2 2 2 2 2" xfId="12854" xr:uid="{00000000-0005-0000-0000-0000742D0000}"/>
    <cellStyle name="Note 6 6 2 2 2 3" xfId="11191" xr:uid="{00000000-0005-0000-0000-0000752D0000}"/>
    <cellStyle name="Note 6 6 2 2 3" xfId="11537" xr:uid="{00000000-0005-0000-0000-0000762D0000}"/>
    <cellStyle name="Note 6 6 2 3" xfId="8434" xr:uid="{00000000-0005-0000-0000-0000772D0000}"/>
    <cellStyle name="Note 6 6 2 3 2" xfId="12615" xr:uid="{00000000-0005-0000-0000-0000782D0000}"/>
    <cellStyle name="Note 6 6 2 4" xfId="10464" xr:uid="{00000000-0005-0000-0000-0000792D0000}"/>
    <cellStyle name="Note 6 6 3" xfId="7722" xr:uid="{00000000-0005-0000-0000-00007A2D0000}"/>
    <cellStyle name="Note 6 6 3 2" xfId="7020" xr:uid="{00000000-0005-0000-0000-00007B2D0000}"/>
    <cellStyle name="Note 6 6 3 2 2" xfId="9840" xr:uid="{00000000-0005-0000-0000-00007C2D0000}"/>
    <cellStyle name="Note 6 6 3 2 2 2" xfId="9318" xr:uid="{00000000-0005-0000-0000-00007D2D0000}"/>
    <cellStyle name="Note 6 6 3 2 2 2 2" xfId="12951" xr:uid="{00000000-0005-0000-0000-00007E2D0000}"/>
    <cellStyle name="Note 6 6 3 2 2 3" xfId="11291" xr:uid="{00000000-0005-0000-0000-00007F2D0000}"/>
    <cellStyle name="Note 6 6 3 2 3" xfId="11813" xr:uid="{00000000-0005-0000-0000-0000802D0000}"/>
    <cellStyle name="Note 6 6 3 3" xfId="8777" xr:uid="{00000000-0005-0000-0000-0000812D0000}"/>
    <cellStyle name="Note 6 6 3 3 2" xfId="12421" xr:uid="{00000000-0005-0000-0000-0000822D0000}"/>
    <cellStyle name="Note 6 6 3 4" xfId="10807" xr:uid="{00000000-0005-0000-0000-0000832D0000}"/>
    <cellStyle name="Note 6 6 4" xfId="7416" xr:uid="{00000000-0005-0000-0000-0000842D0000}"/>
    <cellStyle name="Note 6 6 4 2" xfId="7081" xr:uid="{00000000-0005-0000-0000-0000852D0000}"/>
    <cellStyle name="Note 6 6 4 2 2" xfId="9368" xr:uid="{00000000-0005-0000-0000-0000862D0000}"/>
    <cellStyle name="Note 6 6 4 2 2 2" xfId="12999" xr:uid="{00000000-0005-0000-0000-0000872D0000}"/>
    <cellStyle name="Note 6 6 4 2 3" xfId="11341" xr:uid="{00000000-0005-0000-0000-0000882D0000}"/>
    <cellStyle name="Note 6 6 4 3" xfId="8486" xr:uid="{00000000-0005-0000-0000-0000892D0000}"/>
    <cellStyle name="Note 6 6 4 3 2" xfId="12640" xr:uid="{00000000-0005-0000-0000-00008A2D0000}"/>
    <cellStyle name="Note 6 6 4 4" xfId="10516" xr:uid="{00000000-0005-0000-0000-00008B2D0000}"/>
    <cellStyle name="Note 6 6 5" xfId="7392" xr:uid="{00000000-0005-0000-0000-00008C2D0000}"/>
    <cellStyle name="Note 6 6 5 2" xfId="7070" xr:uid="{00000000-0005-0000-0000-00008D2D0000}"/>
    <cellStyle name="Note 6 6 5 2 2" xfId="9587" xr:uid="{00000000-0005-0000-0000-00008E2D0000}"/>
    <cellStyle name="Note 6 6 5 2 2 2" xfId="9359" xr:uid="{00000000-0005-0000-0000-00008F2D0000}"/>
    <cellStyle name="Note 6 6 5 2 2 2 2" xfId="12990" xr:uid="{00000000-0005-0000-0000-0000902D0000}"/>
    <cellStyle name="Note 6 6 5 2 2 3" xfId="11332" xr:uid="{00000000-0005-0000-0000-0000912D0000}"/>
    <cellStyle name="Note 6 6 5 2 3" xfId="11560" xr:uid="{00000000-0005-0000-0000-0000922D0000}"/>
    <cellStyle name="Note 6 6 5 3" xfId="8462" xr:uid="{00000000-0005-0000-0000-0000932D0000}"/>
    <cellStyle name="Note 6 6 5 3 2" xfId="12232" xr:uid="{00000000-0005-0000-0000-0000942D0000}"/>
    <cellStyle name="Note 6 6 5 4" xfId="10492" xr:uid="{00000000-0005-0000-0000-0000952D0000}"/>
    <cellStyle name="Note 6 6 6" xfId="7360" xr:uid="{00000000-0005-0000-0000-0000962D0000}"/>
    <cellStyle name="Note 6 6 6 2" xfId="7000" xr:uid="{00000000-0005-0000-0000-0000972D0000}"/>
    <cellStyle name="Note 6 6 6 2 2" xfId="9561" xr:uid="{00000000-0005-0000-0000-0000982D0000}"/>
    <cellStyle name="Note 6 6 6 2 2 2" xfId="9303" xr:uid="{00000000-0005-0000-0000-0000992D0000}"/>
    <cellStyle name="Note 6 6 6 2 2 2 2" xfId="12936" xr:uid="{00000000-0005-0000-0000-00009A2D0000}"/>
    <cellStyle name="Note 6 6 6 2 2 3" xfId="11276" xr:uid="{00000000-0005-0000-0000-00009B2D0000}"/>
    <cellStyle name="Note 6 6 6 2 3" xfId="11534" xr:uid="{00000000-0005-0000-0000-00009C2D0000}"/>
    <cellStyle name="Note 6 6 6 3" xfId="8431" xr:uid="{00000000-0005-0000-0000-00009D2D0000}"/>
    <cellStyle name="Note 6 6 6 3 2" xfId="12219" xr:uid="{00000000-0005-0000-0000-00009E2D0000}"/>
    <cellStyle name="Note 6 6 6 4" xfId="10461" xr:uid="{00000000-0005-0000-0000-00009F2D0000}"/>
    <cellStyle name="Note 6 6 7" xfId="7892" xr:uid="{00000000-0005-0000-0000-0000A02D0000}"/>
    <cellStyle name="Note 6 6 7 2" xfId="8040" xr:uid="{00000000-0005-0000-0000-0000A12D0000}"/>
    <cellStyle name="Note 6 6 7 2 2" xfId="9981" xr:uid="{00000000-0005-0000-0000-0000A22D0000}"/>
    <cellStyle name="Note 6 6 7 2 2 2" xfId="10072" xr:uid="{00000000-0005-0000-0000-0000A32D0000}"/>
    <cellStyle name="Note 6 6 7 2 2 2 2" xfId="13273" xr:uid="{00000000-0005-0000-0000-0000A42D0000}"/>
    <cellStyle name="Note 6 6 7 2 2 3" xfId="12045" xr:uid="{00000000-0005-0000-0000-0000A52D0000}"/>
    <cellStyle name="Note 6 6 7 2 3" xfId="11954" xr:uid="{00000000-0005-0000-0000-0000A62D0000}"/>
    <cellStyle name="Note 6 6 7 3" xfId="8138" xr:uid="{00000000-0005-0000-0000-0000A72D0000}"/>
    <cellStyle name="Note 6 6 7 3 2" xfId="10168" xr:uid="{00000000-0005-0000-0000-0000A82D0000}"/>
    <cellStyle name="Note 6 6 7 3 2 2" xfId="13361" xr:uid="{00000000-0005-0000-0000-0000A92D0000}"/>
    <cellStyle name="Note 6 6 7 3 3" xfId="12141" xr:uid="{00000000-0005-0000-0000-0000AA2D0000}"/>
    <cellStyle name="Note 6 6 7 4" xfId="8938" xr:uid="{00000000-0005-0000-0000-0000AB2D0000}"/>
    <cellStyle name="Note 6 6 7 4 2" xfId="12488" xr:uid="{00000000-0005-0000-0000-0000AC2D0000}"/>
    <cellStyle name="Note 6 6 7 5" xfId="10968" xr:uid="{00000000-0005-0000-0000-0000AD2D0000}"/>
    <cellStyle name="Note 6 6 8" xfId="8345" xr:uid="{00000000-0005-0000-0000-0000AE2D0000}"/>
    <cellStyle name="Note 6 6 8 2" xfId="9143" xr:uid="{00000000-0005-0000-0000-0000AF2D0000}"/>
    <cellStyle name="Note 6 6 8 2 2" xfId="12561" xr:uid="{00000000-0005-0000-0000-0000B02D0000}"/>
    <cellStyle name="Note 6 6 8 3" xfId="11116" xr:uid="{00000000-0005-0000-0000-0000B12D0000}"/>
    <cellStyle name="Note 6 6 9" xfId="10375" xr:uid="{00000000-0005-0000-0000-0000B22D0000}"/>
    <cellStyle name="Note 6 7" xfId="2804" xr:uid="{00000000-0005-0000-0000-0000B32D0000}"/>
    <cellStyle name="Note 6 7 2" xfId="7653" xr:uid="{00000000-0005-0000-0000-0000B42D0000}"/>
    <cellStyle name="Note 6 7 2 2" xfId="7083" xr:uid="{00000000-0005-0000-0000-0000B52D0000}"/>
    <cellStyle name="Note 6 7 2 2 2" xfId="9783" xr:uid="{00000000-0005-0000-0000-0000B62D0000}"/>
    <cellStyle name="Note 6 7 2 2 2 2" xfId="9369" xr:uid="{00000000-0005-0000-0000-0000B72D0000}"/>
    <cellStyle name="Note 6 7 2 2 2 2 2" xfId="13000" xr:uid="{00000000-0005-0000-0000-0000B82D0000}"/>
    <cellStyle name="Note 6 7 2 2 2 3" xfId="11342" xr:uid="{00000000-0005-0000-0000-0000B92D0000}"/>
    <cellStyle name="Note 6 7 2 2 3" xfId="11756" xr:uid="{00000000-0005-0000-0000-0000BA2D0000}"/>
    <cellStyle name="Note 6 7 2 3" xfId="8710" xr:uid="{00000000-0005-0000-0000-0000BB2D0000}"/>
    <cellStyle name="Note 6 7 2 3 2" xfId="12722" xr:uid="{00000000-0005-0000-0000-0000BC2D0000}"/>
    <cellStyle name="Note 6 7 2 4" xfId="10740" xr:uid="{00000000-0005-0000-0000-0000BD2D0000}"/>
    <cellStyle name="Note 6 7 3" xfId="7723" xr:uid="{00000000-0005-0000-0000-0000BE2D0000}"/>
    <cellStyle name="Note 6 7 3 2" xfId="7222" xr:uid="{00000000-0005-0000-0000-0000BF2D0000}"/>
    <cellStyle name="Note 6 7 3 2 2" xfId="9841" xr:uid="{00000000-0005-0000-0000-0000C02D0000}"/>
    <cellStyle name="Note 6 7 3 2 2 2" xfId="9463" xr:uid="{00000000-0005-0000-0000-0000C12D0000}"/>
    <cellStyle name="Note 6 7 3 2 2 2 2" xfId="13089" xr:uid="{00000000-0005-0000-0000-0000C22D0000}"/>
    <cellStyle name="Note 6 7 3 2 2 3" xfId="11436" xr:uid="{00000000-0005-0000-0000-0000C32D0000}"/>
    <cellStyle name="Note 6 7 3 2 3" xfId="11814" xr:uid="{00000000-0005-0000-0000-0000C42D0000}"/>
    <cellStyle name="Note 6 7 3 3" xfId="8778" xr:uid="{00000000-0005-0000-0000-0000C52D0000}"/>
    <cellStyle name="Note 6 7 3 3 2" xfId="12422" xr:uid="{00000000-0005-0000-0000-0000C62D0000}"/>
    <cellStyle name="Note 6 7 3 4" xfId="10808" xr:uid="{00000000-0005-0000-0000-0000C72D0000}"/>
    <cellStyle name="Note 6 7 4" xfId="7405" xr:uid="{00000000-0005-0000-0000-0000C82D0000}"/>
    <cellStyle name="Note 6 7 4 2" xfId="7235" xr:uid="{00000000-0005-0000-0000-0000C92D0000}"/>
    <cellStyle name="Note 6 7 4 2 2" xfId="9473" xr:uid="{00000000-0005-0000-0000-0000CA2D0000}"/>
    <cellStyle name="Note 6 7 4 2 2 2" xfId="13099" xr:uid="{00000000-0005-0000-0000-0000CB2D0000}"/>
    <cellStyle name="Note 6 7 4 2 3" xfId="11446" xr:uid="{00000000-0005-0000-0000-0000CC2D0000}"/>
    <cellStyle name="Note 6 7 4 3" xfId="8475" xr:uid="{00000000-0005-0000-0000-0000CD2D0000}"/>
    <cellStyle name="Note 6 7 4 3 2" xfId="12634" xr:uid="{00000000-0005-0000-0000-0000CE2D0000}"/>
    <cellStyle name="Note 6 7 4 4" xfId="10505" xr:uid="{00000000-0005-0000-0000-0000CF2D0000}"/>
    <cellStyle name="Note 6 7 5" xfId="7629" xr:uid="{00000000-0005-0000-0000-0000D02D0000}"/>
    <cellStyle name="Note 6 7 5 2" xfId="6821" xr:uid="{00000000-0005-0000-0000-0000D12D0000}"/>
    <cellStyle name="Note 6 7 5 2 2" xfId="9765" xr:uid="{00000000-0005-0000-0000-0000D22D0000}"/>
    <cellStyle name="Note 6 7 5 2 2 2" xfId="9168" xr:uid="{00000000-0005-0000-0000-0000D32D0000}"/>
    <cellStyle name="Note 6 7 5 2 2 2 2" xfId="12808" xr:uid="{00000000-0005-0000-0000-0000D42D0000}"/>
    <cellStyle name="Note 6 7 5 2 2 3" xfId="11141" xr:uid="{00000000-0005-0000-0000-0000D52D0000}"/>
    <cellStyle name="Note 6 7 5 2 3" xfId="11738" xr:uid="{00000000-0005-0000-0000-0000D62D0000}"/>
    <cellStyle name="Note 6 7 5 3" xfId="8689" xr:uid="{00000000-0005-0000-0000-0000D72D0000}"/>
    <cellStyle name="Note 6 7 5 3 2" xfId="12367" xr:uid="{00000000-0005-0000-0000-0000D82D0000}"/>
    <cellStyle name="Note 6 7 5 4" xfId="10719" xr:uid="{00000000-0005-0000-0000-0000D92D0000}"/>
    <cellStyle name="Note 6 7 6" xfId="7535" xr:uid="{00000000-0005-0000-0000-0000DA2D0000}"/>
    <cellStyle name="Note 6 7 6 2" xfId="6980" xr:uid="{00000000-0005-0000-0000-0000DB2D0000}"/>
    <cellStyle name="Note 6 7 6 2 2" xfId="9696" xr:uid="{00000000-0005-0000-0000-0000DC2D0000}"/>
    <cellStyle name="Note 6 7 6 2 2 2" xfId="9289" xr:uid="{00000000-0005-0000-0000-0000DD2D0000}"/>
    <cellStyle name="Note 6 7 6 2 2 2 2" xfId="12922" xr:uid="{00000000-0005-0000-0000-0000DE2D0000}"/>
    <cellStyle name="Note 6 7 6 2 2 3" xfId="11262" xr:uid="{00000000-0005-0000-0000-0000DF2D0000}"/>
    <cellStyle name="Note 6 7 6 2 3" xfId="11669" xr:uid="{00000000-0005-0000-0000-0000E02D0000}"/>
    <cellStyle name="Note 6 7 6 3" xfId="8601" xr:uid="{00000000-0005-0000-0000-0000E12D0000}"/>
    <cellStyle name="Note 6 7 6 3 2" xfId="12313" xr:uid="{00000000-0005-0000-0000-0000E22D0000}"/>
    <cellStyle name="Note 6 7 6 4" xfId="10631" xr:uid="{00000000-0005-0000-0000-0000E32D0000}"/>
    <cellStyle name="Note 6 7 7" xfId="7899" xr:uid="{00000000-0005-0000-0000-0000E42D0000}"/>
    <cellStyle name="Note 6 7 7 2" xfId="8047" xr:uid="{00000000-0005-0000-0000-0000E52D0000}"/>
    <cellStyle name="Note 6 7 7 2 2" xfId="9988" xr:uid="{00000000-0005-0000-0000-0000E62D0000}"/>
    <cellStyle name="Note 6 7 7 2 2 2" xfId="10079" xr:uid="{00000000-0005-0000-0000-0000E72D0000}"/>
    <cellStyle name="Note 6 7 7 2 2 2 2" xfId="13280" xr:uid="{00000000-0005-0000-0000-0000E82D0000}"/>
    <cellStyle name="Note 6 7 7 2 2 3" xfId="12052" xr:uid="{00000000-0005-0000-0000-0000E92D0000}"/>
    <cellStyle name="Note 6 7 7 2 3" xfId="11961" xr:uid="{00000000-0005-0000-0000-0000EA2D0000}"/>
    <cellStyle name="Note 6 7 7 3" xfId="8145" xr:uid="{00000000-0005-0000-0000-0000EB2D0000}"/>
    <cellStyle name="Note 6 7 7 3 2" xfId="10175" xr:uid="{00000000-0005-0000-0000-0000EC2D0000}"/>
    <cellStyle name="Note 6 7 7 3 2 2" xfId="13368" xr:uid="{00000000-0005-0000-0000-0000ED2D0000}"/>
    <cellStyle name="Note 6 7 7 3 3" xfId="12148" xr:uid="{00000000-0005-0000-0000-0000EE2D0000}"/>
    <cellStyle name="Note 6 7 7 4" xfId="8945" xr:uid="{00000000-0005-0000-0000-0000EF2D0000}"/>
    <cellStyle name="Note 6 7 7 4 2" xfId="12495" xr:uid="{00000000-0005-0000-0000-0000F02D0000}"/>
    <cellStyle name="Note 6 7 7 5" xfId="10975" xr:uid="{00000000-0005-0000-0000-0000F12D0000}"/>
    <cellStyle name="Note 6 7 8" xfId="8352" xr:uid="{00000000-0005-0000-0000-0000F22D0000}"/>
    <cellStyle name="Note 6 7 8 2" xfId="9150" xr:uid="{00000000-0005-0000-0000-0000F32D0000}"/>
    <cellStyle name="Note 6 7 8 2 2" xfId="12568" xr:uid="{00000000-0005-0000-0000-0000F42D0000}"/>
    <cellStyle name="Note 6 7 8 3" xfId="11123" xr:uid="{00000000-0005-0000-0000-0000F52D0000}"/>
    <cellStyle name="Note 6 7 9" xfId="10382" xr:uid="{00000000-0005-0000-0000-0000F62D0000}"/>
    <cellStyle name="Note 6 8" xfId="4366" xr:uid="{00000000-0005-0000-0000-0000F72D0000}"/>
    <cellStyle name="Note 6 8 2" xfId="7472" xr:uid="{00000000-0005-0000-0000-0000F82D0000}"/>
    <cellStyle name="Note 6 8 2 2" xfId="7051" xr:uid="{00000000-0005-0000-0000-0000F92D0000}"/>
    <cellStyle name="Note 6 8 2 2 2" xfId="9643" xr:uid="{00000000-0005-0000-0000-0000FA2D0000}"/>
    <cellStyle name="Note 6 8 2 2 2 2" xfId="9344" xr:uid="{00000000-0005-0000-0000-0000FB2D0000}"/>
    <cellStyle name="Note 6 8 2 2 2 2 2" xfId="12975" xr:uid="{00000000-0005-0000-0000-0000FC2D0000}"/>
    <cellStyle name="Note 6 8 2 2 2 3" xfId="11317" xr:uid="{00000000-0005-0000-0000-0000FD2D0000}"/>
    <cellStyle name="Note 6 8 2 2 3" xfId="11616" xr:uid="{00000000-0005-0000-0000-0000FE2D0000}"/>
    <cellStyle name="Note 6 8 2 3" xfId="8539" xr:uid="{00000000-0005-0000-0000-0000FF2D0000}"/>
    <cellStyle name="Note 6 8 2 3 2" xfId="12663" xr:uid="{00000000-0005-0000-0000-0000002E0000}"/>
    <cellStyle name="Note 6 8 2 4" xfId="10569" xr:uid="{00000000-0005-0000-0000-0000012E0000}"/>
    <cellStyle name="Note 6 8 3" xfId="7372" xr:uid="{00000000-0005-0000-0000-0000022E0000}"/>
    <cellStyle name="Note 6 8 3 2" xfId="7074" xr:uid="{00000000-0005-0000-0000-0000032E0000}"/>
    <cellStyle name="Note 6 8 3 2 2" xfId="9572" xr:uid="{00000000-0005-0000-0000-0000042E0000}"/>
    <cellStyle name="Note 6 8 3 2 2 2" xfId="9362" xr:uid="{00000000-0005-0000-0000-0000052E0000}"/>
    <cellStyle name="Note 6 8 3 2 2 2 2" xfId="12993" xr:uid="{00000000-0005-0000-0000-0000062E0000}"/>
    <cellStyle name="Note 6 8 3 2 2 3" xfId="11335" xr:uid="{00000000-0005-0000-0000-0000072E0000}"/>
    <cellStyle name="Note 6 8 3 2 3" xfId="11545" xr:uid="{00000000-0005-0000-0000-0000082E0000}"/>
    <cellStyle name="Note 6 8 3 3" xfId="8443" xr:uid="{00000000-0005-0000-0000-0000092E0000}"/>
    <cellStyle name="Note 6 8 3 3 2" xfId="12224" xr:uid="{00000000-0005-0000-0000-00000A2E0000}"/>
    <cellStyle name="Note 6 8 3 4" xfId="10473" xr:uid="{00000000-0005-0000-0000-00000B2E0000}"/>
    <cellStyle name="Note 6 8 4" xfId="7300" xr:uid="{00000000-0005-0000-0000-00000C2E0000}"/>
    <cellStyle name="Note 6 8 4 2" xfId="6985" xr:uid="{00000000-0005-0000-0000-00000D2E0000}"/>
    <cellStyle name="Note 6 8 4 2 2" xfId="9293" xr:uid="{00000000-0005-0000-0000-00000E2E0000}"/>
    <cellStyle name="Note 6 8 4 2 2 2" xfId="12926" xr:uid="{00000000-0005-0000-0000-00000F2E0000}"/>
    <cellStyle name="Note 6 8 4 2 3" xfId="11266" xr:uid="{00000000-0005-0000-0000-0000102E0000}"/>
    <cellStyle name="Note 6 8 4 3" xfId="8373" xr:uid="{00000000-0005-0000-0000-0000112E0000}"/>
    <cellStyle name="Note 6 8 4 3 2" xfId="12585" xr:uid="{00000000-0005-0000-0000-0000122E0000}"/>
    <cellStyle name="Note 6 8 4 4" xfId="10403" xr:uid="{00000000-0005-0000-0000-0000132E0000}"/>
    <cellStyle name="Note 6 8 5" xfId="7746" xr:uid="{00000000-0005-0000-0000-0000142E0000}"/>
    <cellStyle name="Note 6 8 5 2" xfId="6883" xr:uid="{00000000-0005-0000-0000-0000152E0000}"/>
    <cellStyle name="Note 6 8 5 2 2" xfId="9859" xr:uid="{00000000-0005-0000-0000-0000162E0000}"/>
    <cellStyle name="Note 6 8 5 2 2 2" xfId="9217" xr:uid="{00000000-0005-0000-0000-0000172E0000}"/>
    <cellStyle name="Note 6 8 5 2 2 2 2" xfId="12853" xr:uid="{00000000-0005-0000-0000-0000182E0000}"/>
    <cellStyle name="Note 6 8 5 2 2 3" xfId="11190" xr:uid="{00000000-0005-0000-0000-0000192E0000}"/>
    <cellStyle name="Note 6 8 5 2 3" xfId="11832" xr:uid="{00000000-0005-0000-0000-00001A2E0000}"/>
    <cellStyle name="Note 6 8 5 3" xfId="8800" xr:uid="{00000000-0005-0000-0000-00001B2E0000}"/>
    <cellStyle name="Note 6 8 5 3 2" xfId="12439" xr:uid="{00000000-0005-0000-0000-00001C2E0000}"/>
    <cellStyle name="Note 6 8 5 4" xfId="10830" xr:uid="{00000000-0005-0000-0000-00001D2E0000}"/>
    <cellStyle name="Note 6 8 6" xfId="7728" xr:uid="{00000000-0005-0000-0000-00001E2E0000}"/>
    <cellStyle name="Note 6 8 6 2" xfId="7933" xr:uid="{00000000-0005-0000-0000-00001F2E0000}"/>
    <cellStyle name="Note 6 8 6 2 2" xfId="9845" xr:uid="{00000000-0005-0000-0000-0000202E0000}"/>
    <cellStyle name="Note 6 8 6 2 2 2" xfId="10006" xr:uid="{00000000-0005-0000-0000-0000212E0000}"/>
    <cellStyle name="Note 6 8 6 2 2 2 2" xfId="13221" xr:uid="{00000000-0005-0000-0000-0000222E0000}"/>
    <cellStyle name="Note 6 8 6 2 2 3" xfId="11979" xr:uid="{00000000-0005-0000-0000-0000232E0000}"/>
    <cellStyle name="Note 6 8 6 2 3" xfId="11818" xr:uid="{00000000-0005-0000-0000-0000242E0000}"/>
    <cellStyle name="Note 6 8 6 3" xfId="8782" xr:uid="{00000000-0005-0000-0000-0000252E0000}"/>
    <cellStyle name="Note 6 8 6 3 2" xfId="12426" xr:uid="{00000000-0005-0000-0000-0000262E0000}"/>
    <cellStyle name="Note 6 8 6 4" xfId="10812" xr:uid="{00000000-0005-0000-0000-0000272E0000}"/>
    <cellStyle name="Note 6 8 7" xfId="7909" xr:uid="{00000000-0005-0000-0000-0000282E0000}"/>
    <cellStyle name="Note 6 8 7 2" xfId="8057" xr:uid="{00000000-0005-0000-0000-0000292E0000}"/>
    <cellStyle name="Note 6 8 7 2 2" xfId="9995" xr:uid="{00000000-0005-0000-0000-00002A2E0000}"/>
    <cellStyle name="Note 6 8 7 2 2 2" xfId="10089" xr:uid="{00000000-0005-0000-0000-00002B2E0000}"/>
    <cellStyle name="Note 6 8 7 2 2 2 2" xfId="13287" xr:uid="{00000000-0005-0000-0000-00002C2E0000}"/>
    <cellStyle name="Note 6 8 7 2 2 3" xfId="12062" xr:uid="{00000000-0005-0000-0000-00002D2E0000}"/>
    <cellStyle name="Note 6 8 7 2 3" xfId="11968" xr:uid="{00000000-0005-0000-0000-00002E2E0000}"/>
    <cellStyle name="Note 6 8 7 3" xfId="8152" xr:uid="{00000000-0005-0000-0000-00002F2E0000}"/>
    <cellStyle name="Note 6 8 7 3 2" xfId="10182" xr:uid="{00000000-0005-0000-0000-0000302E0000}"/>
    <cellStyle name="Note 6 8 7 3 2 2" xfId="13375" xr:uid="{00000000-0005-0000-0000-0000312E0000}"/>
    <cellStyle name="Note 6 8 7 3 3" xfId="12155" xr:uid="{00000000-0005-0000-0000-0000322E0000}"/>
    <cellStyle name="Note 6 8 7 4" xfId="8955" xr:uid="{00000000-0005-0000-0000-0000332E0000}"/>
    <cellStyle name="Note 6 8 7 4 2" xfId="12502" xr:uid="{00000000-0005-0000-0000-0000342E0000}"/>
    <cellStyle name="Note 6 8 7 5" xfId="10985" xr:uid="{00000000-0005-0000-0000-0000352E0000}"/>
    <cellStyle name="Note 6 8 8" xfId="8359" xr:uid="{00000000-0005-0000-0000-0000362E0000}"/>
    <cellStyle name="Note 6 8 8 2" xfId="9157" xr:uid="{00000000-0005-0000-0000-0000372E0000}"/>
    <cellStyle name="Note 6 8 8 2 2" xfId="12575" xr:uid="{00000000-0005-0000-0000-0000382E0000}"/>
    <cellStyle name="Note 6 8 8 3" xfId="11130" xr:uid="{00000000-0005-0000-0000-0000392E0000}"/>
    <cellStyle name="Note 6 8 9" xfId="10389" xr:uid="{00000000-0005-0000-0000-00003A2E0000}"/>
    <cellStyle name="Note 6 9" xfId="5844" xr:uid="{00000000-0005-0000-0000-00003B2E0000}"/>
    <cellStyle name="Note 6 9 2" xfId="7668" xr:uid="{00000000-0005-0000-0000-00003C2E0000}"/>
    <cellStyle name="Note 6 9 2 2" xfId="7275" xr:uid="{00000000-0005-0000-0000-00003D2E0000}"/>
    <cellStyle name="Note 6 9 2 2 2" xfId="9795" xr:uid="{00000000-0005-0000-0000-00003E2E0000}"/>
    <cellStyle name="Note 6 9 2 2 2 2" xfId="9500" xr:uid="{00000000-0005-0000-0000-00003F2E0000}"/>
    <cellStyle name="Note 6 9 2 2 2 2 2" xfId="13124" xr:uid="{00000000-0005-0000-0000-0000402E0000}"/>
    <cellStyle name="Note 6 9 2 2 2 3" xfId="11473" xr:uid="{00000000-0005-0000-0000-0000412E0000}"/>
    <cellStyle name="Note 6 9 2 2 3" xfId="11768" xr:uid="{00000000-0005-0000-0000-0000422E0000}"/>
    <cellStyle name="Note 6 9 2 3" xfId="8724" xr:uid="{00000000-0005-0000-0000-0000432E0000}"/>
    <cellStyle name="Note 6 9 2 3 2" xfId="12729" xr:uid="{00000000-0005-0000-0000-0000442E0000}"/>
    <cellStyle name="Note 6 9 2 4" xfId="10754" xr:uid="{00000000-0005-0000-0000-0000452E0000}"/>
    <cellStyle name="Note 6 9 3" xfId="7748" xr:uid="{00000000-0005-0000-0000-0000462E0000}"/>
    <cellStyle name="Note 6 9 3 2" xfId="6972" xr:uid="{00000000-0005-0000-0000-0000472E0000}"/>
    <cellStyle name="Note 6 9 3 2 2" xfId="9861" xr:uid="{00000000-0005-0000-0000-0000482E0000}"/>
    <cellStyle name="Note 6 9 3 2 2 2" xfId="9282" xr:uid="{00000000-0005-0000-0000-0000492E0000}"/>
    <cellStyle name="Note 6 9 3 2 2 2 2" xfId="12916" xr:uid="{00000000-0005-0000-0000-00004A2E0000}"/>
    <cellStyle name="Note 6 9 3 2 2 3" xfId="11255" xr:uid="{00000000-0005-0000-0000-00004B2E0000}"/>
    <cellStyle name="Note 6 9 3 2 3" xfId="11834" xr:uid="{00000000-0005-0000-0000-00004C2E0000}"/>
    <cellStyle name="Note 6 9 3 3" xfId="8802" xr:uid="{00000000-0005-0000-0000-00004D2E0000}"/>
    <cellStyle name="Note 6 9 3 3 2" xfId="12441" xr:uid="{00000000-0005-0000-0000-00004E2E0000}"/>
    <cellStyle name="Note 6 9 3 4" xfId="10832" xr:uid="{00000000-0005-0000-0000-00004F2E0000}"/>
    <cellStyle name="Note 6 9 4" xfId="7295" xr:uid="{00000000-0005-0000-0000-0000502E0000}"/>
    <cellStyle name="Note 6 9 4 2" xfId="7292" xr:uid="{00000000-0005-0000-0000-0000512E0000}"/>
    <cellStyle name="Note 6 9 4 2 2" xfId="9514" xr:uid="{00000000-0005-0000-0000-0000522E0000}"/>
    <cellStyle name="Note 6 9 4 2 2 2" xfId="13137" xr:uid="{00000000-0005-0000-0000-0000532E0000}"/>
    <cellStyle name="Note 6 9 4 2 3" xfId="11487" xr:uid="{00000000-0005-0000-0000-0000542E0000}"/>
    <cellStyle name="Note 6 9 4 3" xfId="8368" xr:uid="{00000000-0005-0000-0000-0000552E0000}"/>
    <cellStyle name="Note 6 9 4 3 2" xfId="12583" xr:uid="{00000000-0005-0000-0000-0000562E0000}"/>
    <cellStyle name="Note 6 9 4 4" xfId="10398" xr:uid="{00000000-0005-0000-0000-0000572E0000}"/>
    <cellStyle name="Note 6 9 5" xfId="7386" xr:uid="{00000000-0005-0000-0000-0000582E0000}"/>
    <cellStyle name="Note 6 9 5 2" xfId="6915" xr:uid="{00000000-0005-0000-0000-0000592E0000}"/>
    <cellStyle name="Note 6 9 5 2 2" xfId="9582" xr:uid="{00000000-0005-0000-0000-00005A2E0000}"/>
    <cellStyle name="Note 6 9 5 2 2 2" xfId="9239" xr:uid="{00000000-0005-0000-0000-00005B2E0000}"/>
    <cellStyle name="Note 6 9 5 2 2 2 2" xfId="12875" xr:uid="{00000000-0005-0000-0000-00005C2E0000}"/>
    <cellStyle name="Note 6 9 5 2 2 3" xfId="11212" xr:uid="{00000000-0005-0000-0000-00005D2E0000}"/>
    <cellStyle name="Note 6 9 5 2 3" xfId="11555" xr:uid="{00000000-0005-0000-0000-00005E2E0000}"/>
    <cellStyle name="Note 6 9 5 3" xfId="8456" xr:uid="{00000000-0005-0000-0000-00005F2E0000}"/>
    <cellStyle name="Note 6 9 5 3 2" xfId="12230" xr:uid="{00000000-0005-0000-0000-0000602E0000}"/>
    <cellStyle name="Note 6 9 5 4" xfId="10486" xr:uid="{00000000-0005-0000-0000-0000612E0000}"/>
    <cellStyle name="Note 6 9 6" xfId="7753" xr:uid="{00000000-0005-0000-0000-0000622E0000}"/>
    <cellStyle name="Note 6 9 6 2" xfId="7211" xr:uid="{00000000-0005-0000-0000-0000632E0000}"/>
    <cellStyle name="Note 6 9 6 2 2" xfId="9865" xr:uid="{00000000-0005-0000-0000-0000642E0000}"/>
    <cellStyle name="Note 6 9 6 2 2 2" xfId="9455" xr:uid="{00000000-0005-0000-0000-0000652E0000}"/>
    <cellStyle name="Note 6 9 6 2 2 2 2" xfId="13082" xr:uid="{00000000-0005-0000-0000-0000662E0000}"/>
    <cellStyle name="Note 6 9 6 2 2 3" xfId="11428" xr:uid="{00000000-0005-0000-0000-0000672E0000}"/>
    <cellStyle name="Note 6 9 6 2 3" xfId="11838" xr:uid="{00000000-0005-0000-0000-0000682E0000}"/>
    <cellStyle name="Note 6 9 6 3" xfId="8807" xr:uid="{00000000-0005-0000-0000-0000692E0000}"/>
    <cellStyle name="Note 6 9 6 3 2" xfId="12445" xr:uid="{00000000-0005-0000-0000-00006A2E0000}"/>
    <cellStyle name="Note 6 9 6 4" xfId="10837" xr:uid="{00000000-0005-0000-0000-00006B2E0000}"/>
    <cellStyle name="Note 6 9 7" xfId="7918" xr:uid="{00000000-0005-0000-0000-00006C2E0000}"/>
    <cellStyle name="Note 6 9 7 2" xfId="8065" xr:uid="{00000000-0005-0000-0000-00006D2E0000}"/>
    <cellStyle name="Note 6 9 7 2 2" xfId="10003" xr:uid="{00000000-0005-0000-0000-00006E2E0000}"/>
    <cellStyle name="Note 6 9 7 2 2 2" xfId="10096" xr:uid="{00000000-0005-0000-0000-00006F2E0000}"/>
    <cellStyle name="Note 6 9 7 2 2 2 2" xfId="13294" xr:uid="{00000000-0005-0000-0000-0000702E0000}"/>
    <cellStyle name="Note 6 9 7 2 2 3" xfId="12069" xr:uid="{00000000-0005-0000-0000-0000712E0000}"/>
    <cellStyle name="Note 6 9 7 2 3" xfId="11976" xr:uid="{00000000-0005-0000-0000-0000722E0000}"/>
    <cellStyle name="Note 6 9 7 3" xfId="8160" xr:uid="{00000000-0005-0000-0000-0000732E0000}"/>
    <cellStyle name="Note 6 9 7 3 2" xfId="10190" xr:uid="{00000000-0005-0000-0000-0000742E0000}"/>
    <cellStyle name="Note 6 9 7 3 2 2" xfId="13382" xr:uid="{00000000-0005-0000-0000-0000752E0000}"/>
    <cellStyle name="Note 6 9 7 3 3" xfId="12163" xr:uid="{00000000-0005-0000-0000-0000762E0000}"/>
    <cellStyle name="Note 6 9 7 4" xfId="8964" xr:uid="{00000000-0005-0000-0000-0000772E0000}"/>
    <cellStyle name="Note 6 9 7 4 2" xfId="12509" xr:uid="{00000000-0005-0000-0000-0000782E0000}"/>
    <cellStyle name="Note 6 9 7 5" xfId="10994" xr:uid="{00000000-0005-0000-0000-0000792E0000}"/>
    <cellStyle name="Note 6 9 8" xfId="8366" xr:uid="{00000000-0005-0000-0000-00007A2E0000}"/>
    <cellStyle name="Note 6 9 8 2" xfId="9164" xr:uid="{00000000-0005-0000-0000-00007B2E0000}"/>
    <cellStyle name="Note 6 9 8 2 2" xfId="12582" xr:uid="{00000000-0005-0000-0000-00007C2E0000}"/>
    <cellStyle name="Note 6 9 8 3" xfId="11137" xr:uid="{00000000-0005-0000-0000-00007D2E0000}"/>
    <cellStyle name="Note 6 9 9" xfId="10396" xr:uid="{00000000-0005-0000-0000-00007E2E0000}"/>
    <cellStyle name="Œ…‹æØ‚è [0.00]_laroux" xfId="1472" xr:uid="{00000000-0005-0000-0000-00007F2E0000}"/>
    <cellStyle name="Œ…‹æØ‚è_laroux" xfId="1473" xr:uid="{00000000-0005-0000-0000-0000802E0000}"/>
    <cellStyle name="oft Excel]_x000d__x000a_Comment=open=/f ‚ðw’è‚·‚é‚ÆAƒ†[ƒU[’è‹`ŠÖ”‚ðŠÖ”“\‚è•t‚¯‚Ìˆê——‚É“o˜^‚·‚é‚±‚Æ‚ª‚Å‚«‚Ü‚·B_x000d__x000a_Maximized" xfId="1474" xr:uid="{00000000-0005-0000-0000-0000812E0000}"/>
    <cellStyle name="oft Excel]_x000d__x000a_Comment=open=/f ‚ðŽw’è‚·‚é‚ÆAƒ†[ƒU[’è‹`ŠÖ”‚ðŠÖ”“\‚è•t‚¯‚Ìˆê——‚É“o˜^‚·‚é‚±‚Æ‚ª‚Å‚«‚Ü‚·B_x000d__x000a_Maximized" xfId="1475" xr:uid="{00000000-0005-0000-0000-0000822E0000}"/>
    <cellStyle name="oft Excel]_x000d__x000a_Comment=The open=/f lines load custom functions into the Paste Function list._x000d__x000a_Maximized=2_x000d__x000a_Basics=1_x000d__x000a_A" xfId="1476" xr:uid="{00000000-0005-0000-0000-0000832E0000}"/>
    <cellStyle name="oft Excel]_x000d__x000a_Comment=The open=/f lines load custom functions into the Paste Function list._x000d__x000a_Maximized=3_x000d__x000a_Basics=1_x000d__x000a_A" xfId="1477" xr:uid="{00000000-0005-0000-0000-0000842E0000}"/>
    <cellStyle name="omma [0]_Mktg Prog" xfId="1478" xr:uid="{00000000-0005-0000-0000-0000852E0000}"/>
    <cellStyle name="ormal_Sheet1_1" xfId="1479" xr:uid="{00000000-0005-0000-0000-0000862E0000}"/>
    <cellStyle name="Output 2" xfId="1480" xr:uid="{00000000-0005-0000-0000-0000872E0000}"/>
    <cellStyle name="Output 2 2" xfId="7526" xr:uid="{00000000-0005-0000-0000-0000882E0000}"/>
    <cellStyle name="Output 2 2 2" xfId="7205" xr:uid="{00000000-0005-0000-0000-0000892E0000}"/>
    <cellStyle name="Output 2 2 2 2" xfId="9690" xr:uid="{00000000-0005-0000-0000-00008A2E0000}"/>
    <cellStyle name="Output 2 2 2 2 2" xfId="12185" xr:uid="{00000000-0005-0000-0000-00008B2E0000}"/>
    <cellStyle name="Output 2 2 2 3" xfId="11663" xr:uid="{00000000-0005-0000-0000-00008C2E0000}"/>
    <cellStyle name="Output 2 2 3" xfId="8592" xr:uid="{00000000-0005-0000-0000-00008D2E0000}"/>
    <cellStyle name="Output 2 2 3 2" xfId="12308" xr:uid="{00000000-0005-0000-0000-00008E2E0000}"/>
    <cellStyle name="Output 2 2 4" xfId="10622" xr:uid="{00000000-0005-0000-0000-00008F2E0000}"/>
    <cellStyle name="Output 2 3" xfId="7383" xr:uid="{00000000-0005-0000-0000-0000902E0000}"/>
    <cellStyle name="Output 2 3 2" xfId="6824" xr:uid="{00000000-0005-0000-0000-0000912E0000}"/>
    <cellStyle name="Output 2 3 2 2" xfId="9580" xr:uid="{00000000-0005-0000-0000-0000922E0000}"/>
    <cellStyle name="Output 2 3 2 2 2" xfId="12168" xr:uid="{00000000-0005-0000-0000-0000932E0000}"/>
    <cellStyle name="Output 2 3 2 3" xfId="11553" xr:uid="{00000000-0005-0000-0000-0000942E0000}"/>
    <cellStyle name="Output 2 3 3" xfId="8453" xr:uid="{00000000-0005-0000-0000-0000952E0000}"/>
    <cellStyle name="Output 2 3 4" xfId="10483" xr:uid="{00000000-0005-0000-0000-0000962E0000}"/>
    <cellStyle name="Output 2 4" xfId="7818" xr:uid="{00000000-0005-0000-0000-0000972E0000}"/>
    <cellStyle name="Output 2 4 2" xfId="7967" xr:uid="{00000000-0005-0000-0000-0000982E0000}"/>
    <cellStyle name="Output 2 4 2 2" xfId="9921" xr:uid="{00000000-0005-0000-0000-0000992E0000}"/>
    <cellStyle name="Output 2 4 2 2 2" xfId="12513" xr:uid="{00000000-0005-0000-0000-00009A2E0000}"/>
    <cellStyle name="Output 2 4 2 3" xfId="11894" xr:uid="{00000000-0005-0000-0000-00009B2E0000}"/>
    <cellStyle name="Output 2 4 3" xfId="8078" xr:uid="{00000000-0005-0000-0000-00009C2E0000}"/>
    <cellStyle name="Output 2 4 3 2" xfId="10108" xr:uid="{00000000-0005-0000-0000-00009D2E0000}"/>
    <cellStyle name="Output 2 4 3 2 2" xfId="12516" xr:uid="{00000000-0005-0000-0000-00009E2E0000}"/>
    <cellStyle name="Output 2 4 3 3" xfId="12081" xr:uid="{00000000-0005-0000-0000-00009F2E0000}"/>
    <cellStyle name="Output 2 4 4" xfId="8865" xr:uid="{00000000-0005-0000-0000-0000A02E0000}"/>
    <cellStyle name="Output 2 4 5" xfId="10895" xr:uid="{00000000-0005-0000-0000-0000A12E0000}"/>
    <cellStyle name="Output 2 5" xfId="8274" xr:uid="{00000000-0005-0000-0000-0000A22E0000}"/>
    <cellStyle name="Output 2 5 2" xfId="9075" xr:uid="{00000000-0005-0000-0000-0000A32E0000}"/>
    <cellStyle name="Output 2 5 2 2" xfId="12526" xr:uid="{00000000-0005-0000-0000-0000A42E0000}"/>
    <cellStyle name="Output 2 5 3" xfId="11052" xr:uid="{00000000-0005-0000-0000-0000A52E0000}"/>
    <cellStyle name="Output 2 6" xfId="9015" xr:uid="{00000000-0005-0000-0000-0000A62E0000}"/>
    <cellStyle name="Output 2 6 2" xfId="11034" xr:uid="{00000000-0005-0000-0000-0000A72E0000}"/>
    <cellStyle name="Output 2 7" xfId="10304" xr:uid="{00000000-0005-0000-0000-0000A82E0000}"/>
    <cellStyle name="per.style" xfId="1481" xr:uid="{00000000-0005-0000-0000-0000A92E0000}"/>
    <cellStyle name="Percent [0]" xfId="1482" xr:uid="{00000000-0005-0000-0000-0000AA2E0000}"/>
    <cellStyle name="Percent [00]" xfId="1483" xr:uid="{00000000-0005-0000-0000-0000AB2E0000}"/>
    <cellStyle name="Percent [2]" xfId="1484" xr:uid="{00000000-0005-0000-0000-0000AC2E0000}"/>
    <cellStyle name="Percent 10" xfId="1485" xr:uid="{00000000-0005-0000-0000-0000AD2E0000}"/>
    <cellStyle name="Percent 2" xfId="1486" xr:uid="{00000000-0005-0000-0000-0000AE2E0000}"/>
    <cellStyle name="Percent 2 2" xfId="1487" xr:uid="{00000000-0005-0000-0000-0000AF2E0000}"/>
    <cellStyle name="Percent 2 2 2" xfId="1488" xr:uid="{00000000-0005-0000-0000-0000B02E0000}"/>
    <cellStyle name="Percent 2 3" xfId="1489" xr:uid="{00000000-0005-0000-0000-0000B12E0000}"/>
    <cellStyle name="Percent 3" xfId="1490" xr:uid="{00000000-0005-0000-0000-0000B22E0000}"/>
    <cellStyle name="Percent 4" xfId="1491" xr:uid="{00000000-0005-0000-0000-0000B32E0000}"/>
    <cellStyle name="Percent 5" xfId="1492" xr:uid="{00000000-0005-0000-0000-0000B42E0000}"/>
    <cellStyle name="Percent 5 2" xfId="1493" xr:uid="{00000000-0005-0000-0000-0000B52E0000}"/>
    <cellStyle name="Percent 5 2 2" xfId="1494" xr:uid="{00000000-0005-0000-0000-0000B62E0000}"/>
    <cellStyle name="Percent 5 2 3" xfId="1495" xr:uid="{00000000-0005-0000-0000-0000B72E0000}"/>
    <cellStyle name="Percent 5 2 4" xfId="1496" xr:uid="{00000000-0005-0000-0000-0000B82E0000}"/>
    <cellStyle name="Percent 5 2 5" xfId="1497" xr:uid="{00000000-0005-0000-0000-0000B92E0000}"/>
    <cellStyle name="Percent 5 2 6" xfId="1498" xr:uid="{00000000-0005-0000-0000-0000BA2E0000}"/>
    <cellStyle name="Percent 5 2 7" xfId="1499" xr:uid="{00000000-0005-0000-0000-0000BB2E0000}"/>
    <cellStyle name="Percent 5 3" xfId="1500" xr:uid="{00000000-0005-0000-0000-0000BC2E0000}"/>
    <cellStyle name="Percent 5 4" xfId="1501" xr:uid="{00000000-0005-0000-0000-0000BD2E0000}"/>
    <cellStyle name="Percent 5 5" xfId="1502" xr:uid="{00000000-0005-0000-0000-0000BE2E0000}"/>
    <cellStyle name="Percent 5 6" xfId="1503" xr:uid="{00000000-0005-0000-0000-0000BF2E0000}"/>
    <cellStyle name="Percent 5 7" xfId="1504" xr:uid="{00000000-0005-0000-0000-0000C02E0000}"/>
    <cellStyle name="Percent 5 8" xfId="1505" xr:uid="{00000000-0005-0000-0000-0000C12E0000}"/>
    <cellStyle name="PERCENTAGE" xfId="1506" xr:uid="{00000000-0005-0000-0000-0000C22E0000}"/>
    <cellStyle name="PrePop Currency (0)" xfId="1507" xr:uid="{00000000-0005-0000-0000-0000C32E0000}"/>
    <cellStyle name="PrePop Currency (2)" xfId="1508" xr:uid="{00000000-0005-0000-0000-0000C42E0000}"/>
    <cellStyle name="PrePop Units (0)" xfId="1509" xr:uid="{00000000-0005-0000-0000-0000C52E0000}"/>
    <cellStyle name="PrePop Units (1)" xfId="1510" xr:uid="{00000000-0005-0000-0000-0000C62E0000}"/>
    <cellStyle name="PrePop Units (2)" xfId="1511" xr:uid="{00000000-0005-0000-0000-0000C72E0000}"/>
    <cellStyle name="pricing" xfId="1512" xr:uid="{00000000-0005-0000-0000-0000C82E0000}"/>
    <cellStyle name="PSChar" xfId="1513" xr:uid="{00000000-0005-0000-0000-0000C92E0000}"/>
    <cellStyle name="PSHeading" xfId="1514" xr:uid="{00000000-0005-0000-0000-0000CA2E0000}"/>
    <cellStyle name="regstoresfromspecstores" xfId="1515" xr:uid="{00000000-0005-0000-0000-0000CB2E0000}"/>
    <cellStyle name="RevList" xfId="1516" xr:uid="{00000000-0005-0000-0000-0000CC2E0000}"/>
    <cellStyle name="S—_x0008_" xfId="1517" xr:uid="{00000000-0005-0000-0000-0000CD2E0000}"/>
    <cellStyle name="s]_x000d__x000a_spooler=yes_x000d__x000a_load=_x000d__x000a_Beep=yes_x000d__x000a_NullPort=None_x000d__x000a_BorderWidth=3_x000d__x000a_CursorBlinkRate=1200_x000d__x000a_DoubleClickSpeed=452_x000d__x000a_Programs=co" xfId="1518" xr:uid="{00000000-0005-0000-0000-0000CE2E0000}"/>
    <cellStyle name="SAPBEXaggData" xfId="1519" xr:uid="{00000000-0005-0000-0000-0000CF2E0000}"/>
    <cellStyle name="SAPBEXaggData 2" xfId="7713" xr:uid="{00000000-0005-0000-0000-0000D02E0000}"/>
    <cellStyle name="SAPBEXaggData 2 2" xfId="6903" xr:uid="{00000000-0005-0000-0000-0000D12E0000}"/>
    <cellStyle name="SAPBEXaggData 2 2 2" xfId="9833" xr:uid="{00000000-0005-0000-0000-0000D22E0000}"/>
    <cellStyle name="SAPBEXaggData 2 2 2 2" xfId="13167" xr:uid="{00000000-0005-0000-0000-0000D32E0000}"/>
    <cellStyle name="SAPBEXaggData 2 2 3" xfId="11806" xr:uid="{00000000-0005-0000-0000-0000D42E0000}"/>
    <cellStyle name="SAPBEXaggData 2 3" xfId="8768" xr:uid="{00000000-0005-0000-0000-0000D52E0000}"/>
    <cellStyle name="SAPBEXaggData 2 3 2" xfId="12416" xr:uid="{00000000-0005-0000-0000-0000D62E0000}"/>
    <cellStyle name="SAPBEXaggData 2 4" xfId="10798" xr:uid="{00000000-0005-0000-0000-0000D72E0000}"/>
    <cellStyle name="SAPBEXaggData 3" xfId="7458" xr:uid="{00000000-0005-0000-0000-0000D82E0000}"/>
    <cellStyle name="SAPBEXaggData 3 2" xfId="7213" xr:uid="{00000000-0005-0000-0000-0000D92E0000}"/>
    <cellStyle name="SAPBEXaggData 3 2 2" xfId="9457" xr:uid="{00000000-0005-0000-0000-0000DA2E0000}"/>
    <cellStyle name="SAPBEXaggData 3 2 2 2" xfId="13083" xr:uid="{00000000-0005-0000-0000-0000DB2E0000}"/>
    <cellStyle name="SAPBEXaggData 3 2 3" xfId="11430" xr:uid="{00000000-0005-0000-0000-0000DC2E0000}"/>
    <cellStyle name="SAPBEXaggData 3 3" xfId="8525" xr:uid="{00000000-0005-0000-0000-0000DD2E0000}"/>
    <cellStyle name="SAPBEXaggData 3 3 2" xfId="12655" xr:uid="{00000000-0005-0000-0000-0000DE2E0000}"/>
    <cellStyle name="SAPBEXaggData 3 4" xfId="10555" xr:uid="{00000000-0005-0000-0000-0000DF2E0000}"/>
    <cellStyle name="SAPBEXaggData 4" xfId="7761" xr:uid="{00000000-0005-0000-0000-0000E02E0000}"/>
    <cellStyle name="SAPBEXaggData 4 2" xfId="7147" xr:uid="{00000000-0005-0000-0000-0000E12E0000}"/>
    <cellStyle name="SAPBEXaggData 4 2 2" xfId="9869" xr:uid="{00000000-0005-0000-0000-0000E22E0000}"/>
    <cellStyle name="SAPBEXaggData 4 2 2 2" xfId="13170" xr:uid="{00000000-0005-0000-0000-0000E32E0000}"/>
    <cellStyle name="SAPBEXaggData 4 2 3" xfId="11842" xr:uid="{00000000-0005-0000-0000-0000E42E0000}"/>
    <cellStyle name="SAPBEXaggData 4 3" xfId="8813" xr:uid="{00000000-0005-0000-0000-0000E52E0000}"/>
    <cellStyle name="SAPBEXaggData 4 4" xfId="10843" xr:uid="{00000000-0005-0000-0000-0000E62E0000}"/>
    <cellStyle name="SAPBEXaggData 5" xfId="7819" xr:uid="{00000000-0005-0000-0000-0000E72E0000}"/>
    <cellStyle name="SAPBEXaggData 5 2" xfId="7968" xr:uid="{00000000-0005-0000-0000-0000E82E0000}"/>
    <cellStyle name="SAPBEXaggData 5 2 2" xfId="9922" xr:uid="{00000000-0005-0000-0000-0000E92E0000}"/>
    <cellStyle name="SAPBEXaggData 5 2 2 2" xfId="13195" xr:uid="{00000000-0005-0000-0000-0000EA2E0000}"/>
    <cellStyle name="SAPBEXaggData 5 2 3" xfId="11895" xr:uid="{00000000-0005-0000-0000-0000EB2E0000}"/>
    <cellStyle name="SAPBEXaggData 5 3" xfId="8079" xr:uid="{00000000-0005-0000-0000-0000EC2E0000}"/>
    <cellStyle name="SAPBEXaggData 5 3 2" xfId="10109" xr:uid="{00000000-0005-0000-0000-0000ED2E0000}"/>
    <cellStyle name="SAPBEXaggData 5 3 2 2" xfId="13302" xr:uid="{00000000-0005-0000-0000-0000EE2E0000}"/>
    <cellStyle name="SAPBEXaggData 5 3 3" xfId="12082" xr:uid="{00000000-0005-0000-0000-0000EF2E0000}"/>
    <cellStyle name="SAPBEXaggData 5 4" xfId="8866" xr:uid="{00000000-0005-0000-0000-0000F02E0000}"/>
    <cellStyle name="SAPBEXaggData 5 5" xfId="10896" xr:uid="{00000000-0005-0000-0000-0000F12E0000}"/>
    <cellStyle name="SAPBEXaggData 6" xfId="8275" xr:uid="{00000000-0005-0000-0000-0000F22E0000}"/>
    <cellStyle name="SAPBEXaggData 6 2" xfId="9078" xr:uid="{00000000-0005-0000-0000-0000F32E0000}"/>
    <cellStyle name="SAPBEXaggData 6 2 2" xfId="12778" xr:uid="{00000000-0005-0000-0000-0000F42E0000}"/>
    <cellStyle name="SAPBEXaggData 6 3" xfId="11053" xr:uid="{00000000-0005-0000-0000-0000F52E0000}"/>
    <cellStyle name="SAPBEXaggData 7" xfId="9014" xr:uid="{00000000-0005-0000-0000-0000F62E0000}"/>
    <cellStyle name="SAPBEXaggData 7 2" xfId="11033" xr:uid="{00000000-0005-0000-0000-0000F72E0000}"/>
    <cellStyle name="SAPBEXaggData 8" xfId="10305" xr:uid="{00000000-0005-0000-0000-0000F82E0000}"/>
    <cellStyle name="SAPBEXaggDataEmph" xfId="1520" xr:uid="{00000000-0005-0000-0000-0000F92E0000}"/>
    <cellStyle name="SAPBEXaggDataEmph 2" xfId="7496" xr:uid="{00000000-0005-0000-0000-0000FA2E0000}"/>
    <cellStyle name="SAPBEXaggDataEmph 2 2" xfId="7103" xr:uid="{00000000-0005-0000-0000-0000FB2E0000}"/>
    <cellStyle name="SAPBEXaggDataEmph 2 2 2" xfId="9667" xr:uid="{00000000-0005-0000-0000-0000FC2E0000}"/>
    <cellStyle name="SAPBEXaggDataEmph 2 2 2 2" xfId="13155" xr:uid="{00000000-0005-0000-0000-0000FD2E0000}"/>
    <cellStyle name="SAPBEXaggDataEmph 2 2 3" xfId="11640" xr:uid="{00000000-0005-0000-0000-0000FE2E0000}"/>
    <cellStyle name="SAPBEXaggDataEmph 2 3" xfId="8563" xr:uid="{00000000-0005-0000-0000-0000FF2E0000}"/>
    <cellStyle name="SAPBEXaggDataEmph 2 3 2" xfId="12294" xr:uid="{00000000-0005-0000-0000-0000002F0000}"/>
    <cellStyle name="SAPBEXaggDataEmph 2 4" xfId="10593" xr:uid="{00000000-0005-0000-0000-0000012F0000}"/>
    <cellStyle name="SAPBEXaggDataEmph 3" xfId="7345" xr:uid="{00000000-0005-0000-0000-0000022F0000}"/>
    <cellStyle name="SAPBEXaggDataEmph 3 2" xfId="6856" xr:uid="{00000000-0005-0000-0000-0000032F0000}"/>
    <cellStyle name="SAPBEXaggDataEmph 3 2 2" xfId="9194" xr:uid="{00000000-0005-0000-0000-0000042F0000}"/>
    <cellStyle name="SAPBEXaggDataEmph 3 2 2 2" xfId="12834" xr:uid="{00000000-0005-0000-0000-0000052F0000}"/>
    <cellStyle name="SAPBEXaggDataEmph 3 2 3" xfId="11167" xr:uid="{00000000-0005-0000-0000-0000062F0000}"/>
    <cellStyle name="SAPBEXaggDataEmph 3 3" xfId="8417" xr:uid="{00000000-0005-0000-0000-0000072F0000}"/>
    <cellStyle name="SAPBEXaggDataEmph 3 3 2" xfId="12607" xr:uid="{00000000-0005-0000-0000-0000082F0000}"/>
    <cellStyle name="SAPBEXaggDataEmph 3 4" xfId="10447" xr:uid="{00000000-0005-0000-0000-0000092F0000}"/>
    <cellStyle name="SAPBEXaggDataEmph 4" xfId="7762" xr:uid="{00000000-0005-0000-0000-00000A2F0000}"/>
    <cellStyle name="SAPBEXaggDataEmph 4 2" xfId="7177" xr:uid="{00000000-0005-0000-0000-00000B2F0000}"/>
    <cellStyle name="SAPBEXaggDataEmph 4 2 2" xfId="9870" xr:uid="{00000000-0005-0000-0000-00000C2F0000}"/>
    <cellStyle name="SAPBEXaggDataEmph 4 2 2 2" xfId="13171" xr:uid="{00000000-0005-0000-0000-00000D2F0000}"/>
    <cellStyle name="SAPBEXaggDataEmph 4 2 3" xfId="11843" xr:uid="{00000000-0005-0000-0000-00000E2F0000}"/>
    <cellStyle name="SAPBEXaggDataEmph 4 3" xfId="8814" xr:uid="{00000000-0005-0000-0000-00000F2F0000}"/>
    <cellStyle name="SAPBEXaggDataEmph 4 4" xfId="10844" xr:uid="{00000000-0005-0000-0000-0000102F0000}"/>
    <cellStyle name="SAPBEXaggDataEmph 5" xfId="7820" xr:uid="{00000000-0005-0000-0000-0000112F0000}"/>
    <cellStyle name="SAPBEXaggDataEmph 5 2" xfId="7969" xr:uid="{00000000-0005-0000-0000-0000122F0000}"/>
    <cellStyle name="SAPBEXaggDataEmph 5 2 2" xfId="9923" xr:uid="{00000000-0005-0000-0000-0000132F0000}"/>
    <cellStyle name="SAPBEXaggDataEmph 5 2 2 2" xfId="13196" xr:uid="{00000000-0005-0000-0000-0000142F0000}"/>
    <cellStyle name="SAPBEXaggDataEmph 5 2 3" xfId="11896" xr:uid="{00000000-0005-0000-0000-0000152F0000}"/>
    <cellStyle name="SAPBEXaggDataEmph 5 3" xfId="8080" xr:uid="{00000000-0005-0000-0000-0000162F0000}"/>
    <cellStyle name="SAPBEXaggDataEmph 5 3 2" xfId="10110" xr:uid="{00000000-0005-0000-0000-0000172F0000}"/>
    <cellStyle name="SAPBEXaggDataEmph 5 3 2 2" xfId="13303" xr:uid="{00000000-0005-0000-0000-0000182F0000}"/>
    <cellStyle name="SAPBEXaggDataEmph 5 3 3" xfId="12083" xr:uid="{00000000-0005-0000-0000-0000192F0000}"/>
    <cellStyle name="SAPBEXaggDataEmph 5 4" xfId="8867" xr:uid="{00000000-0005-0000-0000-00001A2F0000}"/>
    <cellStyle name="SAPBEXaggDataEmph 5 5" xfId="10897" xr:uid="{00000000-0005-0000-0000-00001B2F0000}"/>
    <cellStyle name="SAPBEXaggDataEmph 6" xfId="8276" xr:uid="{00000000-0005-0000-0000-00001C2F0000}"/>
    <cellStyle name="SAPBEXaggDataEmph 6 2" xfId="9079" xr:uid="{00000000-0005-0000-0000-00001D2F0000}"/>
    <cellStyle name="SAPBEXaggDataEmph 6 2 2" xfId="12779" xr:uid="{00000000-0005-0000-0000-00001E2F0000}"/>
    <cellStyle name="SAPBEXaggDataEmph 6 3" xfId="11054" xr:uid="{00000000-0005-0000-0000-00001F2F0000}"/>
    <cellStyle name="SAPBEXaggDataEmph 7" xfId="9013" xr:uid="{00000000-0005-0000-0000-0000202F0000}"/>
    <cellStyle name="SAPBEXaggDataEmph 7 2" xfId="11032" xr:uid="{00000000-0005-0000-0000-0000212F0000}"/>
    <cellStyle name="SAPBEXaggDataEmph 8" xfId="10306" xr:uid="{00000000-0005-0000-0000-0000222F0000}"/>
    <cellStyle name="SAPBEXaggItem" xfId="1521" xr:uid="{00000000-0005-0000-0000-0000232F0000}"/>
    <cellStyle name="SAPBEXaggItem 2" xfId="7418" xr:uid="{00000000-0005-0000-0000-0000242F0000}"/>
    <cellStyle name="SAPBEXaggItem 2 2" xfId="6986" xr:uid="{00000000-0005-0000-0000-0000252F0000}"/>
    <cellStyle name="SAPBEXaggItem 2 2 2" xfId="9605" xr:uid="{00000000-0005-0000-0000-0000262F0000}"/>
    <cellStyle name="SAPBEXaggItem 2 2 2 2" xfId="13148" xr:uid="{00000000-0005-0000-0000-0000272F0000}"/>
    <cellStyle name="SAPBEXaggItem 2 2 3" xfId="11578" xr:uid="{00000000-0005-0000-0000-0000282F0000}"/>
    <cellStyle name="SAPBEXaggItem 2 3" xfId="8488" xr:uid="{00000000-0005-0000-0000-0000292F0000}"/>
    <cellStyle name="SAPBEXaggItem 2 3 2" xfId="12246" xr:uid="{00000000-0005-0000-0000-00002A2F0000}"/>
    <cellStyle name="SAPBEXaggItem 2 4" xfId="10518" xr:uid="{00000000-0005-0000-0000-00002B2F0000}"/>
    <cellStyle name="SAPBEXaggItem 3" xfId="7319" xr:uid="{00000000-0005-0000-0000-00002C2F0000}"/>
    <cellStyle name="SAPBEXaggItem 3 2" xfId="7269" xr:uid="{00000000-0005-0000-0000-00002D2F0000}"/>
    <cellStyle name="SAPBEXaggItem 3 2 2" xfId="9496" xr:uid="{00000000-0005-0000-0000-00002E2F0000}"/>
    <cellStyle name="SAPBEXaggItem 3 2 2 2" xfId="13120" xr:uid="{00000000-0005-0000-0000-00002F2F0000}"/>
    <cellStyle name="SAPBEXaggItem 3 2 3" xfId="11469" xr:uid="{00000000-0005-0000-0000-0000302F0000}"/>
    <cellStyle name="SAPBEXaggItem 3 3" xfId="8392" xr:uid="{00000000-0005-0000-0000-0000312F0000}"/>
    <cellStyle name="SAPBEXaggItem 3 3 2" xfId="12595" xr:uid="{00000000-0005-0000-0000-0000322F0000}"/>
    <cellStyle name="SAPBEXaggItem 3 4" xfId="10422" xr:uid="{00000000-0005-0000-0000-0000332F0000}"/>
    <cellStyle name="SAPBEXaggItem 4" xfId="7763" xr:uid="{00000000-0005-0000-0000-0000342F0000}"/>
    <cellStyle name="SAPBEXaggItem 4 2" xfId="6843" xr:uid="{00000000-0005-0000-0000-0000352F0000}"/>
    <cellStyle name="SAPBEXaggItem 4 2 2" xfId="9871" xr:uid="{00000000-0005-0000-0000-0000362F0000}"/>
    <cellStyle name="SAPBEXaggItem 4 2 2 2" xfId="13172" xr:uid="{00000000-0005-0000-0000-0000372F0000}"/>
    <cellStyle name="SAPBEXaggItem 4 2 3" xfId="11844" xr:uid="{00000000-0005-0000-0000-0000382F0000}"/>
    <cellStyle name="SAPBEXaggItem 4 3" xfId="8815" xr:uid="{00000000-0005-0000-0000-0000392F0000}"/>
    <cellStyle name="SAPBEXaggItem 4 4" xfId="10845" xr:uid="{00000000-0005-0000-0000-00003A2F0000}"/>
    <cellStyle name="SAPBEXaggItem 5" xfId="7821" xr:uid="{00000000-0005-0000-0000-00003B2F0000}"/>
    <cellStyle name="SAPBEXaggItem 5 2" xfId="7970" xr:uid="{00000000-0005-0000-0000-00003C2F0000}"/>
    <cellStyle name="SAPBEXaggItem 5 2 2" xfId="9924" xr:uid="{00000000-0005-0000-0000-00003D2F0000}"/>
    <cellStyle name="SAPBEXaggItem 5 2 2 2" xfId="13197" xr:uid="{00000000-0005-0000-0000-00003E2F0000}"/>
    <cellStyle name="SAPBEXaggItem 5 2 3" xfId="11897" xr:uid="{00000000-0005-0000-0000-00003F2F0000}"/>
    <cellStyle name="SAPBEXaggItem 5 3" xfId="8081" xr:uid="{00000000-0005-0000-0000-0000402F0000}"/>
    <cellStyle name="SAPBEXaggItem 5 3 2" xfId="10111" xr:uid="{00000000-0005-0000-0000-0000412F0000}"/>
    <cellStyle name="SAPBEXaggItem 5 3 2 2" xfId="13304" xr:uid="{00000000-0005-0000-0000-0000422F0000}"/>
    <cellStyle name="SAPBEXaggItem 5 3 3" xfId="12084" xr:uid="{00000000-0005-0000-0000-0000432F0000}"/>
    <cellStyle name="SAPBEXaggItem 5 4" xfId="8868" xr:uid="{00000000-0005-0000-0000-0000442F0000}"/>
    <cellStyle name="SAPBEXaggItem 5 5" xfId="10898" xr:uid="{00000000-0005-0000-0000-0000452F0000}"/>
    <cellStyle name="SAPBEXaggItem 6" xfId="8277" xr:uid="{00000000-0005-0000-0000-0000462F0000}"/>
    <cellStyle name="SAPBEXaggItem 6 2" xfId="9080" xr:uid="{00000000-0005-0000-0000-0000472F0000}"/>
    <cellStyle name="SAPBEXaggItem 6 2 2" xfId="12780" xr:uid="{00000000-0005-0000-0000-0000482F0000}"/>
    <cellStyle name="SAPBEXaggItem 6 3" xfId="11055" xr:uid="{00000000-0005-0000-0000-0000492F0000}"/>
    <cellStyle name="SAPBEXaggItem 7" xfId="9012" xr:uid="{00000000-0005-0000-0000-00004A2F0000}"/>
    <cellStyle name="SAPBEXaggItem 7 2" xfId="11031" xr:uid="{00000000-0005-0000-0000-00004B2F0000}"/>
    <cellStyle name="SAPBEXaggItem 8" xfId="10307" xr:uid="{00000000-0005-0000-0000-00004C2F0000}"/>
    <cellStyle name="SAPBEXchaText" xfId="1522" xr:uid="{00000000-0005-0000-0000-00004D2F0000}"/>
    <cellStyle name="SAPBEXexcBad7" xfId="1523" xr:uid="{00000000-0005-0000-0000-00004E2F0000}"/>
    <cellStyle name="SAPBEXexcBad7 2" xfId="7487" xr:uid="{00000000-0005-0000-0000-00004F2F0000}"/>
    <cellStyle name="SAPBEXexcBad7 2 2" xfId="7093" xr:uid="{00000000-0005-0000-0000-0000502F0000}"/>
    <cellStyle name="SAPBEXexcBad7 2 2 2" xfId="9658" xr:uid="{00000000-0005-0000-0000-0000512F0000}"/>
    <cellStyle name="SAPBEXexcBad7 2 2 2 2" xfId="13152" xr:uid="{00000000-0005-0000-0000-0000522F0000}"/>
    <cellStyle name="SAPBEXexcBad7 2 2 3" xfId="11631" xr:uid="{00000000-0005-0000-0000-0000532F0000}"/>
    <cellStyle name="SAPBEXexcBad7 2 3" xfId="8554" xr:uid="{00000000-0005-0000-0000-0000542F0000}"/>
    <cellStyle name="SAPBEXexcBad7 2 3 2" xfId="12286" xr:uid="{00000000-0005-0000-0000-0000552F0000}"/>
    <cellStyle name="SAPBEXexcBad7 2 4" xfId="10584" xr:uid="{00000000-0005-0000-0000-0000562F0000}"/>
    <cellStyle name="SAPBEXexcBad7 3" xfId="7742" xr:uid="{00000000-0005-0000-0000-0000572F0000}"/>
    <cellStyle name="SAPBEXexcBad7 3 2" xfId="7948" xr:uid="{00000000-0005-0000-0000-0000582F0000}"/>
    <cellStyle name="SAPBEXexcBad7 3 2 2" xfId="10010" xr:uid="{00000000-0005-0000-0000-0000592F0000}"/>
    <cellStyle name="SAPBEXexcBad7 3 2 2 2" xfId="13224" xr:uid="{00000000-0005-0000-0000-00005A2F0000}"/>
    <cellStyle name="SAPBEXexcBad7 3 2 3" xfId="11983" xr:uid="{00000000-0005-0000-0000-00005B2F0000}"/>
    <cellStyle name="SAPBEXexcBad7 3 3" xfId="8796" xr:uid="{00000000-0005-0000-0000-00005C2F0000}"/>
    <cellStyle name="SAPBEXexcBad7 3 3 2" xfId="12752" xr:uid="{00000000-0005-0000-0000-00005D2F0000}"/>
    <cellStyle name="SAPBEXexcBad7 3 4" xfId="10826" xr:uid="{00000000-0005-0000-0000-00005E2F0000}"/>
    <cellStyle name="SAPBEXexcBad7 4" xfId="7764" xr:uid="{00000000-0005-0000-0000-00005F2F0000}"/>
    <cellStyle name="SAPBEXexcBad7 4 2" xfId="7281" xr:uid="{00000000-0005-0000-0000-0000602F0000}"/>
    <cellStyle name="SAPBEXexcBad7 4 2 2" xfId="9872" xr:uid="{00000000-0005-0000-0000-0000612F0000}"/>
    <cellStyle name="SAPBEXexcBad7 4 2 2 2" xfId="13173" xr:uid="{00000000-0005-0000-0000-0000622F0000}"/>
    <cellStyle name="SAPBEXexcBad7 4 2 3" xfId="11845" xr:uid="{00000000-0005-0000-0000-0000632F0000}"/>
    <cellStyle name="SAPBEXexcBad7 4 3" xfId="8816" xr:uid="{00000000-0005-0000-0000-0000642F0000}"/>
    <cellStyle name="SAPBEXexcBad7 4 4" xfId="10846" xr:uid="{00000000-0005-0000-0000-0000652F0000}"/>
    <cellStyle name="SAPBEXexcBad7 5" xfId="7822" xr:uid="{00000000-0005-0000-0000-0000662F0000}"/>
    <cellStyle name="SAPBEXexcBad7 5 2" xfId="7971" xr:uid="{00000000-0005-0000-0000-0000672F0000}"/>
    <cellStyle name="SAPBEXexcBad7 5 2 2" xfId="9925" xr:uid="{00000000-0005-0000-0000-0000682F0000}"/>
    <cellStyle name="SAPBEXexcBad7 5 2 2 2" xfId="13198" xr:uid="{00000000-0005-0000-0000-0000692F0000}"/>
    <cellStyle name="SAPBEXexcBad7 5 2 3" xfId="11898" xr:uid="{00000000-0005-0000-0000-00006A2F0000}"/>
    <cellStyle name="SAPBEXexcBad7 5 3" xfId="8082" xr:uid="{00000000-0005-0000-0000-00006B2F0000}"/>
    <cellStyle name="SAPBEXexcBad7 5 3 2" xfId="10112" xr:uid="{00000000-0005-0000-0000-00006C2F0000}"/>
    <cellStyle name="SAPBEXexcBad7 5 3 2 2" xfId="13305" xr:uid="{00000000-0005-0000-0000-00006D2F0000}"/>
    <cellStyle name="SAPBEXexcBad7 5 3 3" xfId="12085" xr:uid="{00000000-0005-0000-0000-00006E2F0000}"/>
    <cellStyle name="SAPBEXexcBad7 5 4" xfId="8869" xr:uid="{00000000-0005-0000-0000-00006F2F0000}"/>
    <cellStyle name="SAPBEXexcBad7 5 5" xfId="10899" xr:uid="{00000000-0005-0000-0000-0000702F0000}"/>
    <cellStyle name="SAPBEXexcBad7 6" xfId="8278" xr:uid="{00000000-0005-0000-0000-0000712F0000}"/>
    <cellStyle name="SAPBEXexcBad7 6 2" xfId="9082" xr:uid="{00000000-0005-0000-0000-0000722F0000}"/>
    <cellStyle name="SAPBEXexcBad7 6 2 2" xfId="12782" xr:uid="{00000000-0005-0000-0000-0000732F0000}"/>
    <cellStyle name="SAPBEXexcBad7 6 3" xfId="11056" xr:uid="{00000000-0005-0000-0000-0000742F0000}"/>
    <cellStyle name="SAPBEXexcBad7 7" xfId="9011" xr:uid="{00000000-0005-0000-0000-0000752F0000}"/>
    <cellStyle name="SAPBEXexcBad7 7 2" xfId="11030" xr:uid="{00000000-0005-0000-0000-0000762F0000}"/>
    <cellStyle name="SAPBEXexcBad7 8" xfId="10308" xr:uid="{00000000-0005-0000-0000-0000772F0000}"/>
    <cellStyle name="SAPBEXexcBad8" xfId="1524" xr:uid="{00000000-0005-0000-0000-0000782F0000}"/>
    <cellStyle name="SAPBEXexcBad8 2" xfId="7437" xr:uid="{00000000-0005-0000-0000-0000792F0000}"/>
    <cellStyle name="SAPBEXexcBad8 2 2" xfId="6839" xr:uid="{00000000-0005-0000-0000-00007A2F0000}"/>
    <cellStyle name="SAPBEXexcBad8 2 2 2" xfId="9619" xr:uid="{00000000-0005-0000-0000-00007B2F0000}"/>
    <cellStyle name="SAPBEXexcBad8 2 2 2 2" xfId="13150" xr:uid="{00000000-0005-0000-0000-00007C2F0000}"/>
    <cellStyle name="SAPBEXexcBad8 2 2 3" xfId="11592" xr:uid="{00000000-0005-0000-0000-00007D2F0000}"/>
    <cellStyle name="SAPBEXexcBad8 2 3" xfId="8507" xr:uid="{00000000-0005-0000-0000-00007E2F0000}"/>
    <cellStyle name="SAPBEXexcBad8 2 3 2" xfId="12255" xr:uid="{00000000-0005-0000-0000-00007F2F0000}"/>
    <cellStyle name="SAPBEXexcBad8 2 4" xfId="10537" xr:uid="{00000000-0005-0000-0000-0000802F0000}"/>
    <cellStyle name="SAPBEXexcBad8 3" xfId="7569" xr:uid="{00000000-0005-0000-0000-0000812F0000}"/>
    <cellStyle name="SAPBEXexcBad8 3 2" xfId="6965" xr:uid="{00000000-0005-0000-0000-0000822F0000}"/>
    <cellStyle name="SAPBEXexcBad8 3 2 2" xfId="9279" xr:uid="{00000000-0005-0000-0000-0000832F0000}"/>
    <cellStyle name="SAPBEXexcBad8 3 2 2 2" xfId="12913" xr:uid="{00000000-0005-0000-0000-0000842F0000}"/>
    <cellStyle name="SAPBEXexcBad8 3 2 3" xfId="11252" xr:uid="{00000000-0005-0000-0000-0000852F0000}"/>
    <cellStyle name="SAPBEXexcBad8 3 3" xfId="8633" xr:uid="{00000000-0005-0000-0000-0000862F0000}"/>
    <cellStyle name="SAPBEXexcBad8 3 3 2" xfId="12689" xr:uid="{00000000-0005-0000-0000-0000872F0000}"/>
    <cellStyle name="SAPBEXexcBad8 3 4" xfId="10663" xr:uid="{00000000-0005-0000-0000-0000882F0000}"/>
    <cellStyle name="SAPBEXexcBad8 4" xfId="7765" xr:uid="{00000000-0005-0000-0000-0000892F0000}"/>
    <cellStyle name="SAPBEXexcBad8 4 2" xfId="7001" xr:uid="{00000000-0005-0000-0000-00008A2F0000}"/>
    <cellStyle name="SAPBEXexcBad8 4 2 2" xfId="9873" xr:uid="{00000000-0005-0000-0000-00008B2F0000}"/>
    <cellStyle name="SAPBEXexcBad8 4 2 2 2" xfId="13174" xr:uid="{00000000-0005-0000-0000-00008C2F0000}"/>
    <cellStyle name="SAPBEXexcBad8 4 2 3" xfId="11846" xr:uid="{00000000-0005-0000-0000-00008D2F0000}"/>
    <cellStyle name="SAPBEXexcBad8 4 3" xfId="8817" xr:uid="{00000000-0005-0000-0000-00008E2F0000}"/>
    <cellStyle name="SAPBEXexcBad8 4 4" xfId="10847" xr:uid="{00000000-0005-0000-0000-00008F2F0000}"/>
    <cellStyle name="SAPBEXexcBad8 5" xfId="7823" xr:uid="{00000000-0005-0000-0000-0000902F0000}"/>
    <cellStyle name="SAPBEXexcBad8 5 2" xfId="7972" xr:uid="{00000000-0005-0000-0000-0000912F0000}"/>
    <cellStyle name="SAPBEXexcBad8 5 2 2" xfId="9926" xr:uid="{00000000-0005-0000-0000-0000922F0000}"/>
    <cellStyle name="SAPBEXexcBad8 5 2 2 2" xfId="13199" xr:uid="{00000000-0005-0000-0000-0000932F0000}"/>
    <cellStyle name="SAPBEXexcBad8 5 2 3" xfId="11899" xr:uid="{00000000-0005-0000-0000-0000942F0000}"/>
    <cellStyle name="SAPBEXexcBad8 5 3" xfId="8083" xr:uid="{00000000-0005-0000-0000-0000952F0000}"/>
    <cellStyle name="SAPBEXexcBad8 5 3 2" xfId="10113" xr:uid="{00000000-0005-0000-0000-0000962F0000}"/>
    <cellStyle name="SAPBEXexcBad8 5 3 2 2" xfId="13306" xr:uid="{00000000-0005-0000-0000-0000972F0000}"/>
    <cellStyle name="SAPBEXexcBad8 5 3 3" xfId="12086" xr:uid="{00000000-0005-0000-0000-0000982F0000}"/>
    <cellStyle name="SAPBEXexcBad8 5 4" xfId="8870" xr:uid="{00000000-0005-0000-0000-0000992F0000}"/>
    <cellStyle name="SAPBEXexcBad8 5 5" xfId="10900" xr:uid="{00000000-0005-0000-0000-00009A2F0000}"/>
    <cellStyle name="SAPBEXexcBad8 6" xfId="8279" xr:uid="{00000000-0005-0000-0000-00009B2F0000}"/>
    <cellStyle name="SAPBEXexcBad8 6 2" xfId="9083" xr:uid="{00000000-0005-0000-0000-00009C2F0000}"/>
    <cellStyle name="SAPBEXexcBad8 6 2 2" xfId="12783" xr:uid="{00000000-0005-0000-0000-00009D2F0000}"/>
    <cellStyle name="SAPBEXexcBad8 6 3" xfId="11057" xr:uid="{00000000-0005-0000-0000-00009E2F0000}"/>
    <cellStyle name="SAPBEXexcBad8 7" xfId="9010" xr:uid="{00000000-0005-0000-0000-00009F2F0000}"/>
    <cellStyle name="SAPBEXexcBad8 7 2" xfId="11029" xr:uid="{00000000-0005-0000-0000-0000A02F0000}"/>
    <cellStyle name="SAPBEXexcBad8 8" xfId="10309" xr:uid="{00000000-0005-0000-0000-0000A12F0000}"/>
    <cellStyle name="SAPBEXexcBad9" xfId="1525" xr:uid="{00000000-0005-0000-0000-0000A22F0000}"/>
    <cellStyle name="SAPBEXexcBad9 2" xfId="7630" xr:uid="{00000000-0005-0000-0000-0000A32F0000}"/>
    <cellStyle name="SAPBEXexcBad9 2 2" xfId="7154" xr:uid="{00000000-0005-0000-0000-0000A42F0000}"/>
    <cellStyle name="SAPBEXexcBad9 2 2 2" xfId="9766" xr:uid="{00000000-0005-0000-0000-0000A52F0000}"/>
    <cellStyle name="SAPBEXexcBad9 2 2 2 2" xfId="13161" xr:uid="{00000000-0005-0000-0000-0000A62F0000}"/>
    <cellStyle name="SAPBEXexcBad9 2 2 3" xfId="11739" xr:uid="{00000000-0005-0000-0000-0000A72F0000}"/>
    <cellStyle name="SAPBEXexcBad9 2 3" xfId="8690" xr:uid="{00000000-0005-0000-0000-0000A82F0000}"/>
    <cellStyle name="SAPBEXexcBad9 2 3 2" xfId="12368" xr:uid="{00000000-0005-0000-0000-0000A92F0000}"/>
    <cellStyle name="SAPBEXexcBad9 2 4" xfId="10720" xr:uid="{00000000-0005-0000-0000-0000AA2F0000}"/>
    <cellStyle name="SAPBEXexcBad9 3" xfId="7339" xr:uid="{00000000-0005-0000-0000-0000AB2F0000}"/>
    <cellStyle name="SAPBEXexcBad9 3 2" xfId="7280" xr:uid="{00000000-0005-0000-0000-0000AC2F0000}"/>
    <cellStyle name="SAPBEXexcBad9 3 2 2" xfId="9504" xr:uid="{00000000-0005-0000-0000-0000AD2F0000}"/>
    <cellStyle name="SAPBEXexcBad9 3 2 2 2" xfId="13128" xr:uid="{00000000-0005-0000-0000-0000AE2F0000}"/>
    <cellStyle name="SAPBEXexcBad9 3 2 3" xfId="11477" xr:uid="{00000000-0005-0000-0000-0000AF2F0000}"/>
    <cellStyle name="SAPBEXexcBad9 3 3" xfId="8411" xr:uid="{00000000-0005-0000-0000-0000B02F0000}"/>
    <cellStyle name="SAPBEXexcBad9 3 3 2" xfId="12603" xr:uid="{00000000-0005-0000-0000-0000B12F0000}"/>
    <cellStyle name="SAPBEXexcBad9 3 4" xfId="10441" xr:uid="{00000000-0005-0000-0000-0000B22F0000}"/>
    <cellStyle name="SAPBEXexcBad9 4" xfId="7766" xr:uid="{00000000-0005-0000-0000-0000B32F0000}"/>
    <cellStyle name="SAPBEXexcBad9 4 2" xfId="7167" xr:uid="{00000000-0005-0000-0000-0000B42F0000}"/>
    <cellStyle name="SAPBEXexcBad9 4 2 2" xfId="9874" xr:uid="{00000000-0005-0000-0000-0000B52F0000}"/>
    <cellStyle name="SAPBEXexcBad9 4 2 2 2" xfId="13175" xr:uid="{00000000-0005-0000-0000-0000B62F0000}"/>
    <cellStyle name="SAPBEXexcBad9 4 2 3" xfId="11847" xr:uid="{00000000-0005-0000-0000-0000B72F0000}"/>
    <cellStyle name="SAPBEXexcBad9 4 3" xfId="8818" xr:uid="{00000000-0005-0000-0000-0000B82F0000}"/>
    <cellStyle name="SAPBEXexcBad9 4 4" xfId="10848" xr:uid="{00000000-0005-0000-0000-0000B92F0000}"/>
    <cellStyle name="SAPBEXexcBad9 5" xfId="7824" xr:uid="{00000000-0005-0000-0000-0000BA2F0000}"/>
    <cellStyle name="SAPBEXexcBad9 5 2" xfId="7973" xr:uid="{00000000-0005-0000-0000-0000BB2F0000}"/>
    <cellStyle name="SAPBEXexcBad9 5 2 2" xfId="9927" xr:uid="{00000000-0005-0000-0000-0000BC2F0000}"/>
    <cellStyle name="SAPBEXexcBad9 5 2 2 2" xfId="13200" xr:uid="{00000000-0005-0000-0000-0000BD2F0000}"/>
    <cellStyle name="SAPBEXexcBad9 5 2 3" xfId="11900" xr:uid="{00000000-0005-0000-0000-0000BE2F0000}"/>
    <cellStyle name="SAPBEXexcBad9 5 3" xfId="8084" xr:uid="{00000000-0005-0000-0000-0000BF2F0000}"/>
    <cellStyle name="SAPBEXexcBad9 5 3 2" xfId="10114" xr:uid="{00000000-0005-0000-0000-0000C02F0000}"/>
    <cellStyle name="SAPBEXexcBad9 5 3 2 2" xfId="13307" xr:uid="{00000000-0005-0000-0000-0000C12F0000}"/>
    <cellStyle name="SAPBEXexcBad9 5 3 3" xfId="12087" xr:uid="{00000000-0005-0000-0000-0000C22F0000}"/>
    <cellStyle name="SAPBEXexcBad9 5 4" xfId="8871" xr:uid="{00000000-0005-0000-0000-0000C32F0000}"/>
    <cellStyle name="SAPBEXexcBad9 5 5" xfId="10901" xr:uid="{00000000-0005-0000-0000-0000C42F0000}"/>
    <cellStyle name="SAPBEXexcBad9 6" xfId="8280" xr:uid="{00000000-0005-0000-0000-0000C52F0000}"/>
    <cellStyle name="SAPBEXexcBad9 6 2" xfId="9084" xr:uid="{00000000-0005-0000-0000-0000C62F0000}"/>
    <cellStyle name="SAPBEXexcBad9 6 2 2" xfId="12784" xr:uid="{00000000-0005-0000-0000-0000C72F0000}"/>
    <cellStyle name="SAPBEXexcBad9 6 3" xfId="11058" xr:uid="{00000000-0005-0000-0000-0000C82F0000}"/>
    <cellStyle name="SAPBEXexcBad9 7" xfId="9009" xr:uid="{00000000-0005-0000-0000-0000C92F0000}"/>
    <cellStyle name="SAPBEXexcBad9 7 2" xfId="11028" xr:uid="{00000000-0005-0000-0000-0000CA2F0000}"/>
    <cellStyle name="SAPBEXexcBad9 8" xfId="10310" xr:uid="{00000000-0005-0000-0000-0000CB2F0000}"/>
    <cellStyle name="SAPBEXexcCritical4" xfId="1526" xr:uid="{00000000-0005-0000-0000-0000CC2F0000}"/>
    <cellStyle name="SAPBEXexcCritical4 2" xfId="7637" xr:uid="{00000000-0005-0000-0000-0000CD2F0000}"/>
    <cellStyle name="SAPBEXexcCritical4 2 2" xfId="6967" xr:uid="{00000000-0005-0000-0000-0000CE2F0000}"/>
    <cellStyle name="SAPBEXexcCritical4 2 2 2" xfId="9772" xr:uid="{00000000-0005-0000-0000-0000CF2F0000}"/>
    <cellStyle name="SAPBEXexcCritical4 2 2 2 2" xfId="13162" xr:uid="{00000000-0005-0000-0000-0000D02F0000}"/>
    <cellStyle name="SAPBEXexcCritical4 2 2 3" xfId="11745" xr:uid="{00000000-0005-0000-0000-0000D12F0000}"/>
    <cellStyle name="SAPBEXexcCritical4 2 3" xfId="8696" xr:uid="{00000000-0005-0000-0000-0000D22F0000}"/>
    <cellStyle name="SAPBEXexcCritical4 2 3 2" xfId="12370" xr:uid="{00000000-0005-0000-0000-0000D32F0000}"/>
    <cellStyle name="SAPBEXexcCritical4 2 4" xfId="10726" xr:uid="{00000000-0005-0000-0000-0000D42F0000}"/>
    <cellStyle name="SAPBEXexcCritical4 3" xfId="7311" xr:uid="{00000000-0005-0000-0000-0000D52F0000}"/>
    <cellStyle name="SAPBEXexcCritical4 3 2" xfId="6969" xr:uid="{00000000-0005-0000-0000-0000D62F0000}"/>
    <cellStyle name="SAPBEXexcCritical4 3 2 2" xfId="9280" xr:uid="{00000000-0005-0000-0000-0000D72F0000}"/>
    <cellStyle name="SAPBEXexcCritical4 3 2 2 2" xfId="12914" xr:uid="{00000000-0005-0000-0000-0000D82F0000}"/>
    <cellStyle name="SAPBEXexcCritical4 3 2 3" xfId="11253" xr:uid="{00000000-0005-0000-0000-0000D92F0000}"/>
    <cellStyle name="SAPBEXexcCritical4 3 3" xfId="8384" xr:uid="{00000000-0005-0000-0000-0000DA2F0000}"/>
    <cellStyle name="SAPBEXexcCritical4 3 3 2" xfId="12590" xr:uid="{00000000-0005-0000-0000-0000DB2F0000}"/>
    <cellStyle name="SAPBEXexcCritical4 3 4" xfId="10414" xr:uid="{00000000-0005-0000-0000-0000DC2F0000}"/>
    <cellStyle name="SAPBEXexcCritical4 4" xfId="7767" xr:uid="{00000000-0005-0000-0000-0000DD2F0000}"/>
    <cellStyle name="SAPBEXexcCritical4 4 2" xfId="7182" xr:uid="{00000000-0005-0000-0000-0000DE2F0000}"/>
    <cellStyle name="SAPBEXexcCritical4 4 2 2" xfId="9875" xr:uid="{00000000-0005-0000-0000-0000DF2F0000}"/>
    <cellStyle name="SAPBEXexcCritical4 4 2 2 2" xfId="13176" xr:uid="{00000000-0005-0000-0000-0000E02F0000}"/>
    <cellStyle name="SAPBEXexcCritical4 4 2 3" xfId="11848" xr:uid="{00000000-0005-0000-0000-0000E12F0000}"/>
    <cellStyle name="SAPBEXexcCritical4 4 3" xfId="8819" xr:uid="{00000000-0005-0000-0000-0000E22F0000}"/>
    <cellStyle name="SAPBEXexcCritical4 4 4" xfId="10849" xr:uid="{00000000-0005-0000-0000-0000E32F0000}"/>
    <cellStyle name="SAPBEXexcCritical4 5" xfId="7825" xr:uid="{00000000-0005-0000-0000-0000E42F0000}"/>
    <cellStyle name="SAPBEXexcCritical4 5 2" xfId="7974" xr:uid="{00000000-0005-0000-0000-0000E52F0000}"/>
    <cellStyle name="SAPBEXexcCritical4 5 2 2" xfId="9928" xr:uid="{00000000-0005-0000-0000-0000E62F0000}"/>
    <cellStyle name="SAPBEXexcCritical4 5 2 2 2" xfId="13201" xr:uid="{00000000-0005-0000-0000-0000E72F0000}"/>
    <cellStyle name="SAPBEXexcCritical4 5 2 3" xfId="11901" xr:uid="{00000000-0005-0000-0000-0000E82F0000}"/>
    <cellStyle name="SAPBEXexcCritical4 5 3" xfId="8085" xr:uid="{00000000-0005-0000-0000-0000E92F0000}"/>
    <cellStyle name="SAPBEXexcCritical4 5 3 2" xfId="10115" xr:uid="{00000000-0005-0000-0000-0000EA2F0000}"/>
    <cellStyle name="SAPBEXexcCritical4 5 3 2 2" xfId="13308" xr:uid="{00000000-0005-0000-0000-0000EB2F0000}"/>
    <cellStyle name="SAPBEXexcCritical4 5 3 3" xfId="12088" xr:uid="{00000000-0005-0000-0000-0000EC2F0000}"/>
    <cellStyle name="SAPBEXexcCritical4 5 4" xfId="8872" xr:uid="{00000000-0005-0000-0000-0000ED2F0000}"/>
    <cellStyle name="SAPBEXexcCritical4 5 5" xfId="10902" xr:uid="{00000000-0005-0000-0000-0000EE2F0000}"/>
    <cellStyle name="SAPBEXexcCritical4 6" xfId="8281" xr:uid="{00000000-0005-0000-0000-0000EF2F0000}"/>
    <cellStyle name="SAPBEXexcCritical4 6 2" xfId="9085" xr:uid="{00000000-0005-0000-0000-0000F02F0000}"/>
    <cellStyle name="SAPBEXexcCritical4 6 2 2" xfId="12785" xr:uid="{00000000-0005-0000-0000-0000F12F0000}"/>
    <cellStyle name="SAPBEXexcCritical4 6 3" xfId="11059" xr:uid="{00000000-0005-0000-0000-0000F22F0000}"/>
    <cellStyle name="SAPBEXexcCritical4 7" xfId="9008" xr:uid="{00000000-0005-0000-0000-0000F32F0000}"/>
    <cellStyle name="SAPBEXexcCritical4 7 2" xfId="11027" xr:uid="{00000000-0005-0000-0000-0000F42F0000}"/>
    <cellStyle name="SAPBEXexcCritical4 8" xfId="10311" xr:uid="{00000000-0005-0000-0000-0000F52F0000}"/>
    <cellStyle name="SAPBEXexcCritical5" xfId="1527" xr:uid="{00000000-0005-0000-0000-0000F62F0000}"/>
    <cellStyle name="SAPBEXexcCritical5 2" xfId="7330" xr:uid="{00000000-0005-0000-0000-0000F72F0000}"/>
    <cellStyle name="SAPBEXexcCritical5 2 2" xfId="7234" xr:uid="{00000000-0005-0000-0000-0000F82F0000}"/>
    <cellStyle name="SAPBEXexcCritical5 2 2 2" xfId="9541" xr:uid="{00000000-0005-0000-0000-0000F92F0000}"/>
    <cellStyle name="SAPBEXexcCritical5 2 2 2 2" xfId="13141" xr:uid="{00000000-0005-0000-0000-0000FA2F0000}"/>
    <cellStyle name="SAPBEXexcCritical5 2 2 3" xfId="11514" xr:uid="{00000000-0005-0000-0000-0000FB2F0000}"/>
    <cellStyle name="SAPBEXexcCritical5 2 3" xfId="8402" xr:uid="{00000000-0005-0000-0000-0000FC2F0000}"/>
    <cellStyle name="SAPBEXexcCritical5 2 3 2" xfId="12204" xr:uid="{00000000-0005-0000-0000-0000FD2F0000}"/>
    <cellStyle name="SAPBEXexcCritical5 2 4" xfId="10432" xr:uid="{00000000-0005-0000-0000-0000FE2F0000}"/>
    <cellStyle name="SAPBEXexcCritical5 3" xfId="7420" xr:uid="{00000000-0005-0000-0000-0000FF2F0000}"/>
    <cellStyle name="SAPBEXexcCritical5 3 2" xfId="7033" xr:uid="{00000000-0005-0000-0000-000000300000}"/>
    <cellStyle name="SAPBEXexcCritical5 3 2 2" xfId="9329" xr:uid="{00000000-0005-0000-0000-000001300000}"/>
    <cellStyle name="SAPBEXexcCritical5 3 2 2 2" xfId="12960" xr:uid="{00000000-0005-0000-0000-000002300000}"/>
    <cellStyle name="SAPBEXexcCritical5 3 2 3" xfId="11302" xr:uid="{00000000-0005-0000-0000-000003300000}"/>
    <cellStyle name="SAPBEXexcCritical5 3 3" xfId="8490" xr:uid="{00000000-0005-0000-0000-000004300000}"/>
    <cellStyle name="SAPBEXexcCritical5 3 3 2" xfId="12641" xr:uid="{00000000-0005-0000-0000-000005300000}"/>
    <cellStyle name="SAPBEXexcCritical5 3 4" xfId="10520" xr:uid="{00000000-0005-0000-0000-000006300000}"/>
    <cellStyle name="SAPBEXexcCritical5 4" xfId="7768" xr:uid="{00000000-0005-0000-0000-000007300000}"/>
    <cellStyle name="SAPBEXexcCritical5 4 2" xfId="6966" xr:uid="{00000000-0005-0000-0000-000008300000}"/>
    <cellStyle name="SAPBEXexcCritical5 4 2 2" xfId="9876" xr:uid="{00000000-0005-0000-0000-000009300000}"/>
    <cellStyle name="SAPBEXexcCritical5 4 2 2 2" xfId="13177" xr:uid="{00000000-0005-0000-0000-00000A300000}"/>
    <cellStyle name="SAPBEXexcCritical5 4 2 3" xfId="11849" xr:uid="{00000000-0005-0000-0000-00000B300000}"/>
    <cellStyle name="SAPBEXexcCritical5 4 3" xfId="8820" xr:uid="{00000000-0005-0000-0000-00000C300000}"/>
    <cellStyle name="SAPBEXexcCritical5 4 4" xfId="10850" xr:uid="{00000000-0005-0000-0000-00000D300000}"/>
    <cellStyle name="SAPBEXexcCritical5 5" xfId="7826" xr:uid="{00000000-0005-0000-0000-00000E300000}"/>
    <cellStyle name="SAPBEXexcCritical5 5 2" xfId="7975" xr:uid="{00000000-0005-0000-0000-00000F300000}"/>
    <cellStyle name="SAPBEXexcCritical5 5 2 2" xfId="9929" xr:uid="{00000000-0005-0000-0000-000010300000}"/>
    <cellStyle name="SAPBEXexcCritical5 5 2 2 2" xfId="13202" xr:uid="{00000000-0005-0000-0000-000011300000}"/>
    <cellStyle name="SAPBEXexcCritical5 5 2 3" xfId="11902" xr:uid="{00000000-0005-0000-0000-000012300000}"/>
    <cellStyle name="SAPBEXexcCritical5 5 3" xfId="8086" xr:uid="{00000000-0005-0000-0000-000013300000}"/>
    <cellStyle name="SAPBEXexcCritical5 5 3 2" xfId="10116" xr:uid="{00000000-0005-0000-0000-000014300000}"/>
    <cellStyle name="SAPBEXexcCritical5 5 3 2 2" xfId="13309" xr:uid="{00000000-0005-0000-0000-000015300000}"/>
    <cellStyle name="SAPBEXexcCritical5 5 3 3" xfId="12089" xr:uid="{00000000-0005-0000-0000-000016300000}"/>
    <cellStyle name="SAPBEXexcCritical5 5 4" xfId="8873" xr:uid="{00000000-0005-0000-0000-000017300000}"/>
    <cellStyle name="SAPBEXexcCritical5 5 5" xfId="10903" xr:uid="{00000000-0005-0000-0000-000018300000}"/>
    <cellStyle name="SAPBEXexcCritical5 6" xfId="8282" xr:uid="{00000000-0005-0000-0000-000019300000}"/>
    <cellStyle name="SAPBEXexcCritical5 6 2" xfId="9086" xr:uid="{00000000-0005-0000-0000-00001A300000}"/>
    <cellStyle name="SAPBEXexcCritical5 6 2 2" xfId="12786" xr:uid="{00000000-0005-0000-0000-00001B300000}"/>
    <cellStyle name="SAPBEXexcCritical5 6 3" xfId="11060" xr:uid="{00000000-0005-0000-0000-00001C300000}"/>
    <cellStyle name="SAPBEXexcCritical5 7" xfId="9007" xr:uid="{00000000-0005-0000-0000-00001D300000}"/>
    <cellStyle name="SAPBEXexcCritical5 7 2" xfId="11026" xr:uid="{00000000-0005-0000-0000-00001E300000}"/>
    <cellStyle name="SAPBEXexcCritical5 8" xfId="10312" xr:uid="{00000000-0005-0000-0000-00001F300000}"/>
    <cellStyle name="SAPBEXexcCritical6" xfId="1528" xr:uid="{00000000-0005-0000-0000-000020300000}"/>
    <cellStyle name="SAPBEXexcCritical6 2" xfId="7735" xr:uid="{00000000-0005-0000-0000-000021300000}"/>
    <cellStyle name="SAPBEXexcCritical6 2 2" xfId="7934" xr:uid="{00000000-0005-0000-0000-000022300000}"/>
    <cellStyle name="SAPBEXexcCritical6 2 2 2" xfId="9850" xr:uid="{00000000-0005-0000-0000-000023300000}"/>
    <cellStyle name="SAPBEXexcCritical6 2 2 2 2" xfId="13169" xr:uid="{00000000-0005-0000-0000-000024300000}"/>
    <cellStyle name="SAPBEXexcCritical6 2 2 3" xfId="11823" xr:uid="{00000000-0005-0000-0000-000025300000}"/>
    <cellStyle name="SAPBEXexcCritical6 2 3" xfId="8789" xr:uid="{00000000-0005-0000-0000-000026300000}"/>
    <cellStyle name="SAPBEXexcCritical6 2 3 2" xfId="12431" xr:uid="{00000000-0005-0000-0000-000027300000}"/>
    <cellStyle name="SAPBEXexcCritical6 2 4" xfId="10819" xr:uid="{00000000-0005-0000-0000-000028300000}"/>
    <cellStyle name="SAPBEXexcCritical6 3" xfId="7638" xr:uid="{00000000-0005-0000-0000-000029300000}"/>
    <cellStyle name="SAPBEXexcCritical6 3 2" xfId="6893" xr:uid="{00000000-0005-0000-0000-00002A300000}"/>
    <cellStyle name="SAPBEXexcCritical6 3 2 2" xfId="9225" xr:uid="{00000000-0005-0000-0000-00002B300000}"/>
    <cellStyle name="SAPBEXexcCritical6 3 2 2 2" xfId="12861" xr:uid="{00000000-0005-0000-0000-00002C300000}"/>
    <cellStyle name="SAPBEXexcCritical6 3 2 3" xfId="11198" xr:uid="{00000000-0005-0000-0000-00002D300000}"/>
    <cellStyle name="SAPBEXexcCritical6 3 3" xfId="8697" xr:uid="{00000000-0005-0000-0000-00002E300000}"/>
    <cellStyle name="SAPBEXexcCritical6 3 3 2" xfId="12716" xr:uid="{00000000-0005-0000-0000-00002F300000}"/>
    <cellStyle name="SAPBEXexcCritical6 3 4" xfId="10727" xr:uid="{00000000-0005-0000-0000-000030300000}"/>
    <cellStyle name="SAPBEXexcCritical6 4" xfId="7769" xr:uid="{00000000-0005-0000-0000-000031300000}"/>
    <cellStyle name="SAPBEXexcCritical6 4 2" xfId="7227" xr:uid="{00000000-0005-0000-0000-000032300000}"/>
    <cellStyle name="SAPBEXexcCritical6 4 2 2" xfId="9877" xr:uid="{00000000-0005-0000-0000-000033300000}"/>
    <cellStyle name="SAPBEXexcCritical6 4 2 2 2" xfId="13178" xr:uid="{00000000-0005-0000-0000-000034300000}"/>
    <cellStyle name="SAPBEXexcCritical6 4 2 3" xfId="11850" xr:uid="{00000000-0005-0000-0000-000035300000}"/>
    <cellStyle name="SAPBEXexcCritical6 4 3" xfId="8821" xr:uid="{00000000-0005-0000-0000-000036300000}"/>
    <cellStyle name="SAPBEXexcCritical6 4 4" xfId="10851" xr:uid="{00000000-0005-0000-0000-000037300000}"/>
    <cellStyle name="SAPBEXexcCritical6 5" xfId="7827" xr:uid="{00000000-0005-0000-0000-000038300000}"/>
    <cellStyle name="SAPBEXexcCritical6 5 2" xfId="7976" xr:uid="{00000000-0005-0000-0000-000039300000}"/>
    <cellStyle name="SAPBEXexcCritical6 5 2 2" xfId="9930" xr:uid="{00000000-0005-0000-0000-00003A300000}"/>
    <cellStyle name="SAPBEXexcCritical6 5 2 2 2" xfId="13203" xr:uid="{00000000-0005-0000-0000-00003B300000}"/>
    <cellStyle name="SAPBEXexcCritical6 5 2 3" xfId="11903" xr:uid="{00000000-0005-0000-0000-00003C300000}"/>
    <cellStyle name="SAPBEXexcCritical6 5 3" xfId="8087" xr:uid="{00000000-0005-0000-0000-00003D300000}"/>
    <cellStyle name="SAPBEXexcCritical6 5 3 2" xfId="10117" xr:uid="{00000000-0005-0000-0000-00003E300000}"/>
    <cellStyle name="SAPBEXexcCritical6 5 3 2 2" xfId="13310" xr:uid="{00000000-0005-0000-0000-00003F300000}"/>
    <cellStyle name="SAPBEXexcCritical6 5 3 3" xfId="12090" xr:uid="{00000000-0005-0000-0000-000040300000}"/>
    <cellStyle name="SAPBEXexcCritical6 5 4" xfId="8874" xr:uid="{00000000-0005-0000-0000-000041300000}"/>
    <cellStyle name="SAPBEXexcCritical6 5 5" xfId="10904" xr:uid="{00000000-0005-0000-0000-000042300000}"/>
    <cellStyle name="SAPBEXexcCritical6 6" xfId="8283" xr:uid="{00000000-0005-0000-0000-000043300000}"/>
    <cellStyle name="SAPBEXexcCritical6 6 2" xfId="9087" xr:uid="{00000000-0005-0000-0000-000044300000}"/>
    <cellStyle name="SAPBEXexcCritical6 6 2 2" xfId="12787" xr:uid="{00000000-0005-0000-0000-000045300000}"/>
    <cellStyle name="SAPBEXexcCritical6 6 3" xfId="11061" xr:uid="{00000000-0005-0000-0000-000046300000}"/>
    <cellStyle name="SAPBEXexcCritical6 7" xfId="9006" xr:uid="{00000000-0005-0000-0000-000047300000}"/>
    <cellStyle name="SAPBEXexcCritical6 7 2" xfId="11025" xr:uid="{00000000-0005-0000-0000-000048300000}"/>
    <cellStyle name="SAPBEXexcCritical6 8" xfId="10313" xr:uid="{00000000-0005-0000-0000-000049300000}"/>
    <cellStyle name="SAPBEXexcGood1" xfId="1529" xr:uid="{00000000-0005-0000-0000-00004A300000}"/>
    <cellStyle name="SAPBEXexcGood1 2" xfId="7690" xr:uid="{00000000-0005-0000-0000-00004B300000}"/>
    <cellStyle name="SAPBEXexcGood1 2 2" xfId="7102" xr:uid="{00000000-0005-0000-0000-00004C300000}"/>
    <cellStyle name="SAPBEXexcGood1 2 2 2" xfId="9813" xr:uid="{00000000-0005-0000-0000-00004D300000}"/>
    <cellStyle name="SAPBEXexcGood1 2 2 2 2" xfId="13166" xr:uid="{00000000-0005-0000-0000-00004E300000}"/>
    <cellStyle name="SAPBEXexcGood1 2 2 3" xfId="11786" xr:uid="{00000000-0005-0000-0000-00004F300000}"/>
    <cellStyle name="SAPBEXexcGood1 2 3" xfId="8745" xr:uid="{00000000-0005-0000-0000-000050300000}"/>
    <cellStyle name="SAPBEXexcGood1 2 3 2" xfId="12399" xr:uid="{00000000-0005-0000-0000-000051300000}"/>
    <cellStyle name="SAPBEXexcGood1 2 4" xfId="10775" xr:uid="{00000000-0005-0000-0000-000052300000}"/>
    <cellStyle name="SAPBEXexcGood1 3" xfId="7738" xr:uid="{00000000-0005-0000-0000-000053300000}"/>
    <cellStyle name="SAPBEXexcGood1 3 2" xfId="6848" xr:uid="{00000000-0005-0000-0000-000054300000}"/>
    <cellStyle name="SAPBEXexcGood1 3 2 2" xfId="9187" xr:uid="{00000000-0005-0000-0000-000055300000}"/>
    <cellStyle name="SAPBEXexcGood1 3 2 2 2" xfId="12827" xr:uid="{00000000-0005-0000-0000-000056300000}"/>
    <cellStyle name="SAPBEXexcGood1 3 2 3" xfId="11160" xr:uid="{00000000-0005-0000-0000-000057300000}"/>
    <cellStyle name="SAPBEXexcGood1 3 3" xfId="8792" xr:uid="{00000000-0005-0000-0000-000058300000}"/>
    <cellStyle name="SAPBEXexcGood1 3 3 2" xfId="12750" xr:uid="{00000000-0005-0000-0000-000059300000}"/>
    <cellStyle name="SAPBEXexcGood1 3 4" xfId="10822" xr:uid="{00000000-0005-0000-0000-00005A300000}"/>
    <cellStyle name="SAPBEXexcGood1 4" xfId="7770" xr:uid="{00000000-0005-0000-0000-00005B300000}"/>
    <cellStyle name="SAPBEXexcGood1 4 2" xfId="7087" xr:uid="{00000000-0005-0000-0000-00005C300000}"/>
    <cellStyle name="SAPBEXexcGood1 4 2 2" xfId="9878" xr:uid="{00000000-0005-0000-0000-00005D300000}"/>
    <cellStyle name="SAPBEXexcGood1 4 2 2 2" xfId="13179" xr:uid="{00000000-0005-0000-0000-00005E300000}"/>
    <cellStyle name="SAPBEXexcGood1 4 2 3" xfId="11851" xr:uid="{00000000-0005-0000-0000-00005F300000}"/>
    <cellStyle name="SAPBEXexcGood1 4 3" xfId="8822" xr:uid="{00000000-0005-0000-0000-000060300000}"/>
    <cellStyle name="SAPBEXexcGood1 4 4" xfId="10852" xr:uid="{00000000-0005-0000-0000-000061300000}"/>
    <cellStyle name="SAPBEXexcGood1 5" xfId="7828" xr:uid="{00000000-0005-0000-0000-000062300000}"/>
    <cellStyle name="SAPBEXexcGood1 5 2" xfId="7977" xr:uid="{00000000-0005-0000-0000-000063300000}"/>
    <cellStyle name="SAPBEXexcGood1 5 2 2" xfId="9931" xr:uid="{00000000-0005-0000-0000-000064300000}"/>
    <cellStyle name="SAPBEXexcGood1 5 2 2 2" xfId="13204" xr:uid="{00000000-0005-0000-0000-000065300000}"/>
    <cellStyle name="SAPBEXexcGood1 5 2 3" xfId="11904" xr:uid="{00000000-0005-0000-0000-000066300000}"/>
    <cellStyle name="SAPBEXexcGood1 5 3" xfId="8088" xr:uid="{00000000-0005-0000-0000-000067300000}"/>
    <cellStyle name="SAPBEXexcGood1 5 3 2" xfId="10118" xr:uid="{00000000-0005-0000-0000-000068300000}"/>
    <cellStyle name="SAPBEXexcGood1 5 3 2 2" xfId="13311" xr:uid="{00000000-0005-0000-0000-000069300000}"/>
    <cellStyle name="SAPBEXexcGood1 5 3 3" xfId="12091" xr:uid="{00000000-0005-0000-0000-00006A300000}"/>
    <cellStyle name="SAPBEXexcGood1 5 4" xfId="8875" xr:uid="{00000000-0005-0000-0000-00006B300000}"/>
    <cellStyle name="SAPBEXexcGood1 5 5" xfId="10905" xr:uid="{00000000-0005-0000-0000-00006C300000}"/>
    <cellStyle name="SAPBEXexcGood1 6" xfId="8284" xr:uid="{00000000-0005-0000-0000-00006D300000}"/>
    <cellStyle name="SAPBEXexcGood1 6 2" xfId="9088" xr:uid="{00000000-0005-0000-0000-00006E300000}"/>
    <cellStyle name="SAPBEXexcGood1 6 2 2" xfId="12788" xr:uid="{00000000-0005-0000-0000-00006F300000}"/>
    <cellStyle name="SAPBEXexcGood1 6 3" xfId="11062" xr:uid="{00000000-0005-0000-0000-000070300000}"/>
    <cellStyle name="SAPBEXexcGood1 7" xfId="9005" xr:uid="{00000000-0005-0000-0000-000071300000}"/>
    <cellStyle name="SAPBEXexcGood1 7 2" xfId="11024" xr:uid="{00000000-0005-0000-0000-000072300000}"/>
    <cellStyle name="SAPBEXexcGood1 8" xfId="10314" xr:uid="{00000000-0005-0000-0000-000073300000}"/>
    <cellStyle name="SAPBEXexcGood2" xfId="1530" xr:uid="{00000000-0005-0000-0000-000074300000}"/>
    <cellStyle name="SAPBEXexcGood2 2" xfId="7393" xr:uid="{00000000-0005-0000-0000-000075300000}"/>
    <cellStyle name="SAPBEXexcGood2 2 2" xfId="7073" xr:uid="{00000000-0005-0000-0000-000076300000}"/>
    <cellStyle name="SAPBEXexcGood2 2 2 2" xfId="9588" xr:uid="{00000000-0005-0000-0000-000077300000}"/>
    <cellStyle name="SAPBEXexcGood2 2 2 2 2" xfId="13145" xr:uid="{00000000-0005-0000-0000-000078300000}"/>
    <cellStyle name="SAPBEXexcGood2 2 2 3" xfId="11561" xr:uid="{00000000-0005-0000-0000-000079300000}"/>
    <cellStyle name="SAPBEXexcGood2 2 3" xfId="8463" xr:uid="{00000000-0005-0000-0000-00007A300000}"/>
    <cellStyle name="SAPBEXexcGood2 2 3 2" xfId="12233" xr:uid="{00000000-0005-0000-0000-00007B300000}"/>
    <cellStyle name="SAPBEXexcGood2 2 4" xfId="10493" xr:uid="{00000000-0005-0000-0000-00007C300000}"/>
    <cellStyle name="SAPBEXexcGood2 3" xfId="7559" xr:uid="{00000000-0005-0000-0000-00007D300000}"/>
    <cellStyle name="SAPBEXexcGood2 3 2" xfId="6987" xr:uid="{00000000-0005-0000-0000-00007E300000}"/>
    <cellStyle name="SAPBEXexcGood2 3 2 2" xfId="9294" xr:uid="{00000000-0005-0000-0000-00007F300000}"/>
    <cellStyle name="SAPBEXexcGood2 3 2 2 2" xfId="12927" xr:uid="{00000000-0005-0000-0000-000080300000}"/>
    <cellStyle name="SAPBEXexcGood2 3 2 3" xfId="11267" xr:uid="{00000000-0005-0000-0000-000081300000}"/>
    <cellStyle name="SAPBEXexcGood2 3 3" xfId="8624" xr:uid="{00000000-0005-0000-0000-000082300000}"/>
    <cellStyle name="SAPBEXexcGood2 3 3 2" xfId="12684" xr:uid="{00000000-0005-0000-0000-000083300000}"/>
    <cellStyle name="SAPBEXexcGood2 3 4" xfId="10654" xr:uid="{00000000-0005-0000-0000-000084300000}"/>
    <cellStyle name="SAPBEXexcGood2 4" xfId="7771" xr:uid="{00000000-0005-0000-0000-000085300000}"/>
    <cellStyle name="SAPBEXexcGood2 4 2" xfId="7245" xr:uid="{00000000-0005-0000-0000-000086300000}"/>
    <cellStyle name="SAPBEXexcGood2 4 2 2" xfId="9879" xr:uid="{00000000-0005-0000-0000-000087300000}"/>
    <cellStyle name="SAPBEXexcGood2 4 2 2 2" xfId="13180" xr:uid="{00000000-0005-0000-0000-000088300000}"/>
    <cellStyle name="SAPBEXexcGood2 4 2 3" xfId="11852" xr:uid="{00000000-0005-0000-0000-000089300000}"/>
    <cellStyle name="SAPBEXexcGood2 4 3" xfId="8823" xr:uid="{00000000-0005-0000-0000-00008A300000}"/>
    <cellStyle name="SAPBEXexcGood2 4 4" xfId="10853" xr:uid="{00000000-0005-0000-0000-00008B300000}"/>
    <cellStyle name="SAPBEXexcGood2 5" xfId="7829" xr:uid="{00000000-0005-0000-0000-00008C300000}"/>
    <cellStyle name="SAPBEXexcGood2 5 2" xfId="7978" xr:uid="{00000000-0005-0000-0000-00008D300000}"/>
    <cellStyle name="SAPBEXexcGood2 5 2 2" xfId="9932" xr:uid="{00000000-0005-0000-0000-00008E300000}"/>
    <cellStyle name="SAPBEXexcGood2 5 2 2 2" xfId="13205" xr:uid="{00000000-0005-0000-0000-00008F300000}"/>
    <cellStyle name="SAPBEXexcGood2 5 2 3" xfId="11905" xr:uid="{00000000-0005-0000-0000-000090300000}"/>
    <cellStyle name="SAPBEXexcGood2 5 3" xfId="8089" xr:uid="{00000000-0005-0000-0000-000091300000}"/>
    <cellStyle name="SAPBEXexcGood2 5 3 2" xfId="10119" xr:uid="{00000000-0005-0000-0000-000092300000}"/>
    <cellStyle name="SAPBEXexcGood2 5 3 2 2" xfId="13312" xr:uid="{00000000-0005-0000-0000-000093300000}"/>
    <cellStyle name="SAPBEXexcGood2 5 3 3" xfId="12092" xr:uid="{00000000-0005-0000-0000-000094300000}"/>
    <cellStyle name="SAPBEXexcGood2 5 4" xfId="8876" xr:uid="{00000000-0005-0000-0000-000095300000}"/>
    <cellStyle name="SAPBEXexcGood2 5 5" xfId="10906" xr:uid="{00000000-0005-0000-0000-000096300000}"/>
    <cellStyle name="SAPBEXexcGood2 6" xfId="8285" xr:uid="{00000000-0005-0000-0000-000097300000}"/>
    <cellStyle name="SAPBEXexcGood2 6 2" xfId="9089" xr:uid="{00000000-0005-0000-0000-000098300000}"/>
    <cellStyle name="SAPBEXexcGood2 6 2 2" xfId="12789" xr:uid="{00000000-0005-0000-0000-000099300000}"/>
    <cellStyle name="SAPBEXexcGood2 6 3" xfId="11063" xr:uid="{00000000-0005-0000-0000-00009A300000}"/>
    <cellStyle name="SAPBEXexcGood2 7" xfId="9004" xr:uid="{00000000-0005-0000-0000-00009B300000}"/>
    <cellStyle name="SAPBEXexcGood2 7 2" xfId="11023" xr:uid="{00000000-0005-0000-0000-00009C300000}"/>
    <cellStyle name="SAPBEXexcGood2 8" xfId="10315" xr:uid="{00000000-0005-0000-0000-00009D300000}"/>
    <cellStyle name="SAPBEXexcGood3" xfId="1531" xr:uid="{00000000-0005-0000-0000-00009E300000}"/>
    <cellStyle name="SAPBEXexcGood3 2" xfId="7335" xr:uid="{00000000-0005-0000-0000-00009F300000}"/>
    <cellStyle name="SAPBEXexcGood3 2 2" xfId="7039" xr:uid="{00000000-0005-0000-0000-0000A0300000}"/>
    <cellStyle name="SAPBEXexcGood3 2 2 2" xfId="9544" xr:uid="{00000000-0005-0000-0000-0000A1300000}"/>
    <cellStyle name="SAPBEXexcGood3 2 2 2 2" xfId="13142" xr:uid="{00000000-0005-0000-0000-0000A2300000}"/>
    <cellStyle name="SAPBEXexcGood3 2 2 3" xfId="11517" xr:uid="{00000000-0005-0000-0000-0000A3300000}"/>
    <cellStyle name="SAPBEXexcGood3 2 3" xfId="8407" xr:uid="{00000000-0005-0000-0000-0000A4300000}"/>
    <cellStyle name="SAPBEXexcGood3 2 3 2" xfId="12207" xr:uid="{00000000-0005-0000-0000-0000A5300000}"/>
    <cellStyle name="SAPBEXexcGood3 2 4" xfId="10437" xr:uid="{00000000-0005-0000-0000-0000A6300000}"/>
    <cellStyle name="SAPBEXexcGood3 3" xfId="7404" xr:uid="{00000000-0005-0000-0000-0000A7300000}"/>
    <cellStyle name="SAPBEXexcGood3 3 2" xfId="6974" xr:uid="{00000000-0005-0000-0000-0000A8300000}"/>
    <cellStyle name="SAPBEXexcGood3 3 2 2" xfId="9284" xr:uid="{00000000-0005-0000-0000-0000A9300000}"/>
    <cellStyle name="SAPBEXexcGood3 3 2 2 2" xfId="12917" xr:uid="{00000000-0005-0000-0000-0000AA300000}"/>
    <cellStyle name="SAPBEXexcGood3 3 2 3" xfId="11257" xr:uid="{00000000-0005-0000-0000-0000AB300000}"/>
    <cellStyle name="SAPBEXexcGood3 3 3" xfId="8474" xr:uid="{00000000-0005-0000-0000-0000AC300000}"/>
    <cellStyle name="SAPBEXexcGood3 3 3 2" xfId="12633" xr:uid="{00000000-0005-0000-0000-0000AD300000}"/>
    <cellStyle name="SAPBEXexcGood3 3 4" xfId="10504" xr:uid="{00000000-0005-0000-0000-0000AE300000}"/>
    <cellStyle name="SAPBEXexcGood3 4" xfId="7772" xr:uid="{00000000-0005-0000-0000-0000AF300000}"/>
    <cellStyle name="SAPBEXexcGood3 4 2" xfId="7193" xr:uid="{00000000-0005-0000-0000-0000B0300000}"/>
    <cellStyle name="SAPBEXexcGood3 4 2 2" xfId="9880" xr:uid="{00000000-0005-0000-0000-0000B1300000}"/>
    <cellStyle name="SAPBEXexcGood3 4 2 2 2" xfId="13181" xr:uid="{00000000-0005-0000-0000-0000B2300000}"/>
    <cellStyle name="SAPBEXexcGood3 4 2 3" xfId="11853" xr:uid="{00000000-0005-0000-0000-0000B3300000}"/>
    <cellStyle name="SAPBEXexcGood3 4 3" xfId="8824" xr:uid="{00000000-0005-0000-0000-0000B4300000}"/>
    <cellStyle name="SAPBEXexcGood3 4 4" xfId="10854" xr:uid="{00000000-0005-0000-0000-0000B5300000}"/>
    <cellStyle name="SAPBEXexcGood3 5" xfId="7830" xr:uid="{00000000-0005-0000-0000-0000B6300000}"/>
    <cellStyle name="SAPBEXexcGood3 5 2" xfId="7979" xr:uid="{00000000-0005-0000-0000-0000B7300000}"/>
    <cellStyle name="SAPBEXexcGood3 5 2 2" xfId="9933" xr:uid="{00000000-0005-0000-0000-0000B8300000}"/>
    <cellStyle name="SAPBEXexcGood3 5 2 2 2" xfId="13206" xr:uid="{00000000-0005-0000-0000-0000B9300000}"/>
    <cellStyle name="SAPBEXexcGood3 5 2 3" xfId="11906" xr:uid="{00000000-0005-0000-0000-0000BA300000}"/>
    <cellStyle name="SAPBEXexcGood3 5 3" xfId="8090" xr:uid="{00000000-0005-0000-0000-0000BB300000}"/>
    <cellStyle name="SAPBEXexcGood3 5 3 2" xfId="10120" xr:uid="{00000000-0005-0000-0000-0000BC300000}"/>
    <cellStyle name="SAPBEXexcGood3 5 3 2 2" xfId="13313" xr:uid="{00000000-0005-0000-0000-0000BD300000}"/>
    <cellStyle name="SAPBEXexcGood3 5 3 3" xfId="12093" xr:uid="{00000000-0005-0000-0000-0000BE300000}"/>
    <cellStyle name="SAPBEXexcGood3 5 4" xfId="8877" xr:uid="{00000000-0005-0000-0000-0000BF300000}"/>
    <cellStyle name="SAPBEXexcGood3 5 5" xfId="10907" xr:uid="{00000000-0005-0000-0000-0000C0300000}"/>
    <cellStyle name="SAPBEXexcGood3 6" xfId="8286" xr:uid="{00000000-0005-0000-0000-0000C1300000}"/>
    <cellStyle name="SAPBEXexcGood3 6 2" xfId="9090" xr:uid="{00000000-0005-0000-0000-0000C2300000}"/>
    <cellStyle name="SAPBEXexcGood3 6 2 2" xfId="12790" xr:uid="{00000000-0005-0000-0000-0000C3300000}"/>
    <cellStyle name="SAPBEXexcGood3 6 3" xfId="11064" xr:uid="{00000000-0005-0000-0000-0000C4300000}"/>
    <cellStyle name="SAPBEXexcGood3 7" xfId="9003" xr:uid="{00000000-0005-0000-0000-0000C5300000}"/>
    <cellStyle name="SAPBEXexcGood3 7 2" xfId="11022" xr:uid="{00000000-0005-0000-0000-0000C6300000}"/>
    <cellStyle name="SAPBEXexcGood3 8" xfId="10316" xr:uid="{00000000-0005-0000-0000-0000C7300000}"/>
    <cellStyle name="SAPBEXfilterDrill" xfId="1532" xr:uid="{00000000-0005-0000-0000-0000C8300000}"/>
    <cellStyle name="SAPBEXfilterItem" xfId="1533" xr:uid="{00000000-0005-0000-0000-0000C9300000}"/>
    <cellStyle name="SAPBEXfilterText" xfId="1534" xr:uid="{00000000-0005-0000-0000-0000CA300000}"/>
    <cellStyle name="SAPBEXformats" xfId="1535" xr:uid="{00000000-0005-0000-0000-0000CB300000}"/>
    <cellStyle name="SAPBEXformats 2" xfId="7399" xr:uid="{00000000-0005-0000-0000-0000CC300000}"/>
    <cellStyle name="SAPBEXformats 2 2" xfId="7236" xr:uid="{00000000-0005-0000-0000-0000CD300000}"/>
    <cellStyle name="SAPBEXformats 2 2 2" xfId="9593" xr:uid="{00000000-0005-0000-0000-0000CE300000}"/>
    <cellStyle name="SAPBEXformats 2 2 2 2" xfId="13147" xr:uid="{00000000-0005-0000-0000-0000CF300000}"/>
    <cellStyle name="SAPBEXformats 2 2 3" xfId="11566" xr:uid="{00000000-0005-0000-0000-0000D0300000}"/>
    <cellStyle name="SAPBEXformats 2 3" xfId="8469" xr:uid="{00000000-0005-0000-0000-0000D1300000}"/>
    <cellStyle name="SAPBEXformats 2 3 2" xfId="12238" xr:uid="{00000000-0005-0000-0000-0000D2300000}"/>
    <cellStyle name="SAPBEXformats 2 4" xfId="10499" xr:uid="{00000000-0005-0000-0000-0000D3300000}"/>
    <cellStyle name="SAPBEXformats 3" xfId="7729" xr:uid="{00000000-0005-0000-0000-0000D4300000}"/>
    <cellStyle name="SAPBEXformats 3 2" xfId="7950" xr:uid="{00000000-0005-0000-0000-0000D5300000}"/>
    <cellStyle name="SAPBEXformats 3 2 2" xfId="10012" xr:uid="{00000000-0005-0000-0000-0000D6300000}"/>
    <cellStyle name="SAPBEXformats 3 2 2 2" xfId="13226" xr:uid="{00000000-0005-0000-0000-0000D7300000}"/>
    <cellStyle name="SAPBEXformats 3 2 3" xfId="11985" xr:uid="{00000000-0005-0000-0000-0000D8300000}"/>
    <cellStyle name="SAPBEXformats 3 3" xfId="8783" xr:uid="{00000000-0005-0000-0000-0000D9300000}"/>
    <cellStyle name="SAPBEXformats 3 3 2" xfId="12747" xr:uid="{00000000-0005-0000-0000-0000DA300000}"/>
    <cellStyle name="SAPBEXformats 3 4" xfId="10813" xr:uid="{00000000-0005-0000-0000-0000DB300000}"/>
    <cellStyle name="SAPBEXformats 4" xfId="7773" xr:uid="{00000000-0005-0000-0000-0000DC300000}"/>
    <cellStyle name="SAPBEXformats 4 2" xfId="7116" xr:uid="{00000000-0005-0000-0000-0000DD300000}"/>
    <cellStyle name="SAPBEXformats 4 2 2" xfId="9881" xr:uid="{00000000-0005-0000-0000-0000DE300000}"/>
    <cellStyle name="SAPBEXformats 4 2 2 2" xfId="13182" xr:uid="{00000000-0005-0000-0000-0000DF300000}"/>
    <cellStyle name="SAPBEXformats 4 2 3" xfId="11854" xr:uid="{00000000-0005-0000-0000-0000E0300000}"/>
    <cellStyle name="SAPBEXformats 4 3" xfId="8825" xr:uid="{00000000-0005-0000-0000-0000E1300000}"/>
    <cellStyle name="SAPBEXformats 4 4" xfId="10855" xr:uid="{00000000-0005-0000-0000-0000E2300000}"/>
    <cellStyle name="SAPBEXformats 5" xfId="7831" xr:uid="{00000000-0005-0000-0000-0000E3300000}"/>
    <cellStyle name="SAPBEXformats 5 2" xfId="7980" xr:uid="{00000000-0005-0000-0000-0000E4300000}"/>
    <cellStyle name="SAPBEXformats 5 2 2" xfId="9934" xr:uid="{00000000-0005-0000-0000-0000E5300000}"/>
    <cellStyle name="SAPBEXformats 5 2 2 2" xfId="13207" xr:uid="{00000000-0005-0000-0000-0000E6300000}"/>
    <cellStyle name="SAPBEXformats 5 2 3" xfId="11907" xr:uid="{00000000-0005-0000-0000-0000E7300000}"/>
    <cellStyle name="SAPBEXformats 5 3" xfId="8091" xr:uid="{00000000-0005-0000-0000-0000E8300000}"/>
    <cellStyle name="SAPBEXformats 5 3 2" xfId="10121" xr:uid="{00000000-0005-0000-0000-0000E9300000}"/>
    <cellStyle name="SAPBEXformats 5 3 2 2" xfId="13314" xr:uid="{00000000-0005-0000-0000-0000EA300000}"/>
    <cellStyle name="SAPBEXformats 5 3 3" xfId="12094" xr:uid="{00000000-0005-0000-0000-0000EB300000}"/>
    <cellStyle name="SAPBEXformats 5 4" xfId="8878" xr:uid="{00000000-0005-0000-0000-0000EC300000}"/>
    <cellStyle name="SAPBEXformats 5 5" xfId="10908" xr:uid="{00000000-0005-0000-0000-0000ED300000}"/>
    <cellStyle name="SAPBEXformats 6" xfId="8287" xr:uid="{00000000-0005-0000-0000-0000EE300000}"/>
    <cellStyle name="SAPBEXformats 6 2" xfId="9091" xr:uid="{00000000-0005-0000-0000-0000EF300000}"/>
    <cellStyle name="SAPBEXformats 6 2 2" xfId="12791" xr:uid="{00000000-0005-0000-0000-0000F0300000}"/>
    <cellStyle name="SAPBEXformats 6 3" xfId="11065" xr:uid="{00000000-0005-0000-0000-0000F1300000}"/>
    <cellStyle name="SAPBEXformats 7" xfId="9002" xr:uid="{00000000-0005-0000-0000-0000F2300000}"/>
    <cellStyle name="SAPBEXformats 7 2" xfId="11021" xr:uid="{00000000-0005-0000-0000-0000F3300000}"/>
    <cellStyle name="SAPBEXformats 8" xfId="10317" xr:uid="{00000000-0005-0000-0000-0000F4300000}"/>
    <cellStyle name="SAPBEXheaderItem" xfId="1536" xr:uid="{00000000-0005-0000-0000-0000F5300000}"/>
    <cellStyle name="SAPBEXheaderText" xfId="1537" xr:uid="{00000000-0005-0000-0000-0000F6300000}"/>
    <cellStyle name="SAPBEXresData" xfId="1538" xr:uid="{00000000-0005-0000-0000-0000F7300000}"/>
    <cellStyle name="SAPBEXresData 2" xfId="7514" xr:uid="{00000000-0005-0000-0000-0000F8300000}"/>
    <cellStyle name="SAPBEXresData 2 2" xfId="7265" xr:uid="{00000000-0005-0000-0000-0000F9300000}"/>
    <cellStyle name="SAPBEXresData 2 2 2" xfId="9679" xr:uid="{00000000-0005-0000-0000-0000FA300000}"/>
    <cellStyle name="SAPBEXresData 2 2 2 2" xfId="13156" xr:uid="{00000000-0005-0000-0000-0000FB300000}"/>
    <cellStyle name="SAPBEXresData 2 2 3" xfId="11652" xr:uid="{00000000-0005-0000-0000-0000FC300000}"/>
    <cellStyle name="SAPBEXresData 2 3" xfId="8580" xr:uid="{00000000-0005-0000-0000-0000FD300000}"/>
    <cellStyle name="SAPBEXresData 2 3 2" xfId="12301" xr:uid="{00000000-0005-0000-0000-0000FE300000}"/>
    <cellStyle name="SAPBEXresData 2 4" xfId="10610" xr:uid="{00000000-0005-0000-0000-0000FF300000}"/>
    <cellStyle name="SAPBEXresData 3" xfId="7556" xr:uid="{00000000-0005-0000-0000-000000310000}"/>
    <cellStyle name="SAPBEXresData 3 2" xfId="6978" xr:uid="{00000000-0005-0000-0000-000001310000}"/>
    <cellStyle name="SAPBEXresData 3 2 2" xfId="9288" xr:uid="{00000000-0005-0000-0000-000002310000}"/>
    <cellStyle name="SAPBEXresData 3 2 2 2" xfId="12921" xr:uid="{00000000-0005-0000-0000-000003310000}"/>
    <cellStyle name="SAPBEXresData 3 2 3" xfId="11261" xr:uid="{00000000-0005-0000-0000-000004310000}"/>
    <cellStyle name="SAPBEXresData 3 3" xfId="8621" xr:uid="{00000000-0005-0000-0000-000005310000}"/>
    <cellStyle name="SAPBEXresData 3 3 2" xfId="12683" xr:uid="{00000000-0005-0000-0000-000006310000}"/>
    <cellStyle name="SAPBEXresData 3 4" xfId="10651" xr:uid="{00000000-0005-0000-0000-000007310000}"/>
    <cellStyle name="SAPBEXresData 4" xfId="7774" xr:uid="{00000000-0005-0000-0000-000008310000}"/>
    <cellStyle name="SAPBEXresData 4 2" xfId="7262" xr:uid="{00000000-0005-0000-0000-000009310000}"/>
    <cellStyle name="SAPBEXresData 4 2 2" xfId="9882" xr:uid="{00000000-0005-0000-0000-00000A310000}"/>
    <cellStyle name="SAPBEXresData 4 2 2 2" xfId="13183" xr:uid="{00000000-0005-0000-0000-00000B310000}"/>
    <cellStyle name="SAPBEXresData 4 2 3" xfId="11855" xr:uid="{00000000-0005-0000-0000-00000C310000}"/>
    <cellStyle name="SAPBEXresData 4 3" xfId="8826" xr:uid="{00000000-0005-0000-0000-00000D310000}"/>
    <cellStyle name="SAPBEXresData 4 4" xfId="10856" xr:uid="{00000000-0005-0000-0000-00000E310000}"/>
    <cellStyle name="SAPBEXresData 5" xfId="7833" xr:uid="{00000000-0005-0000-0000-00000F310000}"/>
    <cellStyle name="SAPBEXresData 5 2" xfId="7982" xr:uid="{00000000-0005-0000-0000-000010310000}"/>
    <cellStyle name="SAPBEXresData 5 2 2" xfId="9935" xr:uid="{00000000-0005-0000-0000-000011310000}"/>
    <cellStyle name="SAPBEXresData 5 2 2 2" xfId="13208" xr:uid="{00000000-0005-0000-0000-000012310000}"/>
    <cellStyle name="SAPBEXresData 5 2 3" xfId="11908" xr:uid="{00000000-0005-0000-0000-000013310000}"/>
    <cellStyle name="SAPBEXresData 5 3" xfId="8092" xr:uid="{00000000-0005-0000-0000-000014310000}"/>
    <cellStyle name="SAPBEXresData 5 3 2" xfId="10122" xr:uid="{00000000-0005-0000-0000-000015310000}"/>
    <cellStyle name="SAPBEXresData 5 3 2 2" xfId="13315" xr:uid="{00000000-0005-0000-0000-000016310000}"/>
    <cellStyle name="SAPBEXresData 5 3 3" xfId="12095" xr:uid="{00000000-0005-0000-0000-000017310000}"/>
    <cellStyle name="SAPBEXresData 5 4" xfId="8880" xr:uid="{00000000-0005-0000-0000-000018310000}"/>
    <cellStyle name="SAPBEXresData 5 5" xfId="10910" xr:uid="{00000000-0005-0000-0000-000019310000}"/>
    <cellStyle name="SAPBEXresData 6" xfId="8288" xr:uid="{00000000-0005-0000-0000-00001A310000}"/>
    <cellStyle name="SAPBEXresData 6 2" xfId="9092" xr:uid="{00000000-0005-0000-0000-00001B310000}"/>
    <cellStyle name="SAPBEXresData 6 2 2" xfId="12792" xr:uid="{00000000-0005-0000-0000-00001C310000}"/>
    <cellStyle name="SAPBEXresData 6 3" xfId="11066" xr:uid="{00000000-0005-0000-0000-00001D310000}"/>
    <cellStyle name="SAPBEXresData 7" xfId="9001" xr:uid="{00000000-0005-0000-0000-00001E310000}"/>
    <cellStyle name="SAPBEXresData 7 2" xfId="11020" xr:uid="{00000000-0005-0000-0000-00001F310000}"/>
    <cellStyle name="SAPBEXresData 8" xfId="10318" xr:uid="{00000000-0005-0000-0000-000020310000}"/>
    <cellStyle name="SAPBEXresDataEmph" xfId="1539" xr:uid="{00000000-0005-0000-0000-000021310000}"/>
    <cellStyle name="SAPBEXresDataEmph 2" xfId="7325" xr:uid="{00000000-0005-0000-0000-000022310000}"/>
    <cellStyle name="SAPBEXresDataEmph 2 2" xfId="7274" xr:uid="{00000000-0005-0000-0000-000023310000}"/>
    <cellStyle name="SAPBEXresDataEmph 2 2 2" xfId="9538" xr:uid="{00000000-0005-0000-0000-000024310000}"/>
    <cellStyle name="SAPBEXresDataEmph 2 2 2 2" xfId="13139" xr:uid="{00000000-0005-0000-0000-000025310000}"/>
    <cellStyle name="SAPBEXresDataEmph 2 2 3" xfId="11511" xr:uid="{00000000-0005-0000-0000-000026310000}"/>
    <cellStyle name="SAPBEXresDataEmph 2 3" xfId="8398" xr:uid="{00000000-0005-0000-0000-000027310000}"/>
    <cellStyle name="SAPBEXresDataEmph 2 3 2" xfId="12202" xr:uid="{00000000-0005-0000-0000-000028310000}"/>
    <cellStyle name="SAPBEXresDataEmph 2 4" xfId="10428" xr:uid="{00000000-0005-0000-0000-000029310000}"/>
    <cellStyle name="SAPBEXresDataEmph 3" xfId="7584" xr:uid="{00000000-0005-0000-0000-00002A310000}"/>
    <cellStyle name="SAPBEXresDataEmph 3 2" xfId="6844" xr:uid="{00000000-0005-0000-0000-00002B310000}"/>
    <cellStyle name="SAPBEXresDataEmph 3 2 2" xfId="9183" xr:uid="{00000000-0005-0000-0000-00002C310000}"/>
    <cellStyle name="SAPBEXresDataEmph 3 2 2 2" xfId="12823" xr:uid="{00000000-0005-0000-0000-00002D310000}"/>
    <cellStyle name="SAPBEXresDataEmph 3 2 3" xfId="11156" xr:uid="{00000000-0005-0000-0000-00002E310000}"/>
    <cellStyle name="SAPBEXresDataEmph 3 3" xfId="8647" xr:uid="{00000000-0005-0000-0000-00002F310000}"/>
    <cellStyle name="SAPBEXresDataEmph 3 3 2" xfId="12697" xr:uid="{00000000-0005-0000-0000-000030310000}"/>
    <cellStyle name="SAPBEXresDataEmph 3 4" xfId="10677" xr:uid="{00000000-0005-0000-0000-000031310000}"/>
    <cellStyle name="SAPBEXresDataEmph 4" xfId="7775" xr:uid="{00000000-0005-0000-0000-000032310000}"/>
    <cellStyle name="SAPBEXresDataEmph 4 2" xfId="6921" xr:uid="{00000000-0005-0000-0000-000033310000}"/>
    <cellStyle name="SAPBEXresDataEmph 4 2 2" xfId="9883" xr:uid="{00000000-0005-0000-0000-000034310000}"/>
    <cellStyle name="SAPBEXresDataEmph 4 2 2 2" xfId="13184" xr:uid="{00000000-0005-0000-0000-000035310000}"/>
    <cellStyle name="SAPBEXresDataEmph 4 2 3" xfId="11856" xr:uid="{00000000-0005-0000-0000-000036310000}"/>
    <cellStyle name="SAPBEXresDataEmph 4 3" xfId="8827" xr:uid="{00000000-0005-0000-0000-000037310000}"/>
    <cellStyle name="SAPBEXresDataEmph 4 4" xfId="10857" xr:uid="{00000000-0005-0000-0000-000038310000}"/>
    <cellStyle name="SAPBEXresDataEmph 5" xfId="7834" xr:uid="{00000000-0005-0000-0000-000039310000}"/>
    <cellStyle name="SAPBEXresDataEmph 5 2" xfId="7983" xr:uid="{00000000-0005-0000-0000-00003A310000}"/>
    <cellStyle name="SAPBEXresDataEmph 5 2 2" xfId="9936" xr:uid="{00000000-0005-0000-0000-00003B310000}"/>
    <cellStyle name="SAPBEXresDataEmph 5 2 2 2" xfId="13209" xr:uid="{00000000-0005-0000-0000-00003C310000}"/>
    <cellStyle name="SAPBEXresDataEmph 5 2 3" xfId="11909" xr:uid="{00000000-0005-0000-0000-00003D310000}"/>
    <cellStyle name="SAPBEXresDataEmph 5 3" xfId="8093" xr:uid="{00000000-0005-0000-0000-00003E310000}"/>
    <cellStyle name="SAPBEXresDataEmph 5 3 2" xfId="10123" xr:uid="{00000000-0005-0000-0000-00003F310000}"/>
    <cellStyle name="SAPBEXresDataEmph 5 3 2 2" xfId="13316" xr:uid="{00000000-0005-0000-0000-000040310000}"/>
    <cellStyle name="SAPBEXresDataEmph 5 3 3" xfId="12096" xr:uid="{00000000-0005-0000-0000-000041310000}"/>
    <cellStyle name="SAPBEXresDataEmph 5 4" xfId="8881" xr:uid="{00000000-0005-0000-0000-000042310000}"/>
    <cellStyle name="SAPBEXresDataEmph 5 5" xfId="10911" xr:uid="{00000000-0005-0000-0000-000043310000}"/>
    <cellStyle name="SAPBEXresDataEmph 6" xfId="8289" xr:uid="{00000000-0005-0000-0000-000044310000}"/>
    <cellStyle name="SAPBEXresDataEmph 6 2" xfId="9093" xr:uid="{00000000-0005-0000-0000-000045310000}"/>
    <cellStyle name="SAPBEXresDataEmph 6 2 2" xfId="12793" xr:uid="{00000000-0005-0000-0000-000046310000}"/>
    <cellStyle name="SAPBEXresDataEmph 6 3" xfId="11067" xr:uid="{00000000-0005-0000-0000-000047310000}"/>
    <cellStyle name="SAPBEXresDataEmph 7" xfId="9000" xr:uid="{00000000-0005-0000-0000-000048310000}"/>
    <cellStyle name="SAPBEXresDataEmph 7 2" xfId="11019" xr:uid="{00000000-0005-0000-0000-000049310000}"/>
    <cellStyle name="SAPBEXresDataEmph 8" xfId="10319" xr:uid="{00000000-0005-0000-0000-00004A310000}"/>
    <cellStyle name="SAPBEXresItem" xfId="1540" xr:uid="{00000000-0005-0000-0000-00004B310000}"/>
    <cellStyle name="SAPBEXresItem 2" xfId="7563" xr:uid="{00000000-0005-0000-0000-00004C310000}"/>
    <cellStyle name="SAPBEXresItem 2 2" xfId="7185" xr:uid="{00000000-0005-0000-0000-00004D310000}"/>
    <cellStyle name="SAPBEXresItem 2 2 2" xfId="9719" xr:uid="{00000000-0005-0000-0000-00004E310000}"/>
    <cellStyle name="SAPBEXresItem 2 2 2 2" xfId="13159" xr:uid="{00000000-0005-0000-0000-00004F310000}"/>
    <cellStyle name="SAPBEXresItem 2 2 3" xfId="11692" xr:uid="{00000000-0005-0000-0000-000050310000}"/>
    <cellStyle name="SAPBEXresItem 2 3" xfId="8627" xr:uid="{00000000-0005-0000-0000-000051310000}"/>
    <cellStyle name="SAPBEXresItem 2 3 2" xfId="12333" xr:uid="{00000000-0005-0000-0000-000052310000}"/>
    <cellStyle name="SAPBEXresItem 2 4" xfId="10657" xr:uid="{00000000-0005-0000-0000-000053310000}"/>
    <cellStyle name="SAPBEXresItem 3" xfId="7400" xr:uid="{00000000-0005-0000-0000-000054310000}"/>
    <cellStyle name="SAPBEXresItem 3 2" xfId="7080" xr:uid="{00000000-0005-0000-0000-000055310000}"/>
    <cellStyle name="SAPBEXresItem 3 2 2" xfId="9367" xr:uid="{00000000-0005-0000-0000-000056310000}"/>
    <cellStyle name="SAPBEXresItem 3 2 2 2" xfId="12998" xr:uid="{00000000-0005-0000-0000-000057310000}"/>
    <cellStyle name="SAPBEXresItem 3 2 3" xfId="11340" xr:uid="{00000000-0005-0000-0000-000058310000}"/>
    <cellStyle name="SAPBEXresItem 3 3" xfId="8470" xr:uid="{00000000-0005-0000-0000-000059310000}"/>
    <cellStyle name="SAPBEXresItem 3 3 2" xfId="12631" xr:uid="{00000000-0005-0000-0000-00005A310000}"/>
    <cellStyle name="SAPBEXresItem 3 4" xfId="10500" xr:uid="{00000000-0005-0000-0000-00005B310000}"/>
    <cellStyle name="SAPBEXresItem 4" xfId="7776" xr:uid="{00000000-0005-0000-0000-00005C310000}"/>
    <cellStyle name="SAPBEXresItem 4 2" xfId="6968" xr:uid="{00000000-0005-0000-0000-00005D310000}"/>
    <cellStyle name="SAPBEXresItem 4 2 2" xfId="9884" xr:uid="{00000000-0005-0000-0000-00005E310000}"/>
    <cellStyle name="SAPBEXresItem 4 2 2 2" xfId="13185" xr:uid="{00000000-0005-0000-0000-00005F310000}"/>
    <cellStyle name="SAPBEXresItem 4 2 3" xfId="11857" xr:uid="{00000000-0005-0000-0000-000060310000}"/>
    <cellStyle name="SAPBEXresItem 4 3" xfId="8828" xr:uid="{00000000-0005-0000-0000-000061310000}"/>
    <cellStyle name="SAPBEXresItem 4 4" xfId="10858" xr:uid="{00000000-0005-0000-0000-000062310000}"/>
    <cellStyle name="SAPBEXresItem 5" xfId="7835" xr:uid="{00000000-0005-0000-0000-000063310000}"/>
    <cellStyle name="SAPBEXresItem 5 2" xfId="7984" xr:uid="{00000000-0005-0000-0000-000064310000}"/>
    <cellStyle name="SAPBEXresItem 5 2 2" xfId="9937" xr:uid="{00000000-0005-0000-0000-000065310000}"/>
    <cellStyle name="SAPBEXresItem 5 2 2 2" xfId="13210" xr:uid="{00000000-0005-0000-0000-000066310000}"/>
    <cellStyle name="SAPBEXresItem 5 2 3" xfId="11910" xr:uid="{00000000-0005-0000-0000-000067310000}"/>
    <cellStyle name="SAPBEXresItem 5 3" xfId="8094" xr:uid="{00000000-0005-0000-0000-000068310000}"/>
    <cellStyle name="SAPBEXresItem 5 3 2" xfId="10124" xr:uid="{00000000-0005-0000-0000-000069310000}"/>
    <cellStyle name="SAPBEXresItem 5 3 2 2" xfId="13317" xr:uid="{00000000-0005-0000-0000-00006A310000}"/>
    <cellStyle name="SAPBEXresItem 5 3 3" xfId="12097" xr:uid="{00000000-0005-0000-0000-00006B310000}"/>
    <cellStyle name="SAPBEXresItem 5 4" xfId="8882" xr:uid="{00000000-0005-0000-0000-00006C310000}"/>
    <cellStyle name="SAPBEXresItem 5 5" xfId="10912" xr:uid="{00000000-0005-0000-0000-00006D310000}"/>
    <cellStyle name="SAPBEXresItem 6" xfId="8290" xr:uid="{00000000-0005-0000-0000-00006E310000}"/>
    <cellStyle name="SAPBEXresItem 6 2" xfId="9094" xr:uid="{00000000-0005-0000-0000-00006F310000}"/>
    <cellStyle name="SAPBEXresItem 6 2 2" xfId="12794" xr:uid="{00000000-0005-0000-0000-000070310000}"/>
    <cellStyle name="SAPBEXresItem 6 3" xfId="11068" xr:uid="{00000000-0005-0000-0000-000071310000}"/>
    <cellStyle name="SAPBEXresItem 7" xfId="8999" xr:uid="{00000000-0005-0000-0000-000072310000}"/>
    <cellStyle name="SAPBEXresItem 7 2" xfId="11018" xr:uid="{00000000-0005-0000-0000-000073310000}"/>
    <cellStyle name="SAPBEXresItem 8" xfId="10320" xr:uid="{00000000-0005-0000-0000-000074310000}"/>
    <cellStyle name="SAPBEXstdData" xfId="1541" xr:uid="{00000000-0005-0000-0000-000075310000}"/>
    <cellStyle name="SAPBEXstdData 2" xfId="7536" xr:uid="{00000000-0005-0000-0000-000076310000}"/>
    <cellStyle name="SAPBEXstdData 2 2" xfId="6970" xr:uid="{00000000-0005-0000-0000-000077310000}"/>
    <cellStyle name="SAPBEXstdData 2 2 2" xfId="9697" xr:uid="{00000000-0005-0000-0000-000078310000}"/>
    <cellStyle name="SAPBEXstdData 2 2 2 2" xfId="13157" xr:uid="{00000000-0005-0000-0000-000079310000}"/>
    <cellStyle name="SAPBEXstdData 2 2 3" xfId="11670" xr:uid="{00000000-0005-0000-0000-00007A310000}"/>
    <cellStyle name="SAPBEXstdData 2 3" xfId="8602" xr:uid="{00000000-0005-0000-0000-00007B310000}"/>
    <cellStyle name="SAPBEXstdData 2 3 2" xfId="12314" xr:uid="{00000000-0005-0000-0000-00007C310000}"/>
    <cellStyle name="SAPBEXstdData 2 4" xfId="10632" xr:uid="{00000000-0005-0000-0000-00007D310000}"/>
    <cellStyle name="SAPBEXstdData 3" xfId="7379" xr:uid="{00000000-0005-0000-0000-00007E310000}"/>
    <cellStyle name="SAPBEXstdData 3 2" xfId="7007" xr:uid="{00000000-0005-0000-0000-00007F310000}"/>
    <cellStyle name="SAPBEXstdData 3 2 2" xfId="9308" xr:uid="{00000000-0005-0000-0000-000080310000}"/>
    <cellStyle name="SAPBEXstdData 3 2 2 2" xfId="12941" xr:uid="{00000000-0005-0000-0000-000081310000}"/>
    <cellStyle name="SAPBEXstdData 3 2 3" xfId="11281" xr:uid="{00000000-0005-0000-0000-000082310000}"/>
    <cellStyle name="SAPBEXstdData 3 3" xfId="8449" xr:uid="{00000000-0005-0000-0000-000083310000}"/>
    <cellStyle name="SAPBEXstdData 3 3 2" xfId="12623" xr:uid="{00000000-0005-0000-0000-000084310000}"/>
    <cellStyle name="SAPBEXstdData 3 4" xfId="10479" xr:uid="{00000000-0005-0000-0000-000085310000}"/>
    <cellStyle name="SAPBEXstdData 4" xfId="7777" xr:uid="{00000000-0005-0000-0000-000086310000}"/>
    <cellStyle name="SAPBEXstdData 4 2" xfId="7244" xr:uid="{00000000-0005-0000-0000-000087310000}"/>
    <cellStyle name="SAPBEXstdData 4 2 2" xfId="9885" xr:uid="{00000000-0005-0000-0000-000088310000}"/>
    <cellStyle name="SAPBEXstdData 4 2 2 2" xfId="13186" xr:uid="{00000000-0005-0000-0000-000089310000}"/>
    <cellStyle name="SAPBEXstdData 4 2 3" xfId="11858" xr:uid="{00000000-0005-0000-0000-00008A310000}"/>
    <cellStyle name="SAPBEXstdData 4 3" xfId="8829" xr:uid="{00000000-0005-0000-0000-00008B310000}"/>
    <cellStyle name="SAPBEXstdData 4 4" xfId="10859" xr:uid="{00000000-0005-0000-0000-00008C310000}"/>
    <cellStyle name="SAPBEXstdData 5" xfId="7836" xr:uid="{00000000-0005-0000-0000-00008D310000}"/>
    <cellStyle name="SAPBEXstdData 5 2" xfId="7985" xr:uid="{00000000-0005-0000-0000-00008E310000}"/>
    <cellStyle name="SAPBEXstdData 5 2 2" xfId="9938" xr:uid="{00000000-0005-0000-0000-00008F310000}"/>
    <cellStyle name="SAPBEXstdData 5 2 2 2" xfId="13211" xr:uid="{00000000-0005-0000-0000-000090310000}"/>
    <cellStyle name="SAPBEXstdData 5 2 3" xfId="11911" xr:uid="{00000000-0005-0000-0000-000091310000}"/>
    <cellStyle name="SAPBEXstdData 5 3" xfId="8095" xr:uid="{00000000-0005-0000-0000-000092310000}"/>
    <cellStyle name="SAPBEXstdData 5 3 2" xfId="10125" xr:uid="{00000000-0005-0000-0000-000093310000}"/>
    <cellStyle name="SAPBEXstdData 5 3 2 2" xfId="13318" xr:uid="{00000000-0005-0000-0000-000094310000}"/>
    <cellStyle name="SAPBEXstdData 5 3 3" xfId="12098" xr:uid="{00000000-0005-0000-0000-000095310000}"/>
    <cellStyle name="SAPBEXstdData 5 4" xfId="8883" xr:uid="{00000000-0005-0000-0000-000096310000}"/>
    <cellStyle name="SAPBEXstdData 5 5" xfId="10913" xr:uid="{00000000-0005-0000-0000-000097310000}"/>
    <cellStyle name="SAPBEXstdData 6" xfId="8291" xr:uid="{00000000-0005-0000-0000-000098310000}"/>
    <cellStyle name="SAPBEXstdData 6 2" xfId="9095" xr:uid="{00000000-0005-0000-0000-000099310000}"/>
    <cellStyle name="SAPBEXstdData 6 2 2" xfId="12795" xr:uid="{00000000-0005-0000-0000-00009A310000}"/>
    <cellStyle name="SAPBEXstdData 6 3" xfId="11069" xr:uid="{00000000-0005-0000-0000-00009B310000}"/>
    <cellStyle name="SAPBEXstdData 7" xfId="8998" xr:uid="{00000000-0005-0000-0000-00009C310000}"/>
    <cellStyle name="SAPBEXstdData 7 2" xfId="11017" xr:uid="{00000000-0005-0000-0000-00009D310000}"/>
    <cellStyle name="SAPBEXstdData 8" xfId="10321" xr:uid="{00000000-0005-0000-0000-00009E310000}"/>
    <cellStyle name="SAPBEXstdDataEmph" xfId="1542" xr:uid="{00000000-0005-0000-0000-00009F310000}"/>
    <cellStyle name="SAPBEXstdDataEmph 2" xfId="7433" xr:uid="{00000000-0005-0000-0000-0000A0310000}"/>
    <cellStyle name="SAPBEXstdDataEmph 2 2" xfId="7220" xr:uid="{00000000-0005-0000-0000-0000A1310000}"/>
    <cellStyle name="SAPBEXstdDataEmph 2 2 2" xfId="9616" xr:uid="{00000000-0005-0000-0000-0000A2310000}"/>
    <cellStyle name="SAPBEXstdDataEmph 2 2 2 2" xfId="13149" xr:uid="{00000000-0005-0000-0000-0000A3310000}"/>
    <cellStyle name="SAPBEXstdDataEmph 2 2 3" xfId="11589" xr:uid="{00000000-0005-0000-0000-0000A4310000}"/>
    <cellStyle name="SAPBEXstdDataEmph 2 3" xfId="8503" xr:uid="{00000000-0005-0000-0000-0000A5310000}"/>
    <cellStyle name="SAPBEXstdDataEmph 2 3 2" xfId="12253" xr:uid="{00000000-0005-0000-0000-0000A6310000}"/>
    <cellStyle name="SAPBEXstdDataEmph 2 4" xfId="10533" xr:uid="{00000000-0005-0000-0000-0000A7310000}"/>
    <cellStyle name="SAPBEXstdDataEmph 3" xfId="7657" xr:uid="{00000000-0005-0000-0000-0000A8310000}"/>
    <cellStyle name="SAPBEXstdDataEmph 3 2" xfId="6860" xr:uid="{00000000-0005-0000-0000-0000A9310000}"/>
    <cellStyle name="SAPBEXstdDataEmph 3 2 2" xfId="9198" xr:uid="{00000000-0005-0000-0000-0000AA310000}"/>
    <cellStyle name="SAPBEXstdDataEmph 3 2 2 2" xfId="12838" xr:uid="{00000000-0005-0000-0000-0000AB310000}"/>
    <cellStyle name="SAPBEXstdDataEmph 3 2 3" xfId="11171" xr:uid="{00000000-0005-0000-0000-0000AC310000}"/>
    <cellStyle name="SAPBEXstdDataEmph 3 3" xfId="8714" xr:uid="{00000000-0005-0000-0000-0000AD310000}"/>
    <cellStyle name="SAPBEXstdDataEmph 3 3 2" xfId="12724" xr:uid="{00000000-0005-0000-0000-0000AE310000}"/>
    <cellStyle name="SAPBEXstdDataEmph 3 4" xfId="10744" xr:uid="{00000000-0005-0000-0000-0000AF310000}"/>
    <cellStyle name="SAPBEXstdDataEmph 4" xfId="7778" xr:uid="{00000000-0005-0000-0000-0000B0310000}"/>
    <cellStyle name="SAPBEXstdDataEmph 4 2" xfId="7119" xr:uid="{00000000-0005-0000-0000-0000B1310000}"/>
    <cellStyle name="SAPBEXstdDataEmph 4 2 2" xfId="9886" xr:uid="{00000000-0005-0000-0000-0000B2310000}"/>
    <cellStyle name="SAPBEXstdDataEmph 4 2 2 2" xfId="13187" xr:uid="{00000000-0005-0000-0000-0000B3310000}"/>
    <cellStyle name="SAPBEXstdDataEmph 4 2 3" xfId="11859" xr:uid="{00000000-0005-0000-0000-0000B4310000}"/>
    <cellStyle name="SAPBEXstdDataEmph 4 3" xfId="8830" xr:uid="{00000000-0005-0000-0000-0000B5310000}"/>
    <cellStyle name="SAPBEXstdDataEmph 4 4" xfId="10860" xr:uid="{00000000-0005-0000-0000-0000B6310000}"/>
    <cellStyle name="SAPBEXstdDataEmph 5" xfId="7837" xr:uid="{00000000-0005-0000-0000-0000B7310000}"/>
    <cellStyle name="SAPBEXstdDataEmph 5 2" xfId="7986" xr:uid="{00000000-0005-0000-0000-0000B8310000}"/>
    <cellStyle name="SAPBEXstdDataEmph 5 2 2" xfId="9939" xr:uid="{00000000-0005-0000-0000-0000B9310000}"/>
    <cellStyle name="SAPBEXstdDataEmph 5 2 2 2" xfId="13212" xr:uid="{00000000-0005-0000-0000-0000BA310000}"/>
    <cellStyle name="SAPBEXstdDataEmph 5 2 3" xfId="11912" xr:uid="{00000000-0005-0000-0000-0000BB310000}"/>
    <cellStyle name="SAPBEXstdDataEmph 5 3" xfId="8096" xr:uid="{00000000-0005-0000-0000-0000BC310000}"/>
    <cellStyle name="SAPBEXstdDataEmph 5 3 2" xfId="10126" xr:uid="{00000000-0005-0000-0000-0000BD310000}"/>
    <cellStyle name="SAPBEXstdDataEmph 5 3 2 2" xfId="13319" xr:uid="{00000000-0005-0000-0000-0000BE310000}"/>
    <cellStyle name="SAPBEXstdDataEmph 5 3 3" xfId="12099" xr:uid="{00000000-0005-0000-0000-0000BF310000}"/>
    <cellStyle name="SAPBEXstdDataEmph 5 4" xfId="8884" xr:uid="{00000000-0005-0000-0000-0000C0310000}"/>
    <cellStyle name="SAPBEXstdDataEmph 5 5" xfId="10914" xr:uid="{00000000-0005-0000-0000-0000C1310000}"/>
    <cellStyle name="SAPBEXstdDataEmph 6" xfId="8292" xr:uid="{00000000-0005-0000-0000-0000C2310000}"/>
    <cellStyle name="SAPBEXstdDataEmph 6 2" xfId="9096" xr:uid="{00000000-0005-0000-0000-0000C3310000}"/>
    <cellStyle name="SAPBEXstdDataEmph 6 2 2" xfId="12796" xr:uid="{00000000-0005-0000-0000-0000C4310000}"/>
    <cellStyle name="SAPBEXstdDataEmph 6 3" xfId="11070" xr:uid="{00000000-0005-0000-0000-0000C5310000}"/>
    <cellStyle name="SAPBEXstdDataEmph 7" xfId="8997" xr:uid="{00000000-0005-0000-0000-0000C6310000}"/>
    <cellStyle name="SAPBEXstdDataEmph 7 2" xfId="11016" xr:uid="{00000000-0005-0000-0000-0000C7310000}"/>
    <cellStyle name="SAPBEXstdDataEmph 8" xfId="10322" xr:uid="{00000000-0005-0000-0000-0000C8310000}"/>
    <cellStyle name="SAPBEXstdItem" xfId="1543" xr:uid="{00000000-0005-0000-0000-0000C9310000}"/>
    <cellStyle name="SAPBEXstdItem 2" xfId="7358" xr:uid="{00000000-0005-0000-0000-0000CA310000}"/>
    <cellStyle name="SAPBEXstdItem 2 2" xfId="7063" xr:uid="{00000000-0005-0000-0000-0000CB310000}"/>
    <cellStyle name="SAPBEXstdItem 2 2 2" xfId="9559" xr:uid="{00000000-0005-0000-0000-0000CC310000}"/>
    <cellStyle name="SAPBEXstdItem 2 2 2 2" xfId="13144" xr:uid="{00000000-0005-0000-0000-0000CD310000}"/>
    <cellStyle name="SAPBEXstdItem 2 2 3" xfId="11532" xr:uid="{00000000-0005-0000-0000-0000CE310000}"/>
    <cellStyle name="SAPBEXstdItem 2 3" xfId="8429" xr:uid="{00000000-0005-0000-0000-0000CF310000}"/>
    <cellStyle name="SAPBEXstdItem 2 3 2" xfId="12217" xr:uid="{00000000-0005-0000-0000-0000D0310000}"/>
    <cellStyle name="SAPBEXstdItem 2 4" xfId="10459" xr:uid="{00000000-0005-0000-0000-0000D1310000}"/>
    <cellStyle name="SAPBEXstdItem 3" xfId="7534" xr:uid="{00000000-0005-0000-0000-0000D2310000}"/>
    <cellStyle name="SAPBEXstdItem 3 2" xfId="7202" xr:uid="{00000000-0005-0000-0000-0000D3310000}"/>
    <cellStyle name="SAPBEXstdItem 3 2 2" xfId="9448" xr:uid="{00000000-0005-0000-0000-0000D4310000}"/>
    <cellStyle name="SAPBEXstdItem 3 2 2 2" xfId="13075" xr:uid="{00000000-0005-0000-0000-0000D5310000}"/>
    <cellStyle name="SAPBEXstdItem 3 2 3" xfId="11421" xr:uid="{00000000-0005-0000-0000-0000D6310000}"/>
    <cellStyle name="SAPBEXstdItem 3 3" xfId="8600" xr:uid="{00000000-0005-0000-0000-0000D7310000}"/>
    <cellStyle name="SAPBEXstdItem 3 3 2" xfId="12680" xr:uid="{00000000-0005-0000-0000-0000D8310000}"/>
    <cellStyle name="SAPBEXstdItem 3 4" xfId="10630" xr:uid="{00000000-0005-0000-0000-0000D9310000}"/>
    <cellStyle name="SAPBEXstdItem 4" xfId="7779" xr:uid="{00000000-0005-0000-0000-0000DA310000}"/>
    <cellStyle name="SAPBEXstdItem 4 2" xfId="7058" xr:uid="{00000000-0005-0000-0000-0000DB310000}"/>
    <cellStyle name="SAPBEXstdItem 4 2 2" xfId="9887" xr:uid="{00000000-0005-0000-0000-0000DC310000}"/>
    <cellStyle name="SAPBEXstdItem 4 2 2 2" xfId="13188" xr:uid="{00000000-0005-0000-0000-0000DD310000}"/>
    <cellStyle name="SAPBEXstdItem 4 2 3" xfId="11860" xr:uid="{00000000-0005-0000-0000-0000DE310000}"/>
    <cellStyle name="SAPBEXstdItem 4 3" xfId="8831" xr:uid="{00000000-0005-0000-0000-0000DF310000}"/>
    <cellStyle name="SAPBEXstdItem 4 4" xfId="10861" xr:uid="{00000000-0005-0000-0000-0000E0310000}"/>
    <cellStyle name="SAPBEXstdItem 5" xfId="7838" xr:uid="{00000000-0005-0000-0000-0000E1310000}"/>
    <cellStyle name="SAPBEXstdItem 5 2" xfId="7987" xr:uid="{00000000-0005-0000-0000-0000E2310000}"/>
    <cellStyle name="SAPBEXstdItem 5 2 2" xfId="9940" xr:uid="{00000000-0005-0000-0000-0000E3310000}"/>
    <cellStyle name="SAPBEXstdItem 5 2 2 2" xfId="13213" xr:uid="{00000000-0005-0000-0000-0000E4310000}"/>
    <cellStyle name="SAPBEXstdItem 5 2 3" xfId="11913" xr:uid="{00000000-0005-0000-0000-0000E5310000}"/>
    <cellStyle name="SAPBEXstdItem 5 3" xfId="8097" xr:uid="{00000000-0005-0000-0000-0000E6310000}"/>
    <cellStyle name="SAPBEXstdItem 5 3 2" xfId="10127" xr:uid="{00000000-0005-0000-0000-0000E7310000}"/>
    <cellStyle name="SAPBEXstdItem 5 3 2 2" xfId="13320" xr:uid="{00000000-0005-0000-0000-0000E8310000}"/>
    <cellStyle name="SAPBEXstdItem 5 3 3" xfId="12100" xr:uid="{00000000-0005-0000-0000-0000E9310000}"/>
    <cellStyle name="SAPBEXstdItem 5 4" xfId="8885" xr:uid="{00000000-0005-0000-0000-0000EA310000}"/>
    <cellStyle name="SAPBEXstdItem 5 5" xfId="10915" xr:uid="{00000000-0005-0000-0000-0000EB310000}"/>
    <cellStyle name="SAPBEXstdItem 6" xfId="8293" xr:uid="{00000000-0005-0000-0000-0000EC310000}"/>
    <cellStyle name="SAPBEXstdItem 6 2" xfId="9097" xr:uid="{00000000-0005-0000-0000-0000ED310000}"/>
    <cellStyle name="SAPBEXstdItem 6 2 2" xfId="12797" xr:uid="{00000000-0005-0000-0000-0000EE310000}"/>
    <cellStyle name="SAPBEXstdItem 6 3" xfId="11071" xr:uid="{00000000-0005-0000-0000-0000EF310000}"/>
    <cellStyle name="SAPBEXstdItem 7" xfId="8996" xr:uid="{00000000-0005-0000-0000-0000F0310000}"/>
    <cellStyle name="SAPBEXstdItem 7 2" xfId="11015" xr:uid="{00000000-0005-0000-0000-0000F1310000}"/>
    <cellStyle name="SAPBEXstdItem 8" xfId="10323" xr:uid="{00000000-0005-0000-0000-0000F2310000}"/>
    <cellStyle name="SAPBEXtitle" xfId="1544" xr:uid="{00000000-0005-0000-0000-0000F3310000}"/>
    <cellStyle name="SAPBEXtitle 2" xfId="7665" xr:uid="{00000000-0005-0000-0000-0000F4310000}"/>
    <cellStyle name="SAPBEXtitle 2 2" xfId="6979" xr:uid="{00000000-0005-0000-0000-0000F5310000}"/>
    <cellStyle name="SAPBEXtitle 2 2 2" xfId="9792" xr:uid="{00000000-0005-0000-0000-0000F6310000}"/>
    <cellStyle name="SAPBEXtitle 2 2 2 2" xfId="13163" xr:uid="{00000000-0005-0000-0000-0000F7310000}"/>
    <cellStyle name="SAPBEXtitle 2 2 3" xfId="11765" xr:uid="{00000000-0005-0000-0000-0000F8310000}"/>
    <cellStyle name="SAPBEXtitle 2 3" xfId="8721" xr:uid="{00000000-0005-0000-0000-0000F9310000}"/>
    <cellStyle name="SAPBEXtitle 2 3 2" xfId="12384" xr:uid="{00000000-0005-0000-0000-0000FA310000}"/>
    <cellStyle name="SAPBEXtitle 2 4" xfId="10751" xr:uid="{00000000-0005-0000-0000-0000FB310000}"/>
    <cellStyle name="SAPBEXtitle 3" xfId="7431" xr:uid="{00000000-0005-0000-0000-0000FC310000}"/>
    <cellStyle name="SAPBEXtitle 3 2" xfId="7237" xr:uid="{00000000-0005-0000-0000-0000FD310000}"/>
    <cellStyle name="SAPBEXtitle 3 2 2" xfId="9474" xr:uid="{00000000-0005-0000-0000-0000FE310000}"/>
    <cellStyle name="SAPBEXtitle 3 2 2 2" xfId="13100" xr:uid="{00000000-0005-0000-0000-0000FF310000}"/>
    <cellStyle name="SAPBEXtitle 3 2 3" xfId="11447" xr:uid="{00000000-0005-0000-0000-000000320000}"/>
    <cellStyle name="SAPBEXtitle 3 3" xfId="8501" xr:uid="{00000000-0005-0000-0000-000001320000}"/>
    <cellStyle name="SAPBEXtitle 3 3 2" xfId="12647" xr:uid="{00000000-0005-0000-0000-000002320000}"/>
    <cellStyle name="SAPBEXtitle 3 4" xfId="10531" xr:uid="{00000000-0005-0000-0000-000003320000}"/>
    <cellStyle name="SAPBEXtitle 4" xfId="7780" xr:uid="{00000000-0005-0000-0000-000004320000}"/>
    <cellStyle name="SAPBEXtitle 4 2" xfId="7099" xr:uid="{00000000-0005-0000-0000-000005320000}"/>
    <cellStyle name="SAPBEXtitle 4 2 2" xfId="9888" xr:uid="{00000000-0005-0000-0000-000006320000}"/>
    <cellStyle name="SAPBEXtitle 4 2 2 2" xfId="13189" xr:uid="{00000000-0005-0000-0000-000007320000}"/>
    <cellStyle name="SAPBEXtitle 4 2 3" xfId="11861" xr:uid="{00000000-0005-0000-0000-000008320000}"/>
    <cellStyle name="SAPBEXtitle 4 3" xfId="8832" xr:uid="{00000000-0005-0000-0000-000009320000}"/>
    <cellStyle name="SAPBEXtitle 4 4" xfId="10862" xr:uid="{00000000-0005-0000-0000-00000A320000}"/>
    <cellStyle name="SAPBEXtitle 5" xfId="7839" xr:uid="{00000000-0005-0000-0000-00000B320000}"/>
    <cellStyle name="SAPBEXtitle 5 2" xfId="7988" xr:uid="{00000000-0005-0000-0000-00000C320000}"/>
    <cellStyle name="SAPBEXtitle 5 2 2" xfId="9941" xr:uid="{00000000-0005-0000-0000-00000D320000}"/>
    <cellStyle name="SAPBEXtitle 5 2 2 2" xfId="13214" xr:uid="{00000000-0005-0000-0000-00000E320000}"/>
    <cellStyle name="SAPBEXtitle 5 2 3" xfId="11914" xr:uid="{00000000-0005-0000-0000-00000F320000}"/>
    <cellStyle name="SAPBEXtitle 5 3" xfId="8098" xr:uid="{00000000-0005-0000-0000-000010320000}"/>
    <cellStyle name="SAPBEXtitle 5 3 2" xfId="10128" xr:uid="{00000000-0005-0000-0000-000011320000}"/>
    <cellStyle name="SAPBEXtitle 5 3 2 2" xfId="13321" xr:uid="{00000000-0005-0000-0000-000012320000}"/>
    <cellStyle name="SAPBEXtitle 5 3 3" xfId="12101" xr:uid="{00000000-0005-0000-0000-000013320000}"/>
    <cellStyle name="SAPBEXtitle 5 4" xfId="8886" xr:uid="{00000000-0005-0000-0000-000014320000}"/>
    <cellStyle name="SAPBEXtitle 5 5" xfId="10916" xr:uid="{00000000-0005-0000-0000-000015320000}"/>
    <cellStyle name="SAPBEXtitle 6" xfId="8294" xr:uid="{00000000-0005-0000-0000-000016320000}"/>
    <cellStyle name="SAPBEXtitle 6 2" xfId="9098" xr:uid="{00000000-0005-0000-0000-000017320000}"/>
    <cellStyle name="SAPBEXtitle 6 2 2" xfId="12798" xr:uid="{00000000-0005-0000-0000-000018320000}"/>
    <cellStyle name="SAPBEXtitle 6 3" xfId="11072" xr:uid="{00000000-0005-0000-0000-000019320000}"/>
    <cellStyle name="SAPBEXtitle 7" xfId="8995" xr:uid="{00000000-0005-0000-0000-00001A320000}"/>
    <cellStyle name="SAPBEXtitle 7 2" xfId="11014" xr:uid="{00000000-0005-0000-0000-00001B320000}"/>
    <cellStyle name="SAPBEXtitle 8" xfId="10324" xr:uid="{00000000-0005-0000-0000-00001C320000}"/>
    <cellStyle name="SAPBEXundefined" xfId="1545" xr:uid="{00000000-0005-0000-0000-00001D320000}"/>
    <cellStyle name="SAPBEXundefined 2" xfId="7547" xr:uid="{00000000-0005-0000-0000-00001E320000}"/>
    <cellStyle name="SAPBEXundefined 2 2" xfId="6884" xr:uid="{00000000-0005-0000-0000-00001F320000}"/>
    <cellStyle name="SAPBEXundefined 2 2 2" xfId="9707" xr:uid="{00000000-0005-0000-0000-000020320000}"/>
    <cellStyle name="SAPBEXundefined 2 2 2 2" xfId="13158" xr:uid="{00000000-0005-0000-0000-000021320000}"/>
    <cellStyle name="SAPBEXundefined 2 2 3" xfId="11680" xr:uid="{00000000-0005-0000-0000-000022320000}"/>
    <cellStyle name="SAPBEXundefined 2 3" xfId="8613" xr:uid="{00000000-0005-0000-0000-000023320000}"/>
    <cellStyle name="SAPBEXundefined 2 3 2" xfId="12323" xr:uid="{00000000-0005-0000-0000-000024320000}"/>
    <cellStyle name="SAPBEXundefined 2 4" xfId="10643" xr:uid="{00000000-0005-0000-0000-000025320000}"/>
    <cellStyle name="SAPBEXundefined 3" xfId="7609" xr:uid="{00000000-0005-0000-0000-000026320000}"/>
    <cellStyle name="SAPBEXundefined 3 2" xfId="7241" xr:uid="{00000000-0005-0000-0000-000027320000}"/>
    <cellStyle name="SAPBEXundefined 3 2 2" xfId="9478" xr:uid="{00000000-0005-0000-0000-000028320000}"/>
    <cellStyle name="SAPBEXundefined 3 2 2 2" xfId="13103" xr:uid="{00000000-0005-0000-0000-000029320000}"/>
    <cellStyle name="SAPBEXundefined 3 2 3" xfId="11451" xr:uid="{00000000-0005-0000-0000-00002A320000}"/>
    <cellStyle name="SAPBEXundefined 3 3" xfId="8671" xr:uid="{00000000-0005-0000-0000-00002B320000}"/>
    <cellStyle name="SAPBEXundefined 3 3 2" xfId="12706" xr:uid="{00000000-0005-0000-0000-00002C320000}"/>
    <cellStyle name="SAPBEXundefined 3 4" xfId="10701" xr:uid="{00000000-0005-0000-0000-00002D320000}"/>
    <cellStyle name="SAPBEXundefined 4" xfId="7781" xr:uid="{00000000-0005-0000-0000-00002E320000}"/>
    <cellStyle name="SAPBEXundefined 4 2" xfId="6891" xr:uid="{00000000-0005-0000-0000-00002F320000}"/>
    <cellStyle name="SAPBEXundefined 4 2 2" xfId="9889" xr:uid="{00000000-0005-0000-0000-000030320000}"/>
    <cellStyle name="SAPBEXundefined 4 2 2 2" xfId="13190" xr:uid="{00000000-0005-0000-0000-000031320000}"/>
    <cellStyle name="SAPBEXundefined 4 2 3" xfId="11862" xr:uid="{00000000-0005-0000-0000-000032320000}"/>
    <cellStyle name="SAPBEXundefined 4 3" xfId="8833" xr:uid="{00000000-0005-0000-0000-000033320000}"/>
    <cellStyle name="SAPBEXundefined 4 4" xfId="10863" xr:uid="{00000000-0005-0000-0000-000034320000}"/>
    <cellStyle name="SAPBEXundefined 5" xfId="7840" xr:uid="{00000000-0005-0000-0000-000035320000}"/>
    <cellStyle name="SAPBEXundefined 5 2" xfId="7989" xr:uid="{00000000-0005-0000-0000-000036320000}"/>
    <cellStyle name="SAPBEXundefined 5 2 2" xfId="9942" xr:uid="{00000000-0005-0000-0000-000037320000}"/>
    <cellStyle name="SAPBEXundefined 5 2 2 2" xfId="13215" xr:uid="{00000000-0005-0000-0000-000038320000}"/>
    <cellStyle name="SAPBEXundefined 5 2 3" xfId="11915" xr:uid="{00000000-0005-0000-0000-000039320000}"/>
    <cellStyle name="SAPBEXundefined 5 3" xfId="8099" xr:uid="{00000000-0005-0000-0000-00003A320000}"/>
    <cellStyle name="SAPBEXundefined 5 3 2" xfId="10129" xr:uid="{00000000-0005-0000-0000-00003B320000}"/>
    <cellStyle name="SAPBEXundefined 5 3 2 2" xfId="13322" xr:uid="{00000000-0005-0000-0000-00003C320000}"/>
    <cellStyle name="SAPBEXundefined 5 3 3" xfId="12102" xr:uid="{00000000-0005-0000-0000-00003D320000}"/>
    <cellStyle name="SAPBEXundefined 5 4" xfId="8887" xr:uid="{00000000-0005-0000-0000-00003E320000}"/>
    <cellStyle name="SAPBEXundefined 5 5" xfId="10917" xr:uid="{00000000-0005-0000-0000-00003F320000}"/>
    <cellStyle name="SAPBEXundefined 6" xfId="8295" xr:uid="{00000000-0005-0000-0000-000040320000}"/>
    <cellStyle name="SAPBEXundefined 6 2" xfId="9099" xr:uid="{00000000-0005-0000-0000-000041320000}"/>
    <cellStyle name="SAPBEXundefined 6 2 2" xfId="12799" xr:uid="{00000000-0005-0000-0000-000042320000}"/>
    <cellStyle name="SAPBEXundefined 6 3" xfId="11073" xr:uid="{00000000-0005-0000-0000-000043320000}"/>
    <cellStyle name="SAPBEXundefined 7" xfId="8994" xr:uid="{00000000-0005-0000-0000-000044320000}"/>
    <cellStyle name="SAPBEXundefined 7 2" xfId="11013" xr:uid="{00000000-0005-0000-0000-000045320000}"/>
    <cellStyle name="SAPBEXundefined 8" xfId="10325" xr:uid="{00000000-0005-0000-0000-000046320000}"/>
    <cellStyle name="SHADEDSTORES" xfId="1546" xr:uid="{00000000-0005-0000-0000-000047320000}"/>
    <cellStyle name="SHADEDSTORES 10" xfId="8993" xr:uid="{00000000-0005-0000-0000-000048320000}"/>
    <cellStyle name="SHADEDSTORES 10 2" xfId="12768" xr:uid="{00000000-0005-0000-0000-000049320000}"/>
    <cellStyle name="SHADEDSTORES 11" xfId="10326" xr:uid="{00000000-0005-0000-0000-00004A320000}"/>
    <cellStyle name="SHADEDSTORES 2" xfId="7635" xr:uid="{00000000-0005-0000-0000-00004B320000}"/>
    <cellStyle name="SHADEDSTORES 2 2" xfId="7953" xr:uid="{00000000-0005-0000-0000-00004C320000}"/>
    <cellStyle name="SHADEDSTORES 2 2 2" xfId="9771" xr:uid="{00000000-0005-0000-0000-00004D320000}"/>
    <cellStyle name="SHADEDSTORES 2 2 3" xfId="11744" xr:uid="{00000000-0005-0000-0000-00004E320000}"/>
    <cellStyle name="SHADEDSTORES 2 3" xfId="6862" xr:uid="{00000000-0005-0000-0000-00004F320000}"/>
    <cellStyle name="SHADEDSTORES 2 3 2" xfId="9200" xr:uid="{00000000-0005-0000-0000-000050320000}"/>
    <cellStyle name="SHADEDSTORES 2 3 3" xfId="11173" xr:uid="{00000000-0005-0000-0000-000051320000}"/>
    <cellStyle name="SHADEDSTORES 2 4" xfId="8695" xr:uid="{00000000-0005-0000-0000-000052320000}"/>
    <cellStyle name="SHADEDSTORES 2 4 2" xfId="12369" xr:uid="{00000000-0005-0000-0000-000053320000}"/>
    <cellStyle name="SHADEDSTORES 2 5" xfId="10725" xr:uid="{00000000-0005-0000-0000-000054320000}"/>
    <cellStyle name="SHADEDSTORES 3" xfId="7744" xr:uid="{00000000-0005-0000-0000-000055320000}"/>
    <cellStyle name="SHADEDSTORES 3 2" xfId="7181" xr:uid="{00000000-0005-0000-0000-000056320000}"/>
    <cellStyle name="SHADEDSTORES 3 2 2" xfId="9857" xr:uid="{00000000-0005-0000-0000-000057320000}"/>
    <cellStyle name="SHADEDSTORES 3 2 3" xfId="11830" xr:uid="{00000000-0005-0000-0000-000058320000}"/>
    <cellStyle name="SHADEDSTORES 3 3" xfId="8798" xr:uid="{00000000-0005-0000-0000-000059320000}"/>
    <cellStyle name="SHADEDSTORES 3 3 2" xfId="12437" xr:uid="{00000000-0005-0000-0000-00005A320000}"/>
    <cellStyle name="SHADEDSTORES 3 4" xfId="10828" xr:uid="{00000000-0005-0000-0000-00005B320000}"/>
    <cellStyle name="SHADEDSTORES 4" xfId="7365" xr:uid="{00000000-0005-0000-0000-00005C320000}"/>
    <cellStyle name="SHADEDSTORES 4 2" xfId="6826" xr:uid="{00000000-0005-0000-0000-00005D320000}"/>
    <cellStyle name="SHADEDSTORES 4 2 2" xfId="9566" xr:uid="{00000000-0005-0000-0000-00005E320000}"/>
    <cellStyle name="SHADEDSTORES 4 2 3" xfId="11539" xr:uid="{00000000-0005-0000-0000-00005F320000}"/>
    <cellStyle name="SHADEDSTORES 4 3" xfId="8436" xr:uid="{00000000-0005-0000-0000-000060320000}"/>
    <cellStyle name="SHADEDSTORES 4 3 2" xfId="12221" xr:uid="{00000000-0005-0000-0000-000061320000}"/>
    <cellStyle name="SHADEDSTORES 4 4" xfId="10466" xr:uid="{00000000-0005-0000-0000-000062320000}"/>
    <cellStyle name="SHADEDSTORES 5" xfId="7356" xr:uid="{00000000-0005-0000-0000-000063320000}"/>
    <cellStyle name="SHADEDSTORES 5 2" xfId="6897" xr:uid="{00000000-0005-0000-0000-000064320000}"/>
    <cellStyle name="SHADEDSTORES 5 2 2" xfId="9557" xr:uid="{00000000-0005-0000-0000-000065320000}"/>
    <cellStyle name="SHADEDSTORES 5 2 3" xfId="11530" xr:uid="{00000000-0005-0000-0000-000066320000}"/>
    <cellStyle name="SHADEDSTORES 5 3" xfId="8427" xr:uid="{00000000-0005-0000-0000-000067320000}"/>
    <cellStyle name="SHADEDSTORES 5 3 2" xfId="12612" xr:uid="{00000000-0005-0000-0000-000068320000}"/>
    <cellStyle name="SHADEDSTORES 5 4" xfId="10457" xr:uid="{00000000-0005-0000-0000-000069320000}"/>
    <cellStyle name="SHADEDSTORES 6" xfId="7632" xr:uid="{00000000-0005-0000-0000-00006A320000}"/>
    <cellStyle name="SHADEDSTORES 6 2" xfId="6882" xr:uid="{00000000-0005-0000-0000-00006B320000}"/>
    <cellStyle name="SHADEDSTORES 6 2 2" xfId="9768" xr:uid="{00000000-0005-0000-0000-00006C320000}"/>
    <cellStyle name="SHADEDSTORES 6 2 3" xfId="11741" xr:uid="{00000000-0005-0000-0000-00006D320000}"/>
    <cellStyle name="SHADEDSTORES 6 3" xfId="8692" xr:uid="{00000000-0005-0000-0000-00006E320000}"/>
    <cellStyle name="SHADEDSTORES 6 4" xfId="10722" xr:uid="{00000000-0005-0000-0000-00006F320000}"/>
    <cellStyle name="SHADEDSTORES 7" xfId="7804" xr:uid="{00000000-0005-0000-0000-000070320000}"/>
    <cellStyle name="SHADEDSTORES 7 2" xfId="7271" xr:uid="{00000000-0005-0000-0000-000071320000}"/>
    <cellStyle name="SHADEDSTORES 7 2 2" xfId="9910" xr:uid="{00000000-0005-0000-0000-000072320000}"/>
    <cellStyle name="SHADEDSTORES 7 2 3" xfId="11883" xr:uid="{00000000-0005-0000-0000-000073320000}"/>
    <cellStyle name="SHADEDSTORES 7 3" xfId="8854" xr:uid="{00000000-0005-0000-0000-000074320000}"/>
    <cellStyle name="SHADEDSTORES 7 4" xfId="10884" xr:uid="{00000000-0005-0000-0000-000075320000}"/>
    <cellStyle name="SHADEDSTORES 8" xfId="7919" xr:uid="{00000000-0005-0000-0000-000076320000}"/>
    <cellStyle name="SHADEDSTORES 8 2" xfId="8066" xr:uid="{00000000-0005-0000-0000-000077320000}"/>
    <cellStyle name="SHADEDSTORES 8 2 2" xfId="10097" xr:uid="{00000000-0005-0000-0000-000078320000}"/>
    <cellStyle name="SHADEDSTORES 8 2 3" xfId="12070" xr:uid="{00000000-0005-0000-0000-000079320000}"/>
    <cellStyle name="SHADEDSTORES 8 3" xfId="8161" xr:uid="{00000000-0005-0000-0000-00007A320000}"/>
    <cellStyle name="SHADEDSTORES 8 3 2" xfId="10191" xr:uid="{00000000-0005-0000-0000-00007B320000}"/>
    <cellStyle name="SHADEDSTORES 8 3 3" xfId="12164" xr:uid="{00000000-0005-0000-0000-00007C320000}"/>
    <cellStyle name="SHADEDSTORES 8 4" xfId="8965" xr:uid="{00000000-0005-0000-0000-00007D320000}"/>
    <cellStyle name="SHADEDSTORES 8 5" xfId="10995" xr:uid="{00000000-0005-0000-0000-00007E320000}"/>
    <cellStyle name="SHADEDSTORES 9" xfId="8296" xr:uid="{00000000-0005-0000-0000-00007F320000}"/>
    <cellStyle name="SHADEDSTORES 9 2" xfId="9100" xr:uid="{00000000-0005-0000-0000-000080320000}"/>
    <cellStyle name="SHADEDSTORES 9 3" xfId="11074" xr:uid="{00000000-0005-0000-0000-000081320000}"/>
    <cellStyle name="specstores" xfId="1547" xr:uid="{00000000-0005-0000-0000-000082320000}"/>
    <cellStyle name="Standard" xfId="1548" xr:uid="{00000000-0005-0000-0000-000083320000}"/>
    <cellStyle name="style" xfId="1549" xr:uid="{00000000-0005-0000-0000-000084320000}"/>
    <cellStyle name="Style 1" xfId="1550" xr:uid="{00000000-0005-0000-0000-000085320000}"/>
    <cellStyle name="Style 2" xfId="1551" xr:uid="{00000000-0005-0000-0000-000086320000}"/>
    <cellStyle name="Style 3" xfId="1552" xr:uid="{00000000-0005-0000-0000-000087320000}"/>
    <cellStyle name="Style 4" xfId="1553" xr:uid="{00000000-0005-0000-0000-000088320000}"/>
    <cellStyle name="Style 5" xfId="1554" xr:uid="{00000000-0005-0000-0000-000089320000}"/>
    <cellStyle name="Style 6" xfId="1555" xr:uid="{00000000-0005-0000-0000-00008A320000}"/>
    <cellStyle name="subhead" xfId="1556" xr:uid="{00000000-0005-0000-0000-00008B320000}"/>
    <cellStyle name="Subtotal" xfId="1557" xr:uid="{00000000-0005-0000-0000-00008C320000}"/>
    <cellStyle name="T" xfId="1558" xr:uid="{00000000-0005-0000-0000-00008D320000}"/>
    <cellStyle name="T 2" xfId="7782" xr:uid="{00000000-0005-0000-0000-00008E320000}"/>
    <cellStyle name="T 2 2" xfId="6865" xr:uid="{00000000-0005-0000-0000-00008F320000}"/>
    <cellStyle name="T 2 2 2" xfId="9890" xr:uid="{00000000-0005-0000-0000-000090320000}"/>
    <cellStyle name="T 2 2 3" xfId="11863" xr:uid="{00000000-0005-0000-0000-000091320000}"/>
    <cellStyle name="T 2 3" xfId="8834" xr:uid="{00000000-0005-0000-0000-000092320000}"/>
    <cellStyle name="T 2 4" xfId="10864" xr:uid="{00000000-0005-0000-0000-000093320000}"/>
    <cellStyle name="T 3" xfId="7843" xr:uid="{00000000-0005-0000-0000-000094320000}"/>
    <cellStyle name="T 3 2" xfId="7992" xr:uid="{00000000-0005-0000-0000-000095320000}"/>
    <cellStyle name="T 3 2 2" xfId="10028" xr:uid="{00000000-0005-0000-0000-000096320000}"/>
    <cellStyle name="T 3 2 3" xfId="12001" xr:uid="{00000000-0005-0000-0000-000097320000}"/>
    <cellStyle name="T 3 3" xfId="8890" xr:uid="{00000000-0005-0000-0000-000098320000}"/>
    <cellStyle name="T 3 4" xfId="10920" xr:uid="{00000000-0005-0000-0000-000099320000}"/>
    <cellStyle name="T 4" xfId="8297" xr:uid="{00000000-0005-0000-0000-00009A320000}"/>
    <cellStyle name="T 4 2" xfId="9101" xr:uid="{00000000-0005-0000-0000-00009B320000}"/>
    <cellStyle name="T 4 3" xfId="11075" xr:uid="{00000000-0005-0000-0000-00009C320000}"/>
    <cellStyle name="T 5" xfId="8992" xr:uid="{00000000-0005-0000-0000-00009D320000}"/>
    <cellStyle name="T 5 2" xfId="12767" xr:uid="{00000000-0005-0000-0000-00009E320000}"/>
    <cellStyle name="T 6" xfId="10327" xr:uid="{00000000-0005-0000-0000-00009F320000}"/>
    <cellStyle name="T_50-BB Vung tau 2011" xfId="1559" xr:uid="{00000000-0005-0000-0000-0000A0320000}"/>
    <cellStyle name="T_50-BB Vung tau 2011 2" xfId="7783" xr:uid="{00000000-0005-0000-0000-0000A1320000}"/>
    <cellStyle name="T_50-BB Vung tau 2011 2 2" xfId="7086" xr:uid="{00000000-0005-0000-0000-0000A2320000}"/>
    <cellStyle name="T_50-BB Vung tau 2011 2 2 2" xfId="9891" xr:uid="{00000000-0005-0000-0000-0000A3320000}"/>
    <cellStyle name="T_50-BB Vung tau 2011 2 2 3" xfId="11864" xr:uid="{00000000-0005-0000-0000-0000A4320000}"/>
    <cellStyle name="T_50-BB Vung tau 2011 2 3" xfId="8835" xr:uid="{00000000-0005-0000-0000-0000A5320000}"/>
    <cellStyle name="T_50-BB Vung tau 2011 2 4" xfId="10865" xr:uid="{00000000-0005-0000-0000-0000A6320000}"/>
    <cellStyle name="T_50-BB Vung tau 2011 3" xfId="7844" xr:uid="{00000000-0005-0000-0000-0000A7320000}"/>
    <cellStyle name="T_50-BB Vung tau 2011 3 2" xfId="7993" xr:uid="{00000000-0005-0000-0000-0000A8320000}"/>
    <cellStyle name="T_50-BB Vung tau 2011 3 2 2" xfId="10029" xr:uid="{00000000-0005-0000-0000-0000A9320000}"/>
    <cellStyle name="T_50-BB Vung tau 2011 3 2 3" xfId="12002" xr:uid="{00000000-0005-0000-0000-0000AA320000}"/>
    <cellStyle name="T_50-BB Vung tau 2011 3 3" xfId="8891" xr:uid="{00000000-0005-0000-0000-0000AB320000}"/>
    <cellStyle name="T_50-BB Vung tau 2011 3 4" xfId="10921" xr:uid="{00000000-0005-0000-0000-0000AC320000}"/>
    <cellStyle name="T_50-BB Vung tau 2011 4" xfId="8298" xr:uid="{00000000-0005-0000-0000-0000AD320000}"/>
    <cellStyle name="T_50-BB Vung tau 2011 4 2" xfId="9102" xr:uid="{00000000-0005-0000-0000-0000AE320000}"/>
    <cellStyle name="T_50-BB Vung tau 2011 4 3" xfId="11076" xr:uid="{00000000-0005-0000-0000-0000AF320000}"/>
    <cellStyle name="T_50-BB Vung tau 2011 5" xfId="8991" xr:uid="{00000000-0005-0000-0000-0000B0320000}"/>
    <cellStyle name="T_50-BB Vung tau 2011 5 2" xfId="12766" xr:uid="{00000000-0005-0000-0000-0000B1320000}"/>
    <cellStyle name="T_50-BB Vung tau 2011 6" xfId="10328" xr:uid="{00000000-0005-0000-0000-0000B2320000}"/>
    <cellStyle name="T_50-BB Vung tau 2011_120907 Thu tang them 4500" xfId="1560" xr:uid="{00000000-0005-0000-0000-0000B3320000}"/>
    <cellStyle name="T_50-BB Vung tau 2011_120907 Thu tang them 4500 2" xfId="7784" xr:uid="{00000000-0005-0000-0000-0000B4320000}"/>
    <cellStyle name="T_50-BB Vung tau 2011_120907 Thu tang them 4500 2 2" xfId="7082" xr:uid="{00000000-0005-0000-0000-0000B5320000}"/>
    <cellStyle name="T_50-BB Vung tau 2011_120907 Thu tang them 4500 2 2 2" xfId="9892" xr:uid="{00000000-0005-0000-0000-0000B6320000}"/>
    <cellStyle name="T_50-BB Vung tau 2011_120907 Thu tang them 4500 2 2 3" xfId="11865" xr:uid="{00000000-0005-0000-0000-0000B7320000}"/>
    <cellStyle name="T_50-BB Vung tau 2011_120907 Thu tang them 4500 2 3" xfId="8836" xr:uid="{00000000-0005-0000-0000-0000B8320000}"/>
    <cellStyle name="T_50-BB Vung tau 2011_120907 Thu tang them 4500 2 4" xfId="10866" xr:uid="{00000000-0005-0000-0000-0000B9320000}"/>
    <cellStyle name="T_50-BB Vung tau 2011_120907 Thu tang them 4500 3" xfId="7845" xr:uid="{00000000-0005-0000-0000-0000BA320000}"/>
    <cellStyle name="T_50-BB Vung tau 2011_120907 Thu tang them 4500 3 2" xfId="7994" xr:uid="{00000000-0005-0000-0000-0000BB320000}"/>
    <cellStyle name="T_50-BB Vung tau 2011_120907 Thu tang them 4500 3 2 2" xfId="10030" xr:uid="{00000000-0005-0000-0000-0000BC320000}"/>
    <cellStyle name="T_50-BB Vung tau 2011_120907 Thu tang them 4500 3 2 3" xfId="12003" xr:uid="{00000000-0005-0000-0000-0000BD320000}"/>
    <cellStyle name="T_50-BB Vung tau 2011_120907 Thu tang them 4500 3 3" xfId="8892" xr:uid="{00000000-0005-0000-0000-0000BE320000}"/>
    <cellStyle name="T_50-BB Vung tau 2011_120907 Thu tang them 4500 3 4" xfId="10922" xr:uid="{00000000-0005-0000-0000-0000BF320000}"/>
    <cellStyle name="T_50-BB Vung tau 2011_120907 Thu tang them 4500 4" xfId="8299" xr:uid="{00000000-0005-0000-0000-0000C0320000}"/>
    <cellStyle name="T_50-BB Vung tau 2011_120907 Thu tang them 4500 4 2" xfId="9103" xr:uid="{00000000-0005-0000-0000-0000C1320000}"/>
    <cellStyle name="T_50-BB Vung tau 2011_120907 Thu tang them 4500 4 3" xfId="11077" xr:uid="{00000000-0005-0000-0000-0000C2320000}"/>
    <cellStyle name="T_50-BB Vung tau 2011_120907 Thu tang them 4500 5" xfId="8990" xr:uid="{00000000-0005-0000-0000-0000C3320000}"/>
    <cellStyle name="T_50-BB Vung tau 2011_120907 Thu tang them 4500 5 2" xfId="12765" xr:uid="{00000000-0005-0000-0000-0000C4320000}"/>
    <cellStyle name="T_50-BB Vung tau 2011_120907 Thu tang them 4500 6" xfId="10329" xr:uid="{00000000-0005-0000-0000-0000C5320000}"/>
    <cellStyle name="T_50-BB Vung tau 2011_27-8Tong hop PA uoc 2012-DT 2013 -PA 420.000 ty-490.000 ty chuyen doi" xfId="1561" xr:uid="{00000000-0005-0000-0000-0000C6320000}"/>
    <cellStyle name="T_50-BB Vung tau 2011_27-8Tong hop PA uoc 2012-DT 2013 -PA 420.000 ty-490.000 ty chuyen doi 2" xfId="7785" xr:uid="{00000000-0005-0000-0000-0000C7320000}"/>
    <cellStyle name="T_50-BB Vung tau 2011_27-8Tong hop PA uoc 2012-DT 2013 -PA 420.000 ty-490.000 ty chuyen doi 2 2" xfId="6819" xr:uid="{00000000-0005-0000-0000-0000C8320000}"/>
    <cellStyle name="T_50-BB Vung tau 2011_27-8Tong hop PA uoc 2012-DT 2013 -PA 420.000 ty-490.000 ty chuyen doi 2 2 2" xfId="9893" xr:uid="{00000000-0005-0000-0000-0000C9320000}"/>
    <cellStyle name="T_50-BB Vung tau 2011_27-8Tong hop PA uoc 2012-DT 2013 -PA 420.000 ty-490.000 ty chuyen doi 2 2 3" xfId="11866" xr:uid="{00000000-0005-0000-0000-0000CA320000}"/>
    <cellStyle name="T_50-BB Vung tau 2011_27-8Tong hop PA uoc 2012-DT 2013 -PA 420.000 ty-490.000 ty chuyen doi 2 3" xfId="8837" xr:uid="{00000000-0005-0000-0000-0000CB320000}"/>
    <cellStyle name="T_50-BB Vung tau 2011_27-8Tong hop PA uoc 2012-DT 2013 -PA 420.000 ty-490.000 ty chuyen doi 2 4" xfId="10867" xr:uid="{00000000-0005-0000-0000-0000CC320000}"/>
    <cellStyle name="T_50-BB Vung tau 2011_27-8Tong hop PA uoc 2012-DT 2013 -PA 420.000 ty-490.000 ty chuyen doi 3" xfId="7846" xr:uid="{00000000-0005-0000-0000-0000CD320000}"/>
    <cellStyle name="T_50-BB Vung tau 2011_27-8Tong hop PA uoc 2012-DT 2013 -PA 420.000 ty-490.000 ty chuyen doi 3 2" xfId="7995" xr:uid="{00000000-0005-0000-0000-0000CE320000}"/>
    <cellStyle name="T_50-BB Vung tau 2011_27-8Tong hop PA uoc 2012-DT 2013 -PA 420.000 ty-490.000 ty chuyen doi 3 2 2" xfId="10031" xr:uid="{00000000-0005-0000-0000-0000CF320000}"/>
    <cellStyle name="T_50-BB Vung tau 2011_27-8Tong hop PA uoc 2012-DT 2013 -PA 420.000 ty-490.000 ty chuyen doi 3 2 3" xfId="12004" xr:uid="{00000000-0005-0000-0000-0000D0320000}"/>
    <cellStyle name="T_50-BB Vung tau 2011_27-8Tong hop PA uoc 2012-DT 2013 -PA 420.000 ty-490.000 ty chuyen doi 3 3" xfId="8893" xr:uid="{00000000-0005-0000-0000-0000D1320000}"/>
    <cellStyle name="T_50-BB Vung tau 2011_27-8Tong hop PA uoc 2012-DT 2013 -PA 420.000 ty-490.000 ty chuyen doi 3 4" xfId="10923" xr:uid="{00000000-0005-0000-0000-0000D2320000}"/>
    <cellStyle name="T_50-BB Vung tau 2011_27-8Tong hop PA uoc 2012-DT 2013 -PA 420.000 ty-490.000 ty chuyen doi 4" xfId="8300" xr:uid="{00000000-0005-0000-0000-0000D3320000}"/>
    <cellStyle name="T_50-BB Vung tau 2011_27-8Tong hop PA uoc 2012-DT 2013 -PA 420.000 ty-490.000 ty chuyen doi 4 2" xfId="9104" xr:uid="{00000000-0005-0000-0000-0000D4320000}"/>
    <cellStyle name="T_50-BB Vung tau 2011_27-8Tong hop PA uoc 2012-DT 2013 -PA 420.000 ty-490.000 ty chuyen doi 4 3" xfId="11078" xr:uid="{00000000-0005-0000-0000-0000D5320000}"/>
    <cellStyle name="T_50-BB Vung tau 2011_27-8Tong hop PA uoc 2012-DT 2013 -PA 420.000 ty-490.000 ty chuyen doi 5" xfId="8989" xr:uid="{00000000-0005-0000-0000-0000D6320000}"/>
    <cellStyle name="T_50-BB Vung tau 2011_27-8Tong hop PA uoc 2012-DT 2013 -PA 420.000 ty-490.000 ty chuyen doi 5 2" xfId="12764" xr:uid="{00000000-0005-0000-0000-0000D7320000}"/>
    <cellStyle name="T_50-BB Vung tau 2011_27-8Tong hop PA uoc 2012-DT 2013 -PA 420.000 ty-490.000 ty chuyen doi 6" xfId="10330" xr:uid="{00000000-0005-0000-0000-0000D8320000}"/>
    <cellStyle name="T_bieu 1" xfId="1562" xr:uid="{00000000-0005-0000-0000-0000D9320000}"/>
    <cellStyle name="T_bieu 1 2" xfId="7786" xr:uid="{00000000-0005-0000-0000-0000DA320000}"/>
    <cellStyle name="T_bieu 1 2 2" xfId="6838" xr:uid="{00000000-0005-0000-0000-0000DB320000}"/>
    <cellStyle name="T_bieu 1 2 2 2" xfId="9894" xr:uid="{00000000-0005-0000-0000-0000DC320000}"/>
    <cellStyle name="T_bieu 1 2 2 3" xfId="11867" xr:uid="{00000000-0005-0000-0000-0000DD320000}"/>
    <cellStyle name="T_bieu 1 2 3" xfId="8838" xr:uid="{00000000-0005-0000-0000-0000DE320000}"/>
    <cellStyle name="T_bieu 1 2 4" xfId="10868" xr:uid="{00000000-0005-0000-0000-0000DF320000}"/>
    <cellStyle name="T_bieu 1 3" xfId="7847" xr:uid="{00000000-0005-0000-0000-0000E0320000}"/>
    <cellStyle name="T_bieu 1 3 2" xfId="7996" xr:uid="{00000000-0005-0000-0000-0000E1320000}"/>
    <cellStyle name="T_bieu 1 3 2 2" xfId="10032" xr:uid="{00000000-0005-0000-0000-0000E2320000}"/>
    <cellStyle name="T_bieu 1 3 2 3" xfId="12005" xr:uid="{00000000-0005-0000-0000-0000E3320000}"/>
    <cellStyle name="T_bieu 1 3 3" xfId="8894" xr:uid="{00000000-0005-0000-0000-0000E4320000}"/>
    <cellStyle name="T_bieu 1 3 4" xfId="10924" xr:uid="{00000000-0005-0000-0000-0000E5320000}"/>
    <cellStyle name="T_bieu 1 4" xfId="8301" xr:uid="{00000000-0005-0000-0000-0000E6320000}"/>
    <cellStyle name="T_bieu 1 4 2" xfId="9105" xr:uid="{00000000-0005-0000-0000-0000E7320000}"/>
    <cellStyle name="T_bieu 1 4 3" xfId="11079" xr:uid="{00000000-0005-0000-0000-0000E8320000}"/>
    <cellStyle name="T_bieu 1 5" xfId="8988" xr:uid="{00000000-0005-0000-0000-0000E9320000}"/>
    <cellStyle name="T_bieu 1 5 2" xfId="12763" xr:uid="{00000000-0005-0000-0000-0000EA320000}"/>
    <cellStyle name="T_bieu 1 6" xfId="10331" xr:uid="{00000000-0005-0000-0000-0000EB320000}"/>
    <cellStyle name="T_bieu 2" xfId="1563" xr:uid="{00000000-0005-0000-0000-0000EC320000}"/>
    <cellStyle name="T_bieu 2 2" xfId="7787" xr:uid="{00000000-0005-0000-0000-0000ED320000}"/>
    <cellStyle name="T_bieu 2 2 2" xfId="7253" xr:uid="{00000000-0005-0000-0000-0000EE320000}"/>
    <cellStyle name="T_bieu 2 2 2 2" xfId="9895" xr:uid="{00000000-0005-0000-0000-0000EF320000}"/>
    <cellStyle name="T_bieu 2 2 2 3" xfId="11868" xr:uid="{00000000-0005-0000-0000-0000F0320000}"/>
    <cellStyle name="T_bieu 2 2 3" xfId="8839" xr:uid="{00000000-0005-0000-0000-0000F1320000}"/>
    <cellStyle name="T_bieu 2 2 4" xfId="10869" xr:uid="{00000000-0005-0000-0000-0000F2320000}"/>
    <cellStyle name="T_bieu 2 3" xfId="7848" xr:uid="{00000000-0005-0000-0000-0000F3320000}"/>
    <cellStyle name="T_bieu 2 3 2" xfId="7997" xr:uid="{00000000-0005-0000-0000-0000F4320000}"/>
    <cellStyle name="T_bieu 2 3 2 2" xfId="10033" xr:uid="{00000000-0005-0000-0000-0000F5320000}"/>
    <cellStyle name="T_bieu 2 3 2 3" xfId="12006" xr:uid="{00000000-0005-0000-0000-0000F6320000}"/>
    <cellStyle name="T_bieu 2 3 3" xfId="8895" xr:uid="{00000000-0005-0000-0000-0000F7320000}"/>
    <cellStyle name="T_bieu 2 3 4" xfId="10925" xr:uid="{00000000-0005-0000-0000-0000F8320000}"/>
    <cellStyle name="T_bieu 2 4" xfId="8302" xr:uid="{00000000-0005-0000-0000-0000F9320000}"/>
    <cellStyle name="T_bieu 2 4 2" xfId="9106" xr:uid="{00000000-0005-0000-0000-0000FA320000}"/>
    <cellStyle name="T_bieu 2 4 3" xfId="11080" xr:uid="{00000000-0005-0000-0000-0000FB320000}"/>
    <cellStyle name="T_bieu 2 5" xfId="8987" xr:uid="{00000000-0005-0000-0000-0000FC320000}"/>
    <cellStyle name="T_bieu 2 5 2" xfId="12762" xr:uid="{00000000-0005-0000-0000-0000FD320000}"/>
    <cellStyle name="T_bieu 2 6" xfId="10332" xr:uid="{00000000-0005-0000-0000-0000FE320000}"/>
    <cellStyle name="T_bieu 4" xfId="1564" xr:uid="{00000000-0005-0000-0000-0000FF320000}"/>
    <cellStyle name="T_bieu 4 2" xfId="7788" xr:uid="{00000000-0005-0000-0000-000000330000}"/>
    <cellStyle name="T_bieu 4 2 2" xfId="7258" xr:uid="{00000000-0005-0000-0000-000001330000}"/>
    <cellStyle name="T_bieu 4 2 2 2" xfId="9896" xr:uid="{00000000-0005-0000-0000-000002330000}"/>
    <cellStyle name="T_bieu 4 2 2 3" xfId="11869" xr:uid="{00000000-0005-0000-0000-000003330000}"/>
    <cellStyle name="T_bieu 4 2 3" xfId="8840" xr:uid="{00000000-0005-0000-0000-000004330000}"/>
    <cellStyle name="T_bieu 4 2 4" xfId="10870" xr:uid="{00000000-0005-0000-0000-000005330000}"/>
    <cellStyle name="T_bieu 4 3" xfId="7849" xr:uid="{00000000-0005-0000-0000-000006330000}"/>
    <cellStyle name="T_bieu 4 3 2" xfId="7998" xr:uid="{00000000-0005-0000-0000-000007330000}"/>
    <cellStyle name="T_bieu 4 3 2 2" xfId="10034" xr:uid="{00000000-0005-0000-0000-000008330000}"/>
    <cellStyle name="T_bieu 4 3 2 3" xfId="12007" xr:uid="{00000000-0005-0000-0000-000009330000}"/>
    <cellStyle name="T_bieu 4 3 3" xfId="8896" xr:uid="{00000000-0005-0000-0000-00000A330000}"/>
    <cellStyle name="T_bieu 4 3 4" xfId="10926" xr:uid="{00000000-0005-0000-0000-00000B330000}"/>
    <cellStyle name="T_bieu 4 4" xfId="8303" xr:uid="{00000000-0005-0000-0000-00000C330000}"/>
    <cellStyle name="T_bieu 4 4 2" xfId="9107" xr:uid="{00000000-0005-0000-0000-00000D330000}"/>
    <cellStyle name="T_bieu 4 4 3" xfId="11081" xr:uid="{00000000-0005-0000-0000-00000E330000}"/>
    <cellStyle name="T_bieu 4 5" xfId="8986" xr:uid="{00000000-0005-0000-0000-00000F330000}"/>
    <cellStyle name="T_bieu 4 5 2" xfId="12761" xr:uid="{00000000-0005-0000-0000-000010330000}"/>
    <cellStyle name="T_bieu 4 6" xfId="10333" xr:uid="{00000000-0005-0000-0000-000011330000}"/>
    <cellStyle name="Text Indent A" xfId="1565" xr:uid="{00000000-0005-0000-0000-000012330000}"/>
    <cellStyle name="Text Indent B" xfId="1566" xr:uid="{00000000-0005-0000-0000-000013330000}"/>
    <cellStyle name="Text Indent C" xfId="1567" xr:uid="{00000000-0005-0000-0000-000014330000}"/>
    <cellStyle name="th" xfId="1568" xr:uid="{00000000-0005-0000-0000-00003F330000}"/>
    <cellStyle name="th 2" xfId="7789" xr:uid="{00000000-0005-0000-0000-000040330000}"/>
    <cellStyle name="th 2 2" xfId="7052" xr:uid="{00000000-0005-0000-0000-000041330000}"/>
    <cellStyle name="th 2 2 2" xfId="9897" xr:uid="{00000000-0005-0000-0000-000042330000}"/>
    <cellStyle name="th 2 2 3" xfId="11870" xr:uid="{00000000-0005-0000-0000-000043330000}"/>
    <cellStyle name="th 2 3" xfId="8841" xr:uid="{00000000-0005-0000-0000-000044330000}"/>
    <cellStyle name="th 2 4" xfId="10871" xr:uid="{00000000-0005-0000-0000-000045330000}"/>
    <cellStyle name="th 3" xfId="7850" xr:uid="{00000000-0005-0000-0000-000046330000}"/>
    <cellStyle name="th 3 2" xfId="7999" xr:uid="{00000000-0005-0000-0000-000047330000}"/>
    <cellStyle name="th 3 2 2" xfId="10035" xr:uid="{00000000-0005-0000-0000-000048330000}"/>
    <cellStyle name="th 3 2 3" xfId="12008" xr:uid="{00000000-0005-0000-0000-000049330000}"/>
    <cellStyle name="th 3 3" xfId="8897" xr:uid="{00000000-0005-0000-0000-00004A330000}"/>
    <cellStyle name="th 3 4" xfId="10927" xr:uid="{00000000-0005-0000-0000-00004B330000}"/>
    <cellStyle name="th 4" xfId="8304" xr:uid="{00000000-0005-0000-0000-00004C330000}"/>
    <cellStyle name="th 4 2" xfId="9108" xr:uid="{00000000-0005-0000-0000-00004D330000}"/>
    <cellStyle name="th 4 3" xfId="11082" xr:uid="{00000000-0005-0000-0000-00004E330000}"/>
    <cellStyle name="th 5" xfId="8985" xr:uid="{00000000-0005-0000-0000-00004F330000}"/>
    <cellStyle name="th 5 2" xfId="12760" xr:uid="{00000000-0005-0000-0000-000050330000}"/>
    <cellStyle name="th 6" xfId="10334" xr:uid="{00000000-0005-0000-0000-000051330000}"/>
    <cellStyle name="þ_x001d_ð·_x000c_æþ'_x000d_ßþU_x0001_Ø_x0005_ü_x0014__x0007__x0001__x0001_" xfId="1569" xr:uid="{00000000-0005-0000-0000-000052330000}"/>
    <cellStyle name="þ_x001d_ðÇ%Uý—&amp;Hý9_x0008_Ÿ s_x000a__x0007__x0001__x0001_" xfId="1570" xr:uid="{00000000-0005-0000-0000-000053330000}"/>
    <cellStyle name="þ_x001d_ðK_x000c_Fý_x001b__x000d_9ýU_x0001_Ð_x0008_¦)_x0007__x0001__x0001_" xfId="1571" xr:uid="{00000000-0005-0000-0000-000054330000}"/>
    <cellStyle name="Thuyet minh" xfId="1572" xr:uid="{00000000-0005-0000-0000-000055330000}"/>
    <cellStyle name="Total 2" xfId="1573" xr:uid="{00000000-0005-0000-0000-000015330000}"/>
    <cellStyle name="Total 2 2" xfId="7328" xr:uid="{00000000-0005-0000-0000-000016330000}"/>
    <cellStyle name="Total 2 2 2" xfId="6879" xr:uid="{00000000-0005-0000-0000-000017330000}"/>
    <cellStyle name="Total 2 2 2 2" xfId="9540" xr:uid="{00000000-0005-0000-0000-000018330000}"/>
    <cellStyle name="Total 2 2 2 2 2" xfId="13140" xr:uid="{00000000-0005-0000-0000-000019330000}"/>
    <cellStyle name="Total 2 2 2 3" xfId="11513" xr:uid="{00000000-0005-0000-0000-00001A330000}"/>
    <cellStyle name="Total 2 2 3" xfId="8400" xr:uid="{00000000-0005-0000-0000-00001B330000}"/>
    <cellStyle name="Total 2 2 3 2" xfId="12203" xr:uid="{00000000-0005-0000-0000-00001C330000}"/>
    <cellStyle name="Total 2 2 4" xfId="10430" xr:uid="{00000000-0005-0000-0000-00001D330000}"/>
    <cellStyle name="Total 2 3" xfId="7533" xr:uid="{00000000-0005-0000-0000-00001E330000}"/>
    <cellStyle name="Total 2 3 2" xfId="6827" xr:uid="{00000000-0005-0000-0000-00001F330000}"/>
    <cellStyle name="Total 2 3 2 2" xfId="9171" xr:uid="{00000000-0005-0000-0000-000020330000}"/>
    <cellStyle name="Total 2 3 2 2 2" xfId="12811" xr:uid="{00000000-0005-0000-0000-000021330000}"/>
    <cellStyle name="Total 2 3 2 3" xfId="11144" xr:uid="{00000000-0005-0000-0000-000022330000}"/>
    <cellStyle name="Total 2 3 3" xfId="8599" xr:uid="{00000000-0005-0000-0000-000023330000}"/>
    <cellStyle name="Total 2 3 3 2" xfId="12679" xr:uid="{00000000-0005-0000-0000-000024330000}"/>
    <cellStyle name="Total 2 3 4" xfId="10629" xr:uid="{00000000-0005-0000-0000-000025330000}"/>
    <cellStyle name="Total 2 4" xfId="7790" xr:uid="{00000000-0005-0000-0000-000026330000}"/>
    <cellStyle name="Total 2 4 2" xfId="7141" xr:uid="{00000000-0005-0000-0000-000027330000}"/>
    <cellStyle name="Total 2 4 2 2" xfId="9898" xr:uid="{00000000-0005-0000-0000-000028330000}"/>
    <cellStyle name="Total 2 4 2 2 2" xfId="13191" xr:uid="{00000000-0005-0000-0000-000029330000}"/>
    <cellStyle name="Total 2 4 2 3" xfId="11871" xr:uid="{00000000-0005-0000-0000-00002A330000}"/>
    <cellStyle name="Total 2 4 3" xfId="8842" xr:uid="{00000000-0005-0000-0000-00002B330000}"/>
    <cellStyle name="Total 2 4 4" xfId="10872" xr:uid="{00000000-0005-0000-0000-00002C330000}"/>
    <cellStyle name="Total 2 5" xfId="7851" xr:uid="{00000000-0005-0000-0000-00002D330000}"/>
    <cellStyle name="Total 2 5 2" xfId="8000" xr:uid="{00000000-0005-0000-0000-00002E330000}"/>
    <cellStyle name="Total 2 5 2 2" xfId="9943" xr:uid="{00000000-0005-0000-0000-00002F330000}"/>
    <cellStyle name="Total 2 5 2 2 2" xfId="13216" xr:uid="{00000000-0005-0000-0000-000030330000}"/>
    <cellStyle name="Total 2 5 2 3" xfId="11916" xr:uid="{00000000-0005-0000-0000-000031330000}"/>
    <cellStyle name="Total 2 5 3" xfId="8100" xr:uid="{00000000-0005-0000-0000-000032330000}"/>
    <cellStyle name="Total 2 5 3 2" xfId="10130" xr:uid="{00000000-0005-0000-0000-000033330000}"/>
    <cellStyle name="Total 2 5 3 2 2" xfId="13323" xr:uid="{00000000-0005-0000-0000-000034330000}"/>
    <cellStyle name="Total 2 5 3 3" xfId="12103" xr:uid="{00000000-0005-0000-0000-000035330000}"/>
    <cellStyle name="Total 2 5 4" xfId="8898" xr:uid="{00000000-0005-0000-0000-000036330000}"/>
    <cellStyle name="Total 2 5 5" xfId="10928" xr:uid="{00000000-0005-0000-0000-000037330000}"/>
    <cellStyle name="Total 2 6" xfId="8305" xr:uid="{00000000-0005-0000-0000-000038330000}"/>
    <cellStyle name="Total 2 6 2" xfId="9109" xr:uid="{00000000-0005-0000-0000-000039330000}"/>
    <cellStyle name="Total 2 6 2 2" xfId="12800" xr:uid="{00000000-0005-0000-0000-00003A330000}"/>
    <cellStyle name="Total 2 6 3" xfId="11083" xr:uid="{00000000-0005-0000-0000-00003B330000}"/>
    <cellStyle name="Total 2 7" xfId="8984" xr:uid="{00000000-0005-0000-0000-00003C330000}"/>
    <cellStyle name="Total 2 7 2" xfId="11012" xr:uid="{00000000-0005-0000-0000-00003D330000}"/>
    <cellStyle name="Total 2 8" xfId="10335" xr:uid="{00000000-0005-0000-0000-00003E330000}"/>
    <cellStyle name="Valuta (0)_CALPREZZ" xfId="1574" xr:uid="{00000000-0005-0000-0000-000056330000}"/>
    <cellStyle name="Valuta_ PESO ELETTR." xfId="1575" xr:uid="{00000000-0005-0000-0000-000057330000}"/>
    <cellStyle name="viet" xfId="1576" xr:uid="{00000000-0005-0000-0000-000058330000}"/>
    <cellStyle name="viet2" xfId="1577" xr:uid="{00000000-0005-0000-0000-000059330000}"/>
    <cellStyle name="viet2 10" xfId="8983" xr:uid="{00000000-0005-0000-0000-00005A330000}"/>
    <cellStyle name="viet2 10 2" xfId="12759" xr:uid="{00000000-0005-0000-0000-00005B330000}"/>
    <cellStyle name="viet2 11" xfId="10336" xr:uid="{00000000-0005-0000-0000-00005C330000}"/>
    <cellStyle name="viet2 2" xfId="7412" xr:uid="{00000000-0005-0000-0000-00005D330000}"/>
    <cellStyle name="viet2 2 2" xfId="7935" xr:uid="{00000000-0005-0000-0000-00005E330000}"/>
    <cellStyle name="viet2 2 2 2" xfId="9600" xr:uid="{00000000-0005-0000-0000-00005F330000}"/>
    <cellStyle name="viet2 2 2 3" xfId="11573" xr:uid="{00000000-0005-0000-0000-000060330000}"/>
    <cellStyle name="viet2 2 3" xfId="7250" xr:uid="{00000000-0005-0000-0000-000061330000}"/>
    <cellStyle name="viet2 2 3 2" xfId="9485" xr:uid="{00000000-0005-0000-0000-000062330000}"/>
    <cellStyle name="viet2 2 3 3" xfId="11458" xr:uid="{00000000-0005-0000-0000-000063330000}"/>
    <cellStyle name="viet2 2 4" xfId="8482" xr:uid="{00000000-0005-0000-0000-000064330000}"/>
    <cellStyle name="viet2 2 4 2" xfId="12242" xr:uid="{00000000-0005-0000-0000-000065330000}"/>
    <cellStyle name="viet2 2 5" xfId="10512" xr:uid="{00000000-0005-0000-0000-000066330000}"/>
    <cellStyle name="viet2 3" xfId="7605" xr:uid="{00000000-0005-0000-0000-000067330000}"/>
    <cellStyle name="viet2 3 2" xfId="6955" xr:uid="{00000000-0005-0000-0000-000068330000}"/>
    <cellStyle name="viet2 3 2 2" xfId="9747" xr:uid="{00000000-0005-0000-0000-000069330000}"/>
    <cellStyle name="viet2 3 2 3" xfId="11720" xr:uid="{00000000-0005-0000-0000-00006A330000}"/>
    <cellStyle name="viet2 3 3" xfId="8667" xr:uid="{00000000-0005-0000-0000-00006B330000}"/>
    <cellStyle name="viet2 3 3 2" xfId="12353" xr:uid="{00000000-0005-0000-0000-00006C330000}"/>
    <cellStyle name="viet2 3 4" xfId="10697" xr:uid="{00000000-0005-0000-0000-00006D330000}"/>
    <cellStyle name="viet2 4" xfId="7600" xr:uid="{00000000-0005-0000-0000-00006E330000}"/>
    <cellStyle name="viet2 4 2" xfId="6905" xr:uid="{00000000-0005-0000-0000-00006F330000}"/>
    <cellStyle name="viet2 4 2 2" xfId="9743" xr:uid="{00000000-0005-0000-0000-000070330000}"/>
    <cellStyle name="viet2 4 2 3" xfId="11716" xr:uid="{00000000-0005-0000-0000-000071330000}"/>
    <cellStyle name="viet2 4 3" xfId="8662" xr:uid="{00000000-0005-0000-0000-000072330000}"/>
    <cellStyle name="viet2 4 3 2" xfId="12350" xr:uid="{00000000-0005-0000-0000-000073330000}"/>
    <cellStyle name="viet2 4 4" xfId="10692" xr:uid="{00000000-0005-0000-0000-000074330000}"/>
    <cellStyle name="viet2 5" xfId="7603" xr:uid="{00000000-0005-0000-0000-000075330000}"/>
    <cellStyle name="viet2 5 2" xfId="7224" xr:uid="{00000000-0005-0000-0000-000076330000}"/>
    <cellStyle name="viet2 5 2 2" xfId="9745" xr:uid="{00000000-0005-0000-0000-000077330000}"/>
    <cellStyle name="viet2 5 2 3" xfId="11718" xr:uid="{00000000-0005-0000-0000-000078330000}"/>
    <cellStyle name="viet2 5 3" xfId="8665" xr:uid="{00000000-0005-0000-0000-000079330000}"/>
    <cellStyle name="viet2 5 3 2" xfId="12704" xr:uid="{00000000-0005-0000-0000-00007A330000}"/>
    <cellStyle name="viet2 5 4" xfId="10695" xr:uid="{00000000-0005-0000-0000-00007B330000}"/>
    <cellStyle name="viet2 6" xfId="7552" xr:uid="{00000000-0005-0000-0000-00007C330000}"/>
    <cellStyle name="viet2 6 2" xfId="7256" xr:uid="{00000000-0005-0000-0000-00007D330000}"/>
    <cellStyle name="viet2 6 2 2" xfId="9711" xr:uid="{00000000-0005-0000-0000-00007E330000}"/>
    <cellStyle name="viet2 6 2 3" xfId="11684" xr:uid="{00000000-0005-0000-0000-00007F330000}"/>
    <cellStyle name="viet2 6 3" xfId="8617" xr:uid="{00000000-0005-0000-0000-000080330000}"/>
    <cellStyle name="viet2 6 4" xfId="10647" xr:uid="{00000000-0005-0000-0000-000081330000}"/>
    <cellStyle name="viet2 7" xfId="7801" xr:uid="{00000000-0005-0000-0000-000082330000}"/>
    <cellStyle name="viet2 7 2" xfId="7170" xr:uid="{00000000-0005-0000-0000-000083330000}"/>
    <cellStyle name="viet2 7 2 2" xfId="9907" xr:uid="{00000000-0005-0000-0000-000084330000}"/>
    <cellStyle name="viet2 7 2 3" xfId="11880" xr:uid="{00000000-0005-0000-0000-000085330000}"/>
    <cellStyle name="viet2 7 3" xfId="8851" xr:uid="{00000000-0005-0000-0000-000086330000}"/>
    <cellStyle name="viet2 7 4" xfId="10881" xr:uid="{00000000-0005-0000-0000-000087330000}"/>
    <cellStyle name="viet2 8" xfId="7901" xr:uid="{00000000-0005-0000-0000-000088330000}"/>
    <cellStyle name="viet2 8 2" xfId="8049" xr:uid="{00000000-0005-0000-0000-000089330000}"/>
    <cellStyle name="viet2 8 2 2" xfId="10081" xr:uid="{00000000-0005-0000-0000-00008A330000}"/>
    <cellStyle name="viet2 8 2 3" xfId="12054" xr:uid="{00000000-0005-0000-0000-00008B330000}"/>
    <cellStyle name="viet2 8 3" xfId="8947" xr:uid="{00000000-0005-0000-0000-00008C330000}"/>
    <cellStyle name="viet2 8 4" xfId="10977" xr:uid="{00000000-0005-0000-0000-00008D330000}"/>
    <cellStyle name="viet2 9" xfId="8306" xr:uid="{00000000-0005-0000-0000-00008E330000}"/>
    <cellStyle name="viet2 9 2" xfId="9110" xr:uid="{00000000-0005-0000-0000-00008F330000}"/>
    <cellStyle name="viet2 9 3" xfId="11084" xr:uid="{00000000-0005-0000-0000-000090330000}"/>
    <cellStyle name="Vn Time 13" xfId="1578" xr:uid="{00000000-0005-0000-0000-000091330000}"/>
    <cellStyle name="Vn Time 14" xfId="1579" xr:uid="{00000000-0005-0000-0000-000092330000}"/>
    <cellStyle name="vnbo" xfId="1580" xr:uid="{00000000-0005-0000-0000-000093330000}"/>
    <cellStyle name="vnbo 2" xfId="7492" xr:uid="{00000000-0005-0000-0000-000094330000}"/>
    <cellStyle name="vnbo 2 2" xfId="7155" xr:uid="{00000000-0005-0000-0000-000095330000}"/>
    <cellStyle name="vnbo 2 2 2" xfId="9663" xr:uid="{00000000-0005-0000-0000-000096330000}"/>
    <cellStyle name="vnbo 2 2 2 2" xfId="13153" xr:uid="{00000000-0005-0000-0000-000097330000}"/>
    <cellStyle name="vnbo 2 2 3" xfId="11636" xr:uid="{00000000-0005-0000-0000-000098330000}"/>
    <cellStyle name="vnbo 2 3" xfId="8559" xr:uid="{00000000-0005-0000-0000-000099330000}"/>
    <cellStyle name="vnbo 2 3 2" xfId="12291" xr:uid="{00000000-0005-0000-0000-00009A330000}"/>
    <cellStyle name="vnbo 2 4" xfId="10589" xr:uid="{00000000-0005-0000-0000-00009B330000}"/>
    <cellStyle name="vnbo 3" xfId="7466" xr:uid="{00000000-0005-0000-0000-00009C330000}"/>
    <cellStyle name="vnbo 3 2" xfId="7176" xr:uid="{00000000-0005-0000-0000-00009D330000}"/>
    <cellStyle name="vnbo 3 2 2" xfId="9432" xr:uid="{00000000-0005-0000-0000-00009E330000}"/>
    <cellStyle name="vnbo 3 2 2 2" xfId="13062" xr:uid="{00000000-0005-0000-0000-00009F330000}"/>
    <cellStyle name="vnbo 3 2 3" xfId="11405" xr:uid="{00000000-0005-0000-0000-0000A0330000}"/>
    <cellStyle name="vnbo 3 3" xfId="8533" xr:uid="{00000000-0005-0000-0000-0000A1330000}"/>
    <cellStyle name="vnbo 3 3 2" xfId="12660" xr:uid="{00000000-0005-0000-0000-0000A2330000}"/>
    <cellStyle name="vnbo 3 4" xfId="10563" xr:uid="{00000000-0005-0000-0000-0000A3330000}"/>
    <cellStyle name="vnbo 4" xfId="7791" xr:uid="{00000000-0005-0000-0000-0000A4330000}"/>
    <cellStyle name="vnbo 4 2" xfId="7216" xr:uid="{00000000-0005-0000-0000-0000A5330000}"/>
    <cellStyle name="vnbo 4 2 2" xfId="9899" xr:uid="{00000000-0005-0000-0000-0000A6330000}"/>
    <cellStyle name="vnbo 4 2 2 2" xfId="13192" xr:uid="{00000000-0005-0000-0000-0000A7330000}"/>
    <cellStyle name="vnbo 4 2 3" xfId="11872" xr:uid="{00000000-0005-0000-0000-0000A8330000}"/>
    <cellStyle name="vnbo 4 3" xfId="8843" xr:uid="{00000000-0005-0000-0000-0000A9330000}"/>
    <cellStyle name="vnbo 4 4" xfId="10873" xr:uid="{00000000-0005-0000-0000-0000AA330000}"/>
    <cellStyle name="vnbo 5" xfId="7852" xr:uid="{00000000-0005-0000-0000-0000AB330000}"/>
    <cellStyle name="vnbo 5 2" xfId="8001" xr:uid="{00000000-0005-0000-0000-0000AC330000}"/>
    <cellStyle name="vnbo 5 2 2" xfId="9944" xr:uid="{00000000-0005-0000-0000-0000AD330000}"/>
    <cellStyle name="vnbo 5 2 2 2" xfId="13217" xr:uid="{00000000-0005-0000-0000-0000AE330000}"/>
    <cellStyle name="vnbo 5 2 3" xfId="11917" xr:uid="{00000000-0005-0000-0000-0000AF330000}"/>
    <cellStyle name="vnbo 5 3" xfId="8101" xr:uid="{00000000-0005-0000-0000-0000B0330000}"/>
    <cellStyle name="vnbo 5 3 2" xfId="10131" xr:uid="{00000000-0005-0000-0000-0000B1330000}"/>
    <cellStyle name="vnbo 5 3 2 2" xfId="13324" xr:uid="{00000000-0005-0000-0000-0000B2330000}"/>
    <cellStyle name="vnbo 5 3 3" xfId="12104" xr:uid="{00000000-0005-0000-0000-0000B3330000}"/>
    <cellStyle name="vnbo 5 4" xfId="8899" xr:uid="{00000000-0005-0000-0000-0000B4330000}"/>
    <cellStyle name="vnbo 5 5" xfId="10929" xr:uid="{00000000-0005-0000-0000-0000B5330000}"/>
    <cellStyle name="vnbo 6" xfId="8307" xr:uid="{00000000-0005-0000-0000-0000B6330000}"/>
    <cellStyle name="vnbo 6 2" xfId="9111" xr:uid="{00000000-0005-0000-0000-0000B7330000}"/>
    <cellStyle name="vnbo 6 2 2" xfId="12801" xr:uid="{00000000-0005-0000-0000-0000B8330000}"/>
    <cellStyle name="vnbo 6 3" xfId="11085" xr:uid="{00000000-0005-0000-0000-0000B9330000}"/>
    <cellStyle name="vnbo 7" xfId="8982" xr:uid="{00000000-0005-0000-0000-0000BA330000}"/>
    <cellStyle name="vnbo 7 2" xfId="11011" xr:uid="{00000000-0005-0000-0000-0000BB330000}"/>
    <cellStyle name="vnbo 8" xfId="10337" xr:uid="{00000000-0005-0000-0000-0000BC330000}"/>
    <cellStyle name="vnhead1" xfId="1581" xr:uid="{00000000-0005-0000-0000-0000BF330000}"/>
    <cellStyle name="vnhead1 10" xfId="8981" xr:uid="{00000000-0005-0000-0000-0000C0330000}"/>
    <cellStyle name="vnhead1 10 2" xfId="12758" xr:uid="{00000000-0005-0000-0000-0000C1330000}"/>
    <cellStyle name="vnhead1 11" xfId="10338" xr:uid="{00000000-0005-0000-0000-0000C2330000}"/>
    <cellStyle name="vnhead1 2" xfId="7517" xr:uid="{00000000-0005-0000-0000-0000C3330000}"/>
    <cellStyle name="vnhead1 2 2" xfId="7946" xr:uid="{00000000-0005-0000-0000-0000C4330000}"/>
    <cellStyle name="vnhead1 2 2 2" xfId="9682" xr:uid="{00000000-0005-0000-0000-0000C5330000}"/>
    <cellStyle name="vnhead1 2 2 3" xfId="11655" xr:uid="{00000000-0005-0000-0000-0000C6330000}"/>
    <cellStyle name="vnhead1 2 3" xfId="6874" xr:uid="{00000000-0005-0000-0000-0000C7330000}"/>
    <cellStyle name="vnhead1 2 3 2" xfId="9211" xr:uid="{00000000-0005-0000-0000-0000C8330000}"/>
    <cellStyle name="vnhead1 2 3 3" xfId="11184" xr:uid="{00000000-0005-0000-0000-0000C9330000}"/>
    <cellStyle name="vnhead1 2 4" xfId="8583" xr:uid="{00000000-0005-0000-0000-0000CA330000}"/>
    <cellStyle name="vnhead1 2 4 2" xfId="12302" xr:uid="{00000000-0005-0000-0000-0000CB330000}"/>
    <cellStyle name="vnhead1 2 5" xfId="10613" xr:uid="{00000000-0005-0000-0000-0000CC330000}"/>
    <cellStyle name="vnhead1 3" xfId="7650" xr:uid="{00000000-0005-0000-0000-0000CD330000}"/>
    <cellStyle name="vnhead1 3 2" xfId="7108" xr:uid="{00000000-0005-0000-0000-0000CE330000}"/>
    <cellStyle name="vnhead1 3 2 2" xfId="9781" xr:uid="{00000000-0005-0000-0000-0000CF330000}"/>
    <cellStyle name="vnhead1 3 2 3" xfId="11754" xr:uid="{00000000-0005-0000-0000-0000D0330000}"/>
    <cellStyle name="vnhead1 3 3" xfId="8708" xr:uid="{00000000-0005-0000-0000-0000D1330000}"/>
    <cellStyle name="vnhead1 3 3 2" xfId="12377" xr:uid="{00000000-0005-0000-0000-0000D2330000}"/>
    <cellStyle name="vnhead1 3 4" xfId="10738" xr:uid="{00000000-0005-0000-0000-0000D3330000}"/>
    <cellStyle name="vnhead1 4" xfId="7613" xr:uid="{00000000-0005-0000-0000-0000D4330000}"/>
    <cellStyle name="vnhead1 4 2" xfId="7136" xr:uid="{00000000-0005-0000-0000-0000D5330000}"/>
    <cellStyle name="vnhead1 4 2 2" xfId="9754" xr:uid="{00000000-0005-0000-0000-0000D6330000}"/>
    <cellStyle name="vnhead1 4 2 3" xfId="11727" xr:uid="{00000000-0005-0000-0000-0000D7330000}"/>
    <cellStyle name="vnhead1 4 3" xfId="8675" xr:uid="{00000000-0005-0000-0000-0000D8330000}"/>
    <cellStyle name="vnhead1 4 3 2" xfId="12359" xr:uid="{00000000-0005-0000-0000-0000D9330000}"/>
    <cellStyle name="vnhead1 4 4" xfId="10705" xr:uid="{00000000-0005-0000-0000-0000DA330000}"/>
    <cellStyle name="vnhead1 5" xfId="7567" xr:uid="{00000000-0005-0000-0000-0000DB330000}"/>
    <cellStyle name="vnhead1 5 2" xfId="7153" xr:uid="{00000000-0005-0000-0000-0000DC330000}"/>
    <cellStyle name="vnhead1 5 2 2" xfId="9722" xr:uid="{00000000-0005-0000-0000-0000DD330000}"/>
    <cellStyle name="vnhead1 5 2 3" xfId="11695" xr:uid="{00000000-0005-0000-0000-0000DE330000}"/>
    <cellStyle name="vnhead1 5 3" xfId="8631" xr:uid="{00000000-0005-0000-0000-0000DF330000}"/>
    <cellStyle name="vnhead1 5 3 2" xfId="12687" xr:uid="{00000000-0005-0000-0000-0000E0330000}"/>
    <cellStyle name="vnhead1 5 4" xfId="10661" xr:uid="{00000000-0005-0000-0000-0000E1330000}"/>
    <cellStyle name="vnhead1 6" xfId="7469" xr:uid="{00000000-0005-0000-0000-0000E2330000}"/>
    <cellStyle name="vnhead1 6 2" xfId="6898" xr:uid="{00000000-0005-0000-0000-0000E3330000}"/>
    <cellStyle name="vnhead1 6 2 2" xfId="9640" xr:uid="{00000000-0005-0000-0000-0000E4330000}"/>
    <cellStyle name="vnhead1 6 2 3" xfId="11613" xr:uid="{00000000-0005-0000-0000-0000E5330000}"/>
    <cellStyle name="vnhead1 6 3" xfId="8536" xr:uid="{00000000-0005-0000-0000-0000E6330000}"/>
    <cellStyle name="vnhead1 6 4" xfId="10566" xr:uid="{00000000-0005-0000-0000-0000E7330000}"/>
    <cellStyle name="vnhead1 7" xfId="7794" xr:uid="{00000000-0005-0000-0000-0000E8330000}"/>
    <cellStyle name="vnhead1 7 2" xfId="6937" xr:uid="{00000000-0005-0000-0000-0000E9330000}"/>
    <cellStyle name="vnhead1 7 2 2" xfId="9902" xr:uid="{00000000-0005-0000-0000-0000EA330000}"/>
    <cellStyle name="vnhead1 7 2 3" xfId="11875" xr:uid="{00000000-0005-0000-0000-0000EB330000}"/>
    <cellStyle name="vnhead1 7 3" xfId="8846" xr:uid="{00000000-0005-0000-0000-0000EC330000}"/>
    <cellStyle name="vnhead1 7 4" xfId="10876" xr:uid="{00000000-0005-0000-0000-0000ED330000}"/>
    <cellStyle name="vnhead1 8" xfId="7902" xr:uid="{00000000-0005-0000-0000-0000EE330000}"/>
    <cellStyle name="vnhead1 8 2" xfId="8050" xr:uid="{00000000-0005-0000-0000-0000EF330000}"/>
    <cellStyle name="vnhead1 8 2 2" xfId="10082" xr:uid="{00000000-0005-0000-0000-0000F0330000}"/>
    <cellStyle name="vnhead1 8 2 3" xfId="12055" xr:uid="{00000000-0005-0000-0000-0000F1330000}"/>
    <cellStyle name="vnhead1 8 3" xfId="8948" xr:uid="{00000000-0005-0000-0000-0000F2330000}"/>
    <cellStyle name="vnhead1 8 4" xfId="10978" xr:uid="{00000000-0005-0000-0000-0000F3330000}"/>
    <cellStyle name="vnhead1 9" xfId="8308" xr:uid="{00000000-0005-0000-0000-0000F4330000}"/>
    <cellStyle name="vnhead1 9 2" xfId="9112" xr:uid="{00000000-0005-0000-0000-0000F5330000}"/>
    <cellStyle name="vnhead1 9 3" xfId="11086" xr:uid="{00000000-0005-0000-0000-0000F6330000}"/>
    <cellStyle name="vnhead2" xfId="1582" xr:uid="{00000000-0005-0000-0000-0000F7330000}"/>
    <cellStyle name="vnhead2 2" xfId="7671" xr:uid="{00000000-0005-0000-0000-0000F8330000}"/>
    <cellStyle name="vnhead2 2 2" xfId="7172" xr:uid="{00000000-0005-0000-0000-0000F9330000}"/>
    <cellStyle name="vnhead2 2 2 2" xfId="9798" xr:uid="{00000000-0005-0000-0000-0000FA330000}"/>
    <cellStyle name="vnhead2 2 2 2 2" xfId="13164" xr:uid="{00000000-0005-0000-0000-0000FB330000}"/>
    <cellStyle name="vnhead2 2 2 3" xfId="11771" xr:uid="{00000000-0005-0000-0000-0000FC330000}"/>
    <cellStyle name="vnhead2 2 3" xfId="8727" xr:uid="{00000000-0005-0000-0000-0000FD330000}"/>
    <cellStyle name="vnhead2 2 3 2" xfId="12387" xr:uid="{00000000-0005-0000-0000-0000FE330000}"/>
    <cellStyle name="vnhead2 2 4" xfId="10757" xr:uid="{00000000-0005-0000-0000-0000FF330000}"/>
    <cellStyle name="vnhead2 3" xfId="7715" xr:uid="{00000000-0005-0000-0000-000000340000}"/>
    <cellStyle name="vnhead2 3 2" xfId="7055" xr:uid="{00000000-0005-0000-0000-000001340000}"/>
    <cellStyle name="vnhead2 3 2 2" xfId="9347" xr:uid="{00000000-0005-0000-0000-000002340000}"/>
    <cellStyle name="vnhead2 3 2 2 2" xfId="12978" xr:uid="{00000000-0005-0000-0000-000003340000}"/>
    <cellStyle name="vnhead2 3 2 3" xfId="11320" xr:uid="{00000000-0005-0000-0000-000004340000}"/>
    <cellStyle name="vnhead2 3 3" xfId="8770" xr:uid="{00000000-0005-0000-0000-000005340000}"/>
    <cellStyle name="vnhead2 3 3 2" xfId="12744" xr:uid="{00000000-0005-0000-0000-000006340000}"/>
    <cellStyle name="vnhead2 3 4" xfId="10800" xr:uid="{00000000-0005-0000-0000-000007340000}"/>
    <cellStyle name="vnhead2 4" xfId="7792" xr:uid="{00000000-0005-0000-0000-000008340000}"/>
    <cellStyle name="vnhead2 4 2" xfId="7180" xr:uid="{00000000-0005-0000-0000-000009340000}"/>
    <cellStyle name="vnhead2 4 2 2" xfId="9900" xr:uid="{00000000-0005-0000-0000-00000A340000}"/>
    <cellStyle name="vnhead2 4 2 2 2" xfId="13193" xr:uid="{00000000-0005-0000-0000-00000B340000}"/>
    <cellStyle name="vnhead2 4 2 3" xfId="11873" xr:uid="{00000000-0005-0000-0000-00000C340000}"/>
    <cellStyle name="vnhead2 4 3" xfId="8844" xr:uid="{00000000-0005-0000-0000-00000D340000}"/>
    <cellStyle name="vnhead2 4 4" xfId="10874" xr:uid="{00000000-0005-0000-0000-00000E340000}"/>
    <cellStyle name="vnhead2 5" xfId="7853" xr:uid="{00000000-0005-0000-0000-00000F340000}"/>
    <cellStyle name="vnhead2 5 2" xfId="8002" xr:uid="{00000000-0005-0000-0000-000010340000}"/>
    <cellStyle name="vnhead2 5 2 2" xfId="9945" xr:uid="{00000000-0005-0000-0000-000011340000}"/>
    <cellStyle name="vnhead2 5 2 2 2" xfId="13218" xr:uid="{00000000-0005-0000-0000-000012340000}"/>
    <cellStyle name="vnhead2 5 2 3" xfId="11918" xr:uid="{00000000-0005-0000-0000-000013340000}"/>
    <cellStyle name="vnhead2 5 3" xfId="8102" xr:uid="{00000000-0005-0000-0000-000014340000}"/>
    <cellStyle name="vnhead2 5 3 2" xfId="10132" xr:uid="{00000000-0005-0000-0000-000015340000}"/>
    <cellStyle name="vnhead2 5 3 2 2" xfId="13325" xr:uid="{00000000-0005-0000-0000-000016340000}"/>
    <cellStyle name="vnhead2 5 3 3" xfId="12105" xr:uid="{00000000-0005-0000-0000-000017340000}"/>
    <cellStyle name="vnhead2 5 4" xfId="8900" xr:uid="{00000000-0005-0000-0000-000018340000}"/>
    <cellStyle name="vnhead2 5 5" xfId="10930" xr:uid="{00000000-0005-0000-0000-000019340000}"/>
    <cellStyle name="vnhead2 6" xfId="8309" xr:uid="{00000000-0005-0000-0000-00001A340000}"/>
    <cellStyle name="vnhead2 6 2" xfId="9113" xr:uid="{00000000-0005-0000-0000-00001B340000}"/>
    <cellStyle name="vnhead2 6 2 2" xfId="12802" xr:uid="{00000000-0005-0000-0000-00001C340000}"/>
    <cellStyle name="vnhead2 6 3" xfId="11087" xr:uid="{00000000-0005-0000-0000-00001D340000}"/>
    <cellStyle name="vnhead2 7" xfId="8980" xr:uid="{00000000-0005-0000-0000-00001E340000}"/>
    <cellStyle name="vnhead2 7 2" xfId="11010" xr:uid="{00000000-0005-0000-0000-00001F340000}"/>
    <cellStyle name="vnhead2 8" xfId="10339" xr:uid="{00000000-0005-0000-0000-000020340000}"/>
    <cellStyle name="vnhead3" xfId="1583" xr:uid="{00000000-0005-0000-0000-000021340000}"/>
    <cellStyle name="vnhead3 2" xfId="7470" xr:uid="{00000000-0005-0000-0000-000022340000}"/>
    <cellStyle name="vnhead3 2 2" xfId="7011" xr:uid="{00000000-0005-0000-0000-000023340000}"/>
    <cellStyle name="vnhead3 2 2 2" xfId="9641" xr:uid="{00000000-0005-0000-0000-000024340000}"/>
    <cellStyle name="vnhead3 2 2 2 2" xfId="13151" xr:uid="{00000000-0005-0000-0000-000025340000}"/>
    <cellStyle name="vnhead3 2 2 3" xfId="11614" xr:uid="{00000000-0005-0000-0000-000026340000}"/>
    <cellStyle name="vnhead3 2 3" xfId="8537" xr:uid="{00000000-0005-0000-0000-000027340000}"/>
    <cellStyle name="vnhead3 2 3 2" xfId="12272" xr:uid="{00000000-0005-0000-0000-000028340000}"/>
    <cellStyle name="vnhead3 2 4" xfId="10567" xr:uid="{00000000-0005-0000-0000-000029340000}"/>
    <cellStyle name="vnhead3 3" xfId="7734" xr:uid="{00000000-0005-0000-0000-00002A340000}"/>
    <cellStyle name="vnhead3 3 2" xfId="7927" xr:uid="{00000000-0005-0000-0000-00002B340000}"/>
    <cellStyle name="vnhead3 3 2 2" xfId="10004" xr:uid="{00000000-0005-0000-0000-00002C340000}"/>
    <cellStyle name="vnhead3 3 2 2 2" xfId="13220" xr:uid="{00000000-0005-0000-0000-00002D340000}"/>
    <cellStyle name="vnhead3 3 2 3" xfId="11977" xr:uid="{00000000-0005-0000-0000-00002E340000}"/>
    <cellStyle name="vnhead3 3 3" xfId="8788" xr:uid="{00000000-0005-0000-0000-00002F340000}"/>
    <cellStyle name="vnhead3 3 3 2" xfId="12749" xr:uid="{00000000-0005-0000-0000-000030340000}"/>
    <cellStyle name="vnhead3 3 4" xfId="10818" xr:uid="{00000000-0005-0000-0000-000031340000}"/>
    <cellStyle name="vnhead3 4" xfId="7793" xr:uid="{00000000-0005-0000-0000-000032340000}"/>
    <cellStyle name="vnhead3 4 2" xfId="7215" xr:uid="{00000000-0005-0000-0000-000033340000}"/>
    <cellStyle name="vnhead3 4 2 2" xfId="9901" xr:uid="{00000000-0005-0000-0000-000034340000}"/>
    <cellStyle name="vnhead3 4 2 2 2" xfId="13194" xr:uid="{00000000-0005-0000-0000-000035340000}"/>
    <cellStyle name="vnhead3 4 2 3" xfId="11874" xr:uid="{00000000-0005-0000-0000-000036340000}"/>
    <cellStyle name="vnhead3 4 3" xfId="8845" xr:uid="{00000000-0005-0000-0000-000037340000}"/>
    <cellStyle name="vnhead3 4 4" xfId="10875" xr:uid="{00000000-0005-0000-0000-000038340000}"/>
    <cellStyle name="vnhead3 5" xfId="7854" xr:uid="{00000000-0005-0000-0000-000039340000}"/>
    <cellStyle name="vnhead3 5 2" xfId="8003" xr:uid="{00000000-0005-0000-0000-00003A340000}"/>
    <cellStyle name="vnhead3 5 2 2" xfId="9946" xr:uid="{00000000-0005-0000-0000-00003B340000}"/>
    <cellStyle name="vnhead3 5 2 2 2" xfId="13219" xr:uid="{00000000-0005-0000-0000-00003C340000}"/>
    <cellStyle name="vnhead3 5 2 3" xfId="11919" xr:uid="{00000000-0005-0000-0000-00003D340000}"/>
    <cellStyle name="vnhead3 5 3" xfId="8103" xr:uid="{00000000-0005-0000-0000-00003E340000}"/>
    <cellStyle name="vnhead3 5 3 2" xfId="10133" xr:uid="{00000000-0005-0000-0000-00003F340000}"/>
    <cellStyle name="vnhead3 5 3 2 2" xfId="13326" xr:uid="{00000000-0005-0000-0000-000040340000}"/>
    <cellStyle name="vnhead3 5 3 3" xfId="12106" xr:uid="{00000000-0005-0000-0000-000041340000}"/>
    <cellStyle name="vnhead3 5 4" xfId="8901" xr:uid="{00000000-0005-0000-0000-000042340000}"/>
    <cellStyle name="vnhead3 5 5" xfId="10931" xr:uid="{00000000-0005-0000-0000-000043340000}"/>
    <cellStyle name="vnhead3 6" xfId="8310" xr:uid="{00000000-0005-0000-0000-000044340000}"/>
    <cellStyle name="vnhead3 6 2" xfId="9114" xr:uid="{00000000-0005-0000-0000-000045340000}"/>
    <cellStyle name="vnhead3 6 2 2" xfId="12803" xr:uid="{00000000-0005-0000-0000-000046340000}"/>
    <cellStyle name="vnhead3 6 3" xfId="11088" xr:uid="{00000000-0005-0000-0000-000047340000}"/>
    <cellStyle name="vnhead3 7" xfId="8979" xr:uid="{00000000-0005-0000-0000-000048340000}"/>
    <cellStyle name="vnhead3 7 2" xfId="11009" xr:uid="{00000000-0005-0000-0000-000049340000}"/>
    <cellStyle name="vnhead3 8" xfId="10340" xr:uid="{00000000-0005-0000-0000-00004A340000}"/>
    <cellStyle name="vnhead4" xfId="1584" xr:uid="{00000000-0005-0000-0000-00004B340000}"/>
    <cellStyle name="vntxt1" xfId="1585" xr:uid="{00000000-0005-0000-0000-0000BD330000}"/>
    <cellStyle name="vntxt2" xfId="1586" xr:uid="{00000000-0005-0000-0000-0000BE330000}"/>
    <cellStyle name="Währung [0]_UXO VII" xfId="1587" xr:uid="{00000000-0005-0000-0000-00004C340000}"/>
    <cellStyle name="Währung_UXO VII" xfId="1588" xr:uid="{00000000-0005-0000-0000-00004D340000}"/>
    <cellStyle name="Walutowy [0]_Invoices2001Slovakia" xfId="1589" xr:uid="{00000000-0005-0000-0000-00004E340000}"/>
    <cellStyle name="Walutowy_Invoices2001Slovakia" xfId="1590" xr:uid="{00000000-0005-0000-0000-00004F340000}"/>
    <cellStyle name="Warning Text 2" xfId="1591" xr:uid="{00000000-0005-0000-0000-000050340000}"/>
    <cellStyle name="xuan" xfId="1592" xr:uid="{00000000-0005-0000-0000-000051340000}"/>
    <cellStyle name=" [0.00]_ Att. 1- Cover" xfId="1593" xr:uid="{00000000-0005-0000-0000-000052340000}"/>
    <cellStyle name="_ Att. 1- Cover" xfId="1594" xr:uid="{00000000-0005-0000-0000-000053340000}"/>
    <cellStyle name="?_ Att. 1- Cover" xfId="1595" xr:uid="{00000000-0005-0000-0000-000054340000}"/>
    <cellStyle name="똿뗦먛귟 [0.00]_PRODUCT DETAIL Q1" xfId="1596" xr:uid="{00000000-0005-0000-0000-000055340000}"/>
    <cellStyle name="똿뗦먛귟_PRODUCT DETAIL Q1" xfId="1597" xr:uid="{00000000-0005-0000-0000-000056340000}"/>
    <cellStyle name="믅됞 [0.00]_PRODUCT DETAIL Q1" xfId="1598" xr:uid="{00000000-0005-0000-0000-000057340000}"/>
    <cellStyle name="믅됞_PRODUCT DETAIL Q1" xfId="1599" xr:uid="{00000000-0005-0000-0000-000058340000}"/>
    <cellStyle name="백분율_††††† " xfId="1600" xr:uid="{00000000-0005-0000-0000-000059340000}"/>
    <cellStyle name="뷭?_BOOKSHIP" xfId="1601" xr:uid="{00000000-0005-0000-0000-00005A340000}"/>
    <cellStyle name="안건회계법인" xfId="1602" xr:uid="{00000000-0005-0000-0000-00005B340000}"/>
    <cellStyle name="콤마 [0]_ 비목별 월별기술 " xfId="1603" xr:uid="{00000000-0005-0000-0000-00005C340000}"/>
    <cellStyle name="콤마_ 비목별 월별기술 " xfId="1604" xr:uid="{00000000-0005-0000-0000-00005D340000}"/>
    <cellStyle name="통화 [0]_††††† " xfId="1605" xr:uid="{00000000-0005-0000-0000-00005E340000}"/>
    <cellStyle name="통화_††††† " xfId="1606" xr:uid="{00000000-0005-0000-0000-00005F340000}"/>
    <cellStyle name="표준_(정보부문)월별인원계획" xfId="1607" xr:uid="{00000000-0005-0000-0000-000060340000}"/>
    <cellStyle name="一般_00Q3902REV.1" xfId="1608" xr:uid="{00000000-0005-0000-0000-000061340000}"/>
    <cellStyle name="千分位[0]_00Q3902REV.1" xfId="1609" xr:uid="{00000000-0005-0000-0000-000062340000}"/>
    <cellStyle name="千分位_00Q3902REV.1" xfId="1610" xr:uid="{00000000-0005-0000-0000-000063340000}"/>
    <cellStyle name="桁区切り_NADUONG BQ (Draft)" xfId="1611" xr:uid="{00000000-0005-0000-0000-000064340000}"/>
    <cellStyle name="標準_(A1)BOQ " xfId="1612" xr:uid="{00000000-0005-0000-0000-000065340000}"/>
    <cellStyle name="貨幣 [0]_00Q3902REV.1" xfId="1613" xr:uid="{00000000-0005-0000-0000-000066340000}"/>
    <cellStyle name="貨幣[0]_BRE" xfId="1614" xr:uid="{00000000-0005-0000-0000-000067340000}"/>
    <cellStyle name="貨幣_00Q3902REV.1" xfId="1615" xr:uid="{00000000-0005-0000-0000-000068340000}"/>
    <cellStyle name="通貨_MITSUI1_BQ" xfId="1616" xr:uid="{00000000-0005-0000-0000-000069340000}"/>
  </cellStyles>
  <dxfs count="1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workbookViewId="0"/>
  </sheetViews>
  <sheetFormatPr defaultRowHeight="1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37"/>
  <sheetViews>
    <sheetView workbookViewId="0">
      <selection activeCell="E15" sqref="E15"/>
    </sheetView>
  </sheetViews>
  <sheetFormatPr defaultColWidth="9.125" defaultRowHeight="12.75"/>
  <cols>
    <col min="1" max="1" width="5.375" style="67" customWidth="1"/>
    <col min="2" max="2" width="47.125" style="67" customWidth="1"/>
    <col min="3" max="3" width="11.625" style="67" customWidth="1"/>
    <col min="4" max="4" width="11.875" style="67" customWidth="1"/>
    <col min="5" max="5" width="16.125" style="67" customWidth="1"/>
    <col min="6" max="6" width="9.125" style="67"/>
    <col min="7" max="9" width="11.875" style="67" customWidth="1"/>
    <col min="10" max="16384" width="9.125" style="67"/>
  </cols>
  <sheetData>
    <row r="1" spans="1:14" ht="18.75">
      <c r="A1" s="1058" t="s">
        <v>535</v>
      </c>
      <c r="B1" s="1058"/>
      <c r="C1" s="1058"/>
      <c r="D1" s="1058"/>
      <c r="E1" s="1058"/>
    </row>
    <row r="2" spans="1:14" ht="40.5" customHeight="1">
      <c r="A2" s="1059" t="s">
        <v>534</v>
      </c>
      <c r="B2" s="1059"/>
      <c r="C2" s="1059"/>
      <c r="D2" s="1059"/>
      <c r="E2" s="1059"/>
    </row>
    <row r="3" spans="1:14" ht="31.5" customHeight="1">
      <c r="A3" s="1060" t="str">
        <f>'B3'!A2:N2</f>
        <v>(Kèm theo Quyết định số: 2255/QĐ-UBND ngày 15 tháng 12 năm 2024 của UBND tỉnh Lạng Sơn)</v>
      </c>
      <c r="B3" s="1060"/>
      <c r="C3" s="1060"/>
      <c r="D3" s="1060"/>
      <c r="E3" s="1060"/>
      <c r="J3" s="1060"/>
      <c r="K3" s="1060"/>
      <c r="L3" s="1060"/>
      <c r="M3" s="1060"/>
      <c r="N3" s="1060"/>
    </row>
    <row r="4" spans="1:14" ht="26.25" customHeight="1">
      <c r="C4" s="1061" t="s">
        <v>1085</v>
      </c>
      <c r="D4" s="1061"/>
      <c r="E4" s="1061"/>
    </row>
    <row r="5" spans="1:14" ht="45" customHeight="1">
      <c r="A5" s="98" t="s">
        <v>88</v>
      </c>
      <c r="B5" s="98" t="s">
        <v>254</v>
      </c>
      <c r="C5" s="98" t="s">
        <v>533</v>
      </c>
      <c r="D5" s="98" t="s">
        <v>532</v>
      </c>
      <c r="E5" s="98" t="s">
        <v>531</v>
      </c>
      <c r="G5" s="97"/>
      <c r="H5" s="97"/>
      <c r="I5" s="97"/>
    </row>
    <row r="6" spans="1:14" ht="25.5" customHeight="1">
      <c r="A6" s="177"/>
      <c r="B6" s="96" t="s">
        <v>249</v>
      </c>
      <c r="C6" s="95">
        <f>C7+C9+C12+C14+C16+C19+C21+C22+C24</f>
        <v>379527.3</v>
      </c>
      <c r="D6" s="95">
        <f>D7+D9+D12+D14+D16+D19+D21+D22+D24</f>
        <v>23209.449999999997</v>
      </c>
      <c r="E6" s="95">
        <f>E7+E9+E12+E14+E16+E19+E21+E22+E24</f>
        <v>356317.85000000003</v>
      </c>
      <c r="F6" s="91"/>
      <c r="G6" s="97"/>
      <c r="H6" s="97"/>
      <c r="I6" s="97"/>
    </row>
    <row r="7" spans="1:14" s="82" customFormat="1" ht="25.5" customHeight="1">
      <c r="A7" s="73">
        <v>1</v>
      </c>
      <c r="B7" s="72" t="s">
        <v>530</v>
      </c>
      <c r="C7" s="71">
        <f>SUM(C8)</f>
        <v>9500</v>
      </c>
      <c r="D7" s="71">
        <f>SUM(D8)</f>
        <v>760</v>
      </c>
      <c r="E7" s="71">
        <f>SUM(E8)</f>
        <v>8740</v>
      </c>
      <c r="G7" s="94"/>
      <c r="H7" s="93"/>
      <c r="I7" s="93"/>
      <c r="J7" s="92"/>
    </row>
    <row r="8" spans="1:14" ht="30.75" customHeight="1">
      <c r="A8" s="76" t="s">
        <v>3</v>
      </c>
      <c r="B8" s="75" t="s">
        <v>529</v>
      </c>
      <c r="C8" s="74">
        <v>9500</v>
      </c>
      <c r="D8" s="74">
        <v>760</v>
      </c>
      <c r="E8" s="74">
        <v>8740</v>
      </c>
      <c r="G8" s="91"/>
    </row>
    <row r="9" spans="1:14" s="82" customFormat="1" ht="23.25" customHeight="1">
      <c r="A9" s="73">
        <v>2</v>
      </c>
      <c r="B9" s="72" t="s">
        <v>273</v>
      </c>
      <c r="C9" s="71">
        <f>SUM(C10:C11)</f>
        <v>270600</v>
      </c>
      <c r="D9" s="71">
        <f>SUM(D10:D11)</f>
        <v>1000</v>
      </c>
      <c r="E9" s="71">
        <f>SUM(E10:E11)</f>
        <v>269600</v>
      </c>
    </row>
    <row r="10" spans="1:14" ht="26.25" customHeight="1">
      <c r="A10" s="76" t="s">
        <v>3</v>
      </c>
      <c r="B10" s="75" t="s">
        <v>845</v>
      </c>
      <c r="C10" s="74">
        <f>SUM(D10:E10)</f>
        <v>20000</v>
      </c>
      <c r="D10" s="74">
        <v>400</v>
      </c>
      <c r="E10" s="74">
        <v>19600</v>
      </c>
    </row>
    <row r="11" spans="1:14" s="82" customFormat="1" ht="23.25" customHeight="1">
      <c r="A11" s="76" t="s">
        <v>3</v>
      </c>
      <c r="B11" s="175" t="s">
        <v>528</v>
      </c>
      <c r="C11" s="74">
        <f>SUM(D11:E11)</f>
        <v>250600</v>
      </c>
      <c r="D11" s="74">
        <v>600</v>
      </c>
      <c r="E11" s="74">
        <v>250000</v>
      </c>
    </row>
    <row r="12" spans="1:14" ht="29.25" customHeight="1">
      <c r="A12" s="83">
        <v>3</v>
      </c>
      <c r="B12" s="72" t="s">
        <v>346</v>
      </c>
      <c r="C12" s="71">
        <f>C13</f>
        <v>1560</v>
      </c>
      <c r="D12" s="71">
        <f>D13</f>
        <v>351</v>
      </c>
      <c r="E12" s="71">
        <f>E13</f>
        <v>1209</v>
      </c>
    </row>
    <row r="13" spans="1:14" ht="30.75" customHeight="1">
      <c r="A13" s="81" t="s">
        <v>3</v>
      </c>
      <c r="B13" s="75" t="s">
        <v>527</v>
      </c>
      <c r="C13" s="74">
        <v>1560</v>
      </c>
      <c r="D13" s="74">
        <v>351</v>
      </c>
      <c r="E13" s="74">
        <v>1209</v>
      </c>
    </row>
    <row r="14" spans="1:14" s="82" customFormat="1" ht="41.25" customHeight="1">
      <c r="A14" s="83">
        <v>4</v>
      </c>
      <c r="B14" s="90" t="s">
        <v>545</v>
      </c>
      <c r="C14" s="71">
        <f>SUM(C15:C15)</f>
        <v>47178.5</v>
      </c>
      <c r="D14" s="71">
        <f>SUM(D15:D15)</f>
        <v>18217.849999999999</v>
      </c>
      <c r="E14" s="71">
        <f>E15</f>
        <v>28960.65</v>
      </c>
    </row>
    <row r="15" spans="1:14" s="82" customFormat="1" ht="30.75" customHeight="1">
      <c r="A15" s="81" t="s">
        <v>3</v>
      </c>
      <c r="B15" s="75" t="s">
        <v>526</v>
      </c>
      <c r="C15" s="74">
        <f>D15+E15</f>
        <v>47178.5</v>
      </c>
      <c r="D15" s="74">
        <f>18000+217.85</f>
        <v>18217.849999999999</v>
      </c>
      <c r="E15" s="74">
        <f>27000+1960.65</f>
        <v>28960.65</v>
      </c>
      <c r="G15" s="89"/>
    </row>
    <row r="16" spans="1:14" s="84" customFormat="1" ht="30.75" customHeight="1">
      <c r="A16" s="80">
        <v>5</v>
      </c>
      <c r="B16" s="79" t="s">
        <v>366</v>
      </c>
      <c r="C16" s="78">
        <f>SUM(C17:C18)</f>
        <v>5100</v>
      </c>
      <c r="D16" s="78">
        <f>SUM(D17:D18)</f>
        <v>464</v>
      </c>
      <c r="E16" s="78">
        <f>SUM(E17:E18)</f>
        <v>4636</v>
      </c>
    </row>
    <row r="17" spans="1:8" s="84" customFormat="1" ht="30.75" customHeight="1">
      <c r="A17" s="88" t="s">
        <v>3</v>
      </c>
      <c r="B17" s="87" t="s">
        <v>525</v>
      </c>
      <c r="C17" s="86">
        <f>SUM(D17:E17)</f>
        <v>1000</v>
      </c>
      <c r="D17" s="86">
        <v>91</v>
      </c>
      <c r="E17" s="86">
        <v>909</v>
      </c>
    </row>
    <row r="18" spans="1:8" s="84" customFormat="1" ht="30.75" customHeight="1">
      <c r="A18" s="88" t="s">
        <v>3</v>
      </c>
      <c r="B18" s="87" t="s">
        <v>554</v>
      </c>
      <c r="C18" s="86">
        <f>SUM(D18:E18)</f>
        <v>4100</v>
      </c>
      <c r="D18" s="86">
        <v>373</v>
      </c>
      <c r="E18" s="86">
        <v>3727</v>
      </c>
      <c r="H18" s="85"/>
    </row>
    <row r="19" spans="1:8" s="82" customFormat="1" ht="30.75" customHeight="1">
      <c r="A19" s="83">
        <v>6</v>
      </c>
      <c r="B19" s="72" t="s">
        <v>524</v>
      </c>
      <c r="C19" s="71">
        <f>SUM(C20:C20)</f>
        <v>10988</v>
      </c>
      <c r="D19" s="71"/>
      <c r="E19" s="71">
        <f>SUM(E20:E20)</f>
        <v>10988</v>
      </c>
    </row>
    <row r="20" spans="1:8" ht="30.75" customHeight="1">
      <c r="A20" s="81" t="s">
        <v>3</v>
      </c>
      <c r="B20" s="75" t="s">
        <v>523</v>
      </c>
      <c r="C20" s="74">
        <f>SUM(D20:E20)</f>
        <v>10988</v>
      </c>
      <c r="D20" s="74"/>
      <c r="E20" s="74">
        <v>10988</v>
      </c>
    </row>
    <row r="21" spans="1:8" s="77" customFormat="1" ht="30.75" customHeight="1">
      <c r="A21" s="80">
        <v>7</v>
      </c>
      <c r="B21" s="79" t="s">
        <v>846</v>
      </c>
      <c r="C21" s="78">
        <f>SUM(D21:E21)</f>
        <v>17850</v>
      </c>
      <c r="D21" s="78"/>
      <c r="E21" s="78">
        <v>17850</v>
      </c>
    </row>
    <row r="22" spans="1:8" ht="30.75" customHeight="1">
      <c r="A22" s="73">
        <v>8</v>
      </c>
      <c r="B22" s="72" t="s">
        <v>495</v>
      </c>
      <c r="C22" s="71">
        <f>SUM(C23)</f>
        <v>13850.800000000001</v>
      </c>
      <c r="D22" s="71">
        <f>SUM(D23)</f>
        <v>2416.6</v>
      </c>
      <c r="E22" s="71">
        <f>SUM(E23)</f>
        <v>11434.2</v>
      </c>
    </row>
    <row r="23" spans="1:8" ht="30.75" customHeight="1">
      <c r="A23" s="76" t="s">
        <v>3</v>
      </c>
      <c r="B23" s="75" t="s">
        <v>522</v>
      </c>
      <c r="C23" s="74">
        <f>SUM(D23:E23)</f>
        <v>13850.800000000001</v>
      </c>
      <c r="D23" s="74">
        <v>2416.6</v>
      </c>
      <c r="E23" s="74">
        <v>11434.2</v>
      </c>
    </row>
    <row r="24" spans="1:8" ht="31.5" customHeight="1">
      <c r="A24" s="73">
        <v>9</v>
      </c>
      <c r="B24" s="72" t="s">
        <v>448</v>
      </c>
      <c r="C24" s="71">
        <f>C25</f>
        <v>2900</v>
      </c>
      <c r="D24" s="71">
        <f>D25</f>
        <v>0</v>
      </c>
      <c r="E24" s="71">
        <f>E25</f>
        <v>2900</v>
      </c>
    </row>
    <row r="25" spans="1:8" ht="44.25" customHeight="1">
      <c r="A25" s="70" t="s">
        <v>276</v>
      </c>
      <c r="B25" s="176" t="s">
        <v>521</v>
      </c>
      <c r="C25" s="69">
        <f>D25+E25</f>
        <v>2900</v>
      </c>
      <c r="D25" s="69"/>
      <c r="E25" s="69">
        <v>2900</v>
      </c>
    </row>
    <row r="26" spans="1:8">
      <c r="C26" s="68"/>
      <c r="D26" s="68"/>
      <c r="E26" s="68"/>
    </row>
    <row r="27" spans="1:8">
      <c r="C27" s="68"/>
      <c r="D27" s="68"/>
      <c r="E27" s="68"/>
    </row>
    <row r="28" spans="1:8">
      <c r="C28" s="68"/>
      <c r="D28" s="68"/>
      <c r="E28" s="68"/>
    </row>
    <row r="29" spans="1:8">
      <c r="C29" s="68"/>
      <c r="D29" s="68"/>
      <c r="E29" s="68"/>
    </row>
    <row r="30" spans="1:8">
      <c r="C30" s="68"/>
      <c r="D30" s="68"/>
      <c r="E30" s="68"/>
    </row>
    <row r="31" spans="1:8">
      <c r="C31" s="68"/>
      <c r="D31" s="68"/>
      <c r="E31" s="68"/>
    </row>
    <row r="32" spans="1:8">
      <c r="C32" s="68"/>
      <c r="D32" s="68"/>
      <c r="E32" s="68"/>
    </row>
    <row r="33" spans="3:5">
      <c r="C33" s="68"/>
      <c r="D33" s="68"/>
      <c r="E33" s="68"/>
    </row>
    <row r="34" spans="3:5">
      <c r="C34" s="68"/>
      <c r="D34" s="68"/>
      <c r="E34" s="68"/>
    </row>
    <row r="35" spans="3:5">
      <c r="C35" s="68"/>
      <c r="D35" s="68"/>
      <c r="E35" s="68"/>
    </row>
    <row r="36" spans="3:5">
      <c r="C36" s="68"/>
      <c r="D36" s="68"/>
      <c r="E36" s="68"/>
    </row>
    <row r="37" spans="3:5">
      <c r="C37" s="68"/>
      <c r="D37" s="68"/>
      <c r="E37" s="68"/>
    </row>
  </sheetData>
  <mergeCells count="5">
    <mergeCell ref="A1:E1"/>
    <mergeCell ref="A2:E2"/>
    <mergeCell ref="A3:E3"/>
    <mergeCell ref="J3:N3"/>
    <mergeCell ref="C4:E4"/>
  </mergeCells>
  <printOptions horizontalCentered="1"/>
  <pageMargins left="0.5" right="0.2" top="0.7" bottom="0.196850393700787" header="0.31496062992126" footer="0.31496062992126"/>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S249"/>
  <sheetViews>
    <sheetView zoomScale="80" zoomScaleNormal="80" workbookViewId="0">
      <selection sqref="A1:IV1"/>
    </sheetView>
  </sheetViews>
  <sheetFormatPr defaultColWidth="9.125" defaultRowHeight="27" customHeight="1"/>
  <cols>
    <col min="1" max="1" width="6.125" style="102" customWidth="1"/>
    <col min="2" max="2" width="33" style="101" customWidth="1"/>
    <col min="3" max="3" width="27.125" style="101" customWidth="1"/>
    <col min="4" max="4" width="13.875" style="99" customWidth="1"/>
    <col min="5" max="5" width="10.625" style="99" customWidth="1"/>
    <col min="6" max="6" width="12.125" style="99" customWidth="1"/>
    <col min="7" max="7" width="13.625" style="99" customWidth="1"/>
    <col min="8" max="8" width="13.375" style="99" customWidth="1"/>
    <col min="9" max="9" width="10.875" style="99" customWidth="1"/>
    <col min="10" max="10" width="10.125" style="99" customWidth="1"/>
    <col min="11" max="11" width="12.875" style="99" customWidth="1"/>
    <col min="12" max="12" width="12.625" style="99" customWidth="1"/>
    <col min="13" max="13" width="14" style="100" customWidth="1"/>
    <col min="14" max="14" width="13.125" style="100" customWidth="1"/>
    <col min="15" max="15" width="12.625" style="99" customWidth="1"/>
    <col min="16" max="16" width="27.875" style="101" customWidth="1"/>
    <col min="17" max="17" width="12.375" style="101" customWidth="1"/>
    <col min="18" max="18" width="11.375" style="101" customWidth="1"/>
    <col min="19" max="16384" width="9.125" style="101"/>
  </cols>
  <sheetData>
    <row r="1" spans="1:19" ht="27" customHeight="1">
      <c r="A1" s="1070" t="s">
        <v>1079</v>
      </c>
      <c r="B1" s="1071"/>
      <c r="C1" s="1071"/>
      <c r="D1" s="1071"/>
      <c r="E1" s="1071"/>
      <c r="F1" s="1071"/>
      <c r="G1" s="1071"/>
      <c r="H1" s="1071"/>
      <c r="I1" s="1071"/>
      <c r="J1" s="1071"/>
      <c r="K1" s="1071"/>
      <c r="L1" s="1071"/>
      <c r="M1" s="1071"/>
      <c r="N1" s="1071"/>
      <c r="O1" s="1071"/>
      <c r="P1" s="1071"/>
    </row>
    <row r="2" spans="1:19" ht="27" customHeight="1">
      <c r="A2" s="1072" t="str">
        <f>'B4'!A3:E3</f>
        <v>(Kèm theo Quyết định số: 2255/QĐ-UBND ngày 15 tháng 12 năm 2024 của UBND tỉnh Lạng Sơn)</v>
      </c>
      <c r="B2" s="1072"/>
      <c r="C2" s="1072"/>
      <c r="D2" s="1072"/>
      <c r="E2" s="1072"/>
      <c r="F2" s="1072"/>
      <c r="G2" s="1072"/>
      <c r="H2" s="1072"/>
      <c r="I2" s="1072"/>
      <c r="J2" s="1072"/>
      <c r="K2" s="1072"/>
      <c r="L2" s="1072"/>
      <c r="M2" s="1072"/>
      <c r="N2" s="1072"/>
      <c r="O2" s="1072"/>
      <c r="P2" s="1072"/>
    </row>
    <row r="3" spans="1:19" ht="27" customHeight="1">
      <c r="N3" s="1073" t="s">
        <v>269</v>
      </c>
      <c r="O3" s="1073"/>
      <c r="P3" s="1073"/>
    </row>
    <row r="4" spans="1:19" ht="27" customHeight="1">
      <c r="A4" s="1074" t="s">
        <v>0</v>
      </c>
      <c r="B4" s="1074" t="s">
        <v>739</v>
      </c>
      <c r="C4" s="1074" t="s">
        <v>738</v>
      </c>
      <c r="D4" s="1077" t="s">
        <v>85</v>
      </c>
      <c r="E4" s="1079" t="s">
        <v>90</v>
      </c>
      <c r="F4" s="1080"/>
      <c r="G4" s="1081"/>
      <c r="H4" s="1077" t="s">
        <v>737</v>
      </c>
      <c r="I4" s="1077" t="s">
        <v>736</v>
      </c>
      <c r="J4" s="1077" t="s">
        <v>735</v>
      </c>
      <c r="K4" s="1077" t="s">
        <v>734</v>
      </c>
      <c r="L4" s="1079" t="s">
        <v>90</v>
      </c>
      <c r="M4" s="1080"/>
      <c r="N4" s="1080"/>
      <c r="O4" s="1081"/>
      <c r="P4" s="1074" t="s">
        <v>245</v>
      </c>
    </row>
    <row r="5" spans="1:19" ht="27" customHeight="1">
      <c r="A5" s="1075"/>
      <c r="B5" s="1076"/>
      <c r="C5" s="1075"/>
      <c r="D5" s="1078"/>
      <c r="E5" s="173" t="s">
        <v>733</v>
      </c>
      <c r="F5" s="173" t="s">
        <v>732</v>
      </c>
      <c r="G5" s="173" t="s">
        <v>731</v>
      </c>
      <c r="H5" s="1078"/>
      <c r="I5" s="1078"/>
      <c r="J5" s="1078"/>
      <c r="K5" s="1078"/>
      <c r="L5" s="173" t="s">
        <v>730</v>
      </c>
      <c r="M5" s="174" t="s">
        <v>729</v>
      </c>
      <c r="N5" s="174" t="s">
        <v>728</v>
      </c>
      <c r="O5" s="173" t="s">
        <v>727</v>
      </c>
      <c r="P5" s="1082"/>
    </row>
    <row r="6" spans="1:19" ht="27" customHeight="1">
      <c r="A6" s="172" t="s">
        <v>27</v>
      </c>
      <c r="B6" s="172" t="s">
        <v>28</v>
      </c>
      <c r="C6" s="172" t="s">
        <v>212</v>
      </c>
      <c r="D6" s="171" t="s">
        <v>726</v>
      </c>
      <c r="E6" s="168">
        <v>2</v>
      </c>
      <c r="F6" s="168">
        <v>3</v>
      </c>
      <c r="G6" s="168">
        <v>4</v>
      </c>
      <c r="H6" s="171" t="s">
        <v>725</v>
      </c>
      <c r="I6" s="168">
        <v>6</v>
      </c>
      <c r="J6" s="168">
        <v>7</v>
      </c>
      <c r="K6" s="170" t="s">
        <v>724</v>
      </c>
      <c r="L6" s="168">
        <v>9</v>
      </c>
      <c r="M6" s="169" t="s">
        <v>723</v>
      </c>
      <c r="N6" s="168">
        <v>11</v>
      </c>
      <c r="O6" s="168">
        <v>12</v>
      </c>
      <c r="P6" s="167">
        <v>13</v>
      </c>
    </row>
    <row r="7" spans="1:19" s="103" customFormat="1" ht="27" customHeight="1">
      <c r="A7" s="178"/>
      <c r="B7" s="178"/>
      <c r="C7" s="179" t="s">
        <v>249</v>
      </c>
      <c r="D7" s="180">
        <f t="shared" ref="D7:O7" si="0">D8+D69+D76+D82+D86+D94+D100+D106+D133+D150+D183+D192+D197+D202+D206+D209+D210+D218+D233+D236+D242</f>
        <v>509599.64</v>
      </c>
      <c r="E7" s="180">
        <f t="shared" si="0"/>
        <v>6394</v>
      </c>
      <c r="F7" s="180">
        <f t="shared" si="0"/>
        <v>52276</v>
      </c>
      <c r="G7" s="180">
        <f t="shared" si="0"/>
        <v>450929.64</v>
      </c>
      <c r="H7" s="180">
        <f t="shared" si="0"/>
        <v>509758.56036363635</v>
      </c>
      <c r="I7" s="180">
        <f t="shared" si="0"/>
        <v>23444.69</v>
      </c>
      <c r="J7" s="180">
        <f t="shared" si="0"/>
        <v>7179.4303636363629</v>
      </c>
      <c r="K7" s="180">
        <f t="shared" si="0"/>
        <v>479134.44300000003</v>
      </c>
      <c r="L7" s="180">
        <f t="shared" si="0"/>
        <v>174123.51300000001</v>
      </c>
      <c r="M7" s="180">
        <f t="shared" si="0"/>
        <v>15593.640000000003</v>
      </c>
      <c r="N7" s="180">
        <f t="shared" si="0"/>
        <v>1906</v>
      </c>
      <c r="O7" s="180">
        <f t="shared" si="0"/>
        <v>287511.28999999998</v>
      </c>
      <c r="P7" s="178"/>
      <c r="S7" s="166"/>
    </row>
    <row r="8" spans="1:19" s="103" customFormat="1" ht="27" customHeight="1">
      <c r="A8" s="116">
        <v>1</v>
      </c>
      <c r="B8" s="157" t="s">
        <v>410</v>
      </c>
      <c r="C8" s="110"/>
      <c r="D8" s="122">
        <f t="shared" ref="D8:O8" si="1">D9+D39</f>
        <v>28481.239999999998</v>
      </c>
      <c r="E8" s="122">
        <f t="shared" si="1"/>
        <v>0</v>
      </c>
      <c r="F8" s="122">
        <f t="shared" si="1"/>
        <v>0</v>
      </c>
      <c r="G8" s="122">
        <f t="shared" si="1"/>
        <v>28481.239999999998</v>
      </c>
      <c r="H8" s="122">
        <f t="shared" si="1"/>
        <v>28481.129999999997</v>
      </c>
      <c r="I8" s="122">
        <f t="shared" si="1"/>
        <v>0</v>
      </c>
      <c r="J8" s="122">
        <f t="shared" si="1"/>
        <v>346.43299999999999</v>
      </c>
      <c r="K8" s="122">
        <f t="shared" si="1"/>
        <v>28134.699999999997</v>
      </c>
      <c r="L8" s="122">
        <f t="shared" si="1"/>
        <v>4367.4000000000005</v>
      </c>
      <c r="M8" s="122">
        <f t="shared" si="1"/>
        <v>9509.0000000000018</v>
      </c>
      <c r="N8" s="122">
        <f t="shared" si="1"/>
        <v>398</v>
      </c>
      <c r="O8" s="122">
        <f t="shared" si="1"/>
        <v>13860.3</v>
      </c>
      <c r="P8" s="116"/>
      <c r="Q8" s="165"/>
      <c r="R8" s="165"/>
    </row>
    <row r="9" spans="1:19" s="66" customFormat="1" ht="27" customHeight="1">
      <c r="A9" s="164" t="s">
        <v>119</v>
      </c>
      <c r="B9" s="163"/>
      <c r="C9" s="161" t="s">
        <v>589</v>
      </c>
      <c r="D9" s="122">
        <f t="shared" ref="D9:O9" si="2">SUM(D10:D38)</f>
        <v>22759.94</v>
      </c>
      <c r="E9" s="122">
        <f t="shared" si="2"/>
        <v>0</v>
      </c>
      <c r="F9" s="122">
        <f t="shared" si="2"/>
        <v>0</v>
      </c>
      <c r="G9" s="122">
        <f t="shared" si="2"/>
        <v>22759.94</v>
      </c>
      <c r="H9" s="122">
        <f t="shared" si="2"/>
        <v>22759.85</v>
      </c>
      <c r="I9" s="122">
        <f t="shared" si="2"/>
        <v>0</v>
      </c>
      <c r="J9" s="122">
        <f t="shared" si="2"/>
        <v>0</v>
      </c>
      <c r="K9" s="122">
        <f t="shared" si="2"/>
        <v>22759.899999999998</v>
      </c>
      <c r="L9" s="122">
        <f t="shared" si="2"/>
        <v>0</v>
      </c>
      <c r="M9" s="122">
        <f t="shared" si="2"/>
        <v>9103.9000000000015</v>
      </c>
      <c r="N9" s="122">
        <f t="shared" si="2"/>
        <v>346.3</v>
      </c>
      <c r="O9" s="122">
        <f t="shared" si="2"/>
        <v>13309.699999999999</v>
      </c>
      <c r="P9" s="160"/>
    </row>
    <row r="10" spans="1:19" ht="27" customHeight="1">
      <c r="A10" s="112"/>
      <c r="B10" s="109" t="s">
        <v>719</v>
      </c>
      <c r="C10" s="109"/>
      <c r="D10" s="111">
        <f t="shared" ref="D10:D38" si="3">SUM(E10:G10)</f>
        <v>1700.3</v>
      </c>
      <c r="E10" s="111"/>
      <c r="F10" s="111"/>
      <c r="G10" s="403">
        <v>1700.3</v>
      </c>
      <c r="H10" s="111">
        <v>1700.25</v>
      </c>
      <c r="I10" s="111">
        <v>0</v>
      </c>
      <c r="J10" s="111">
        <v>0</v>
      </c>
      <c r="K10" s="111">
        <f t="shared" ref="K10:K38" si="4">SUM(L10:O10)</f>
        <v>1700.3000000000002</v>
      </c>
      <c r="L10" s="403"/>
      <c r="M10" s="111">
        <v>680.1</v>
      </c>
      <c r="N10" s="111">
        <v>0</v>
      </c>
      <c r="O10" s="111">
        <v>1020.2</v>
      </c>
      <c r="P10" s="181"/>
    </row>
    <row r="11" spans="1:19" ht="27" customHeight="1">
      <c r="A11" s="112"/>
      <c r="B11" s="109" t="s">
        <v>718</v>
      </c>
      <c r="C11" s="109"/>
      <c r="D11" s="111">
        <f t="shared" si="3"/>
        <v>470.3</v>
      </c>
      <c r="E11" s="111"/>
      <c r="F11" s="111"/>
      <c r="G11" s="111">
        <v>470.3</v>
      </c>
      <c r="H11" s="111">
        <f t="shared" ref="H11:H38" si="5">SUM(I11:K11)</f>
        <v>470.30000000000007</v>
      </c>
      <c r="I11" s="111"/>
      <c r="J11" s="111"/>
      <c r="K11" s="111">
        <f t="shared" si="4"/>
        <v>470.30000000000007</v>
      </c>
      <c r="L11" s="111"/>
      <c r="M11" s="403">
        <v>188.1</v>
      </c>
      <c r="N11" s="111"/>
      <c r="O11" s="111">
        <f>G11-J11-L11-M11</f>
        <v>282.20000000000005</v>
      </c>
      <c r="P11" s="181"/>
    </row>
    <row r="12" spans="1:19" ht="27" customHeight="1">
      <c r="A12" s="112"/>
      <c r="B12" s="109" t="s">
        <v>717</v>
      </c>
      <c r="C12" s="109"/>
      <c r="D12" s="111">
        <f t="shared" si="3"/>
        <v>230</v>
      </c>
      <c r="E12" s="111"/>
      <c r="F12" s="111"/>
      <c r="G12" s="111">
        <v>230</v>
      </c>
      <c r="H12" s="111">
        <f t="shared" si="5"/>
        <v>230</v>
      </c>
      <c r="I12" s="111"/>
      <c r="J12" s="111"/>
      <c r="K12" s="111">
        <f t="shared" si="4"/>
        <v>230</v>
      </c>
      <c r="L12" s="111"/>
      <c r="M12" s="403">
        <v>92</v>
      </c>
      <c r="N12" s="111"/>
      <c r="O12" s="111">
        <f>G12-J12-L12-M12</f>
        <v>138</v>
      </c>
      <c r="P12" s="181"/>
    </row>
    <row r="13" spans="1:19" ht="27" customHeight="1">
      <c r="A13" s="112"/>
      <c r="B13" s="109" t="s">
        <v>896</v>
      </c>
      <c r="C13" s="109"/>
      <c r="D13" s="111">
        <f t="shared" si="3"/>
        <v>533.9</v>
      </c>
      <c r="E13" s="111"/>
      <c r="F13" s="111"/>
      <c r="G13" s="403">
        <v>533.9</v>
      </c>
      <c r="H13" s="111">
        <f t="shared" si="5"/>
        <v>533.9</v>
      </c>
      <c r="I13" s="111">
        <v>0</v>
      </c>
      <c r="J13" s="111">
        <v>0</v>
      </c>
      <c r="K13" s="111">
        <f t="shared" si="4"/>
        <v>533.9</v>
      </c>
      <c r="L13" s="403"/>
      <c r="M13" s="111">
        <v>213.6</v>
      </c>
      <c r="N13" s="111">
        <v>0</v>
      </c>
      <c r="O13" s="111">
        <v>320.3</v>
      </c>
      <c r="P13" s="181"/>
    </row>
    <row r="14" spans="1:19" ht="27" customHeight="1">
      <c r="A14" s="112"/>
      <c r="B14" s="109" t="s">
        <v>716</v>
      </c>
      <c r="C14" s="109"/>
      <c r="D14" s="111">
        <f t="shared" si="3"/>
        <v>350</v>
      </c>
      <c r="E14" s="111"/>
      <c r="F14" s="111"/>
      <c r="G14" s="403">
        <v>350</v>
      </c>
      <c r="H14" s="111">
        <f t="shared" si="5"/>
        <v>350</v>
      </c>
      <c r="I14" s="403">
        <v>0</v>
      </c>
      <c r="J14" s="403">
        <v>0</v>
      </c>
      <c r="K14" s="111">
        <f t="shared" si="4"/>
        <v>350</v>
      </c>
      <c r="L14" s="403"/>
      <c r="M14" s="403">
        <v>140</v>
      </c>
      <c r="N14" s="403"/>
      <c r="O14" s="403">
        <v>210</v>
      </c>
      <c r="P14" s="181"/>
    </row>
    <row r="15" spans="1:19" ht="27" customHeight="1">
      <c r="A15" s="112"/>
      <c r="B15" s="109" t="s">
        <v>715</v>
      </c>
      <c r="C15" s="109"/>
      <c r="D15" s="111">
        <f t="shared" si="3"/>
        <v>250.3</v>
      </c>
      <c r="E15" s="111"/>
      <c r="F15" s="111"/>
      <c r="G15" s="403">
        <v>250.3</v>
      </c>
      <c r="H15" s="111">
        <f t="shared" si="5"/>
        <v>250.3</v>
      </c>
      <c r="I15" s="403">
        <v>0</v>
      </c>
      <c r="J15" s="403">
        <v>0</v>
      </c>
      <c r="K15" s="111">
        <f t="shared" si="4"/>
        <v>250.3</v>
      </c>
      <c r="L15" s="403"/>
      <c r="M15" s="403">
        <v>100.1</v>
      </c>
      <c r="N15" s="403">
        <v>0</v>
      </c>
      <c r="O15" s="403">
        <f>G15-L15-M15</f>
        <v>150.20000000000002</v>
      </c>
      <c r="P15" s="181"/>
    </row>
    <row r="16" spans="1:19" ht="27" customHeight="1">
      <c r="A16" s="112"/>
      <c r="B16" s="109" t="s">
        <v>714</v>
      </c>
      <c r="C16" s="109"/>
      <c r="D16" s="111">
        <f t="shared" si="3"/>
        <v>396.24</v>
      </c>
      <c r="E16" s="111"/>
      <c r="F16" s="111"/>
      <c r="G16" s="111">
        <v>396.24</v>
      </c>
      <c r="H16" s="111">
        <f t="shared" si="5"/>
        <v>396.2</v>
      </c>
      <c r="I16" s="111"/>
      <c r="J16" s="111"/>
      <c r="K16" s="111">
        <f t="shared" si="4"/>
        <v>396.2</v>
      </c>
      <c r="L16" s="111"/>
      <c r="M16" s="111">
        <v>158.5</v>
      </c>
      <c r="N16" s="111"/>
      <c r="O16" s="111">
        <v>237.7</v>
      </c>
      <c r="P16" s="181"/>
    </row>
    <row r="17" spans="1:16" ht="27" customHeight="1">
      <c r="A17" s="112"/>
      <c r="B17" s="109" t="s">
        <v>713</v>
      </c>
      <c r="C17" s="109"/>
      <c r="D17" s="111">
        <f t="shared" si="3"/>
        <v>145</v>
      </c>
      <c r="E17" s="111"/>
      <c r="F17" s="111"/>
      <c r="G17" s="403">
        <v>145</v>
      </c>
      <c r="H17" s="111">
        <f t="shared" si="5"/>
        <v>145</v>
      </c>
      <c r="I17" s="111">
        <v>0</v>
      </c>
      <c r="J17" s="111">
        <v>0</v>
      </c>
      <c r="K17" s="111">
        <f t="shared" si="4"/>
        <v>145</v>
      </c>
      <c r="L17" s="403"/>
      <c r="M17" s="111">
        <v>58</v>
      </c>
      <c r="N17" s="111">
        <v>0</v>
      </c>
      <c r="O17" s="111">
        <v>87</v>
      </c>
      <c r="P17" s="181"/>
    </row>
    <row r="18" spans="1:16" ht="27" customHeight="1">
      <c r="A18" s="112"/>
      <c r="B18" s="109" t="s">
        <v>712</v>
      </c>
      <c r="C18" s="109"/>
      <c r="D18" s="111">
        <f t="shared" si="3"/>
        <v>300</v>
      </c>
      <c r="E18" s="111"/>
      <c r="F18" s="111"/>
      <c r="G18" s="111">
        <v>300</v>
      </c>
      <c r="H18" s="111">
        <f t="shared" si="5"/>
        <v>300</v>
      </c>
      <c r="I18" s="111"/>
      <c r="J18" s="111"/>
      <c r="K18" s="111">
        <f t="shared" si="4"/>
        <v>300</v>
      </c>
      <c r="L18" s="111"/>
      <c r="M18" s="111">
        <v>120</v>
      </c>
      <c r="N18" s="111"/>
      <c r="O18" s="111">
        <f>D18-L18-M18-N18</f>
        <v>180</v>
      </c>
      <c r="P18" s="181"/>
    </row>
    <row r="19" spans="1:16" ht="27" customHeight="1">
      <c r="A19" s="112"/>
      <c r="B19" s="109" t="s">
        <v>711</v>
      </c>
      <c r="C19" s="109"/>
      <c r="D19" s="111">
        <f t="shared" si="3"/>
        <v>30</v>
      </c>
      <c r="E19" s="111"/>
      <c r="F19" s="111"/>
      <c r="G19" s="403">
        <v>30</v>
      </c>
      <c r="H19" s="111">
        <f t="shared" si="5"/>
        <v>30</v>
      </c>
      <c r="I19" s="111"/>
      <c r="J19" s="111"/>
      <c r="K19" s="111">
        <f t="shared" si="4"/>
        <v>30</v>
      </c>
      <c r="L19" s="403"/>
      <c r="M19" s="111">
        <v>12</v>
      </c>
      <c r="N19" s="111"/>
      <c r="O19" s="111">
        <f>D19-M19</f>
        <v>18</v>
      </c>
      <c r="P19" s="181"/>
    </row>
    <row r="20" spans="1:16" ht="27" customHeight="1">
      <c r="A20" s="112"/>
      <c r="B20" s="109" t="s">
        <v>710</v>
      </c>
      <c r="C20" s="109"/>
      <c r="D20" s="111">
        <f t="shared" si="3"/>
        <v>265.3</v>
      </c>
      <c r="E20" s="111"/>
      <c r="F20" s="111"/>
      <c r="G20" s="111">
        <v>265.3</v>
      </c>
      <c r="H20" s="111">
        <f t="shared" si="5"/>
        <v>265.29999999999995</v>
      </c>
      <c r="I20" s="111"/>
      <c r="J20" s="111"/>
      <c r="K20" s="111">
        <f t="shared" si="4"/>
        <v>265.29999999999995</v>
      </c>
      <c r="L20" s="111"/>
      <c r="M20" s="111">
        <v>106.1</v>
      </c>
      <c r="N20" s="111"/>
      <c r="O20" s="111">
        <v>159.19999999999999</v>
      </c>
      <c r="P20" s="181"/>
    </row>
    <row r="21" spans="1:16" ht="27" customHeight="1">
      <c r="A21" s="116"/>
      <c r="B21" s="109" t="s">
        <v>709</v>
      </c>
      <c r="C21" s="109"/>
      <c r="D21" s="111">
        <f t="shared" si="3"/>
        <v>260</v>
      </c>
      <c r="E21" s="111"/>
      <c r="F21" s="111"/>
      <c r="G21" s="111">
        <v>260</v>
      </c>
      <c r="H21" s="111">
        <f t="shared" si="5"/>
        <v>260</v>
      </c>
      <c r="I21" s="111">
        <v>0</v>
      </c>
      <c r="J21" s="111"/>
      <c r="K21" s="111">
        <f t="shared" si="4"/>
        <v>260</v>
      </c>
      <c r="L21" s="111"/>
      <c r="M21" s="111">
        <v>104</v>
      </c>
      <c r="N21" s="111"/>
      <c r="O21" s="111">
        <v>156</v>
      </c>
      <c r="P21" s="181"/>
    </row>
    <row r="22" spans="1:16" ht="27" customHeight="1">
      <c r="A22" s="112"/>
      <c r="B22" s="117" t="s">
        <v>708</v>
      </c>
      <c r="C22" s="109"/>
      <c r="D22" s="111">
        <f t="shared" si="3"/>
        <v>550</v>
      </c>
      <c r="E22" s="111"/>
      <c r="F22" s="111"/>
      <c r="G22" s="403">
        <v>550</v>
      </c>
      <c r="H22" s="111">
        <f t="shared" si="5"/>
        <v>550</v>
      </c>
      <c r="I22" s="403">
        <v>0</v>
      </c>
      <c r="J22" s="111"/>
      <c r="K22" s="111">
        <f t="shared" si="4"/>
        <v>550</v>
      </c>
      <c r="L22" s="403"/>
      <c r="M22" s="403">
        <v>220</v>
      </c>
      <c r="N22" s="111"/>
      <c r="O22" s="403">
        <f>G22-L22-M22</f>
        <v>330</v>
      </c>
      <c r="P22" s="181"/>
    </row>
    <row r="23" spans="1:16" ht="27" customHeight="1">
      <c r="A23" s="112"/>
      <c r="B23" s="109" t="s">
        <v>707</v>
      </c>
      <c r="C23" s="109"/>
      <c r="D23" s="111">
        <f t="shared" si="3"/>
        <v>180</v>
      </c>
      <c r="E23" s="111"/>
      <c r="F23" s="111"/>
      <c r="G23" s="111">
        <v>180</v>
      </c>
      <c r="H23" s="111">
        <f t="shared" si="5"/>
        <v>180</v>
      </c>
      <c r="I23" s="111"/>
      <c r="J23" s="111"/>
      <c r="K23" s="111">
        <f t="shared" si="4"/>
        <v>180</v>
      </c>
      <c r="L23" s="111"/>
      <c r="M23" s="111">
        <v>72</v>
      </c>
      <c r="N23" s="111"/>
      <c r="O23" s="111">
        <v>108</v>
      </c>
      <c r="P23" s="181"/>
    </row>
    <row r="24" spans="1:16" ht="27" customHeight="1">
      <c r="A24" s="116"/>
      <c r="B24" s="109" t="s">
        <v>722</v>
      </c>
      <c r="C24" s="109"/>
      <c r="D24" s="111">
        <f t="shared" si="3"/>
        <v>540</v>
      </c>
      <c r="E24" s="111"/>
      <c r="F24" s="111"/>
      <c r="G24" s="111">
        <v>540</v>
      </c>
      <c r="H24" s="111">
        <f t="shared" si="5"/>
        <v>540</v>
      </c>
      <c r="I24" s="111"/>
      <c r="J24" s="111"/>
      <c r="K24" s="111">
        <f t="shared" si="4"/>
        <v>540</v>
      </c>
      <c r="L24" s="111"/>
      <c r="M24" s="111">
        <v>216</v>
      </c>
      <c r="N24" s="111"/>
      <c r="O24" s="111">
        <f>D24-L24-M24-N24</f>
        <v>324</v>
      </c>
      <c r="P24" s="181"/>
    </row>
    <row r="25" spans="1:16" ht="27" customHeight="1">
      <c r="A25" s="116"/>
      <c r="B25" s="109" t="s">
        <v>705</v>
      </c>
      <c r="C25" s="109"/>
      <c r="D25" s="111">
        <f t="shared" si="3"/>
        <v>175</v>
      </c>
      <c r="E25" s="111"/>
      <c r="F25" s="111"/>
      <c r="G25" s="111">
        <v>175</v>
      </c>
      <c r="H25" s="111">
        <f t="shared" si="5"/>
        <v>175</v>
      </c>
      <c r="I25" s="111"/>
      <c r="J25" s="111"/>
      <c r="K25" s="111">
        <f t="shared" si="4"/>
        <v>175</v>
      </c>
      <c r="L25" s="111"/>
      <c r="M25" s="111">
        <v>70</v>
      </c>
      <c r="N25" s="111"/>
      <c r="O25" s="111">
        <f>D25-L25-M25-N25</f>
        <v>105</v>
      </c>
      <c r="P25" s="181"/>
    </row>
    <row r="26" spans="1:16" ht="27" customHeight="1">
      <c r="A26" s="116"/>
      <c r="B26" s="109" t="s">
        <v>721</v>
      </c>
      <c r="C26" s="109"/>
      <c r="D26" s="111">
        <f t="shared" si="3"/>
        <v>550</v>
      </c>
      <c r="E26" s="111"/>
      <c r="F26" s="111"/>
      <c r="G26" s="111">
        <v>550</v>
      </c>
      <c r="H26" s="111">
        <f t="shared" si="5"/>
        <v>550</v>
      </c>
      <c r="I26" s="111"/>
      <c r="J26" s="111"/>
      <c r="K26" s="111">
        <f t="shared" si="4"/>
        <v>550</v>
      </c>
      <c r="L26" s="111"/>
      <c r="M26" s="111">
        <v>220</v>
      </c>
      <c r="N26" s="111"/>
      <c r="O26" s="111">
        <f>D26-L26-M26-N26</f>
        <v>330</v>
      </c>
      <c r="P26" s="181"/>
    </row>
    <row r="27" spans="1:16" ht="27" customHeight="1">
      <c r="A27" s="112"/>
      <c r="B27" s="109" t="s">
        <v>703</v>
      </c>
      <c r="C27" s="109"/>
      <c r="D27" s="111">
        <f t="shared" si="3"/>
        <v>69</v>
      </c>
      <c r="E27" s="111"/>
      <c r="F27" s="111"/>
      <c r="G27" s="111">
        <v>69</v>
      </c>
      <c r="H27" s="111">
        <f t="shared" si="5"/>
        <v>69</v>
      </c>
      <c r="I27" s="111"/>
      <c r="J27" s="111"/>
      <c r="K27" s="111">
        <f t="shared" si="4"/>
        <v>69</v>
      </c>
      <c r="L27" s="111"/>
      <c r="M27" s="111">
        <v>27.6</v>
      </c>
      <c r="N27" s="111"/>
      <c r="O27" s="111">
        <f>G27-(J27+L27+M27)</f>
        <v>41.4</v>
      </c>
      <c r="P27" s="181"/>
    </row>
    <row r="28" spans="1:16" ht="27" customHeight="1">
      <c r="A28" s="112"/>
      <c r="B28" s="109" t="s">
        <v>702</v>
      </c>
      <c r="C28" s="109"/>
      <c r="D28" s="111">
        <f t="shared" si="3"/>
        <v>250</v>
      </c>
      <c r="E28" s="111"/>
      <c r="F28" s="111"/>
      <c r="G28" s="111">
        <v>250</v>
      </c>
      <c r="H28" s="111">
        <f t="shared" si="5"/>
        <v>250</v>
      </c>
      <c r="I28" s="111"/>
      <c r="J28" s="111"/>
      <c r="K28" s="111">
        <f t="shared" si="4"/>
        <v>250</v>
      </c>
      <c r="L28" s="111"/>
      <c r="M28" s="111">
        <v>100</v>
      </c>
      <c r="N28" s="111"/>
      <c r="O28" s="111">
        <f>G28-(J28+L28+M28)</f>
        <v>150</v>
      </c>
      <c r="P28" s="181"/>
    </row>
    <row r="29" spans="1:16" ht="27" customHeight="1">
      <c r="A29" s="112"/>
      <c r="B29" s="109" t="s">
        <v>701</v>
      </c>
      <c r="C29" s="109"/>
      <c r="D29" s="111">
        <f t="shared" si="3"/>
        <v>240</v>
      </c>
      <c r="E29" s="111"/>
      <c r="F29" s="111"/>
      <c r="G29" s="403">
        <v>240</v>
      </c>
      <c r="H29" s="111">
        <f t="shared" si="5"/>
        <v>240</v>
      </c>
      <c r="I29" s="111"/>
      <c r="J29" s="111"/>
      <c r="K29" s="111">
        <f t="shared" si="4"/>
        <v>240</v>
      </c>
      <c r="L29" s="403"/>
      <c r="M29" s="111">
        <v>96</v>
      </c>
      <c r="N29" s="111"/>
      <c r="O29" s="111">
        <f>D29-M29</f>
        <v>144</v>
      </c>
      <c r="P29" s="181"/>
    </row>
    <row r="30" spans="1:16" ht="27" customHeight="1">
      <c r="A30" s="112"/>
      <c r="B30" s="109" t="s">
        <v>699</v>
      </c>
      <c r="C30" s="109"/>
      <c r="D30" s="111">
        <f t="shared" si="3"/>
        <v>950</v>
      </c>
      <c r="E30" s="111"/>
      <c r="F30" s="111"/>
      <c r="G30" s="111">
        <v>950</v>
      </c>
      <c r="H30" s="111">
        <f t="shared" si="5"/>
        <v>950</v>
      </c>
      <c r="I30" s="111"/>
      <c r="J30" s="111"/>
      <c r="K30" s="111">
        <f t="shared" si="4"/>
        <v>950</v>
      </c>
      <c r="L30" s="111"/>
      <c r="M30" s="111">
        <v>380</v>
      </c>
      <c r="N30" s="111"/>
      <c r="O30" s="111">
        <f>D30-M30</f>
        <v>570</v>
      </c>
      <c r="P30" s="181"/>
    </row>
    <row r="31" spans="1:16" ht="27" customHeight="1">
      <c r="A31" s="112"/>
      <c r="B31" s="109" t="s">
        <v>698</v>
      </c>
      <c r="C31" s="109"/>
      <c r="D31" s="111">
        <f t="shared" si="3"/>
        <v>150</v>
      </c>
      <c r="E31" s="111"/>
      <c r="F31" s="111"/>
      <c r="G31" s="403">
        <v>150</v>
      </c>
      <c r="H31" s="111">
        <f t="shared" si="5"/>
        <v>150</v>
      </c>
      <c r="I31" s="111"/>
      <c r="J31" s="111"/>
      <c r="K31" s="111">
        <f t="shared" si="4"/>
        <v>150</v>
      </c>
      <c r="L31" s="111"/>
      <c r="M31" s="111">
        <v>60</v>
      </c>
      <c r="N31" s="111"/>
      <c r="O31" s="111">
        <f>D31-L31-M31</f>
        <v>90</v>
      </c>
      <c r="P31" s="181"/>
    </row>
    <row r="32" spans="1:16" ht="27" customHeight="1">
      <c r="A32" s="112"/>
      <c r="B32" s="109" t="s">
        <v>700</v>
      </c>
      <c r="C32" s="109"/>
      <c r="D32" s="111">
        <f t="shared" si="3"/>
        <v>320</v>
      </c>
      <c r="E32" s="111"/>
      <c r="F32" s="111"/>
      <c r="G32" s="111">
        <v>320</v>
      </c>
      <c r="H32" s="111">
        <f t="shared" si="5"/>
        <v>320</v>
      </c>
      <c r="I32" s="111"/>
      <c r="J32" s="111"/>
      <c r="K32" s="111">
        <f t="shared" si="4"/>
        <v>320</v>
      </c>
      <c r="L32" s="403"/>
      <c r="M32" s="403">
        <v>128</v>
      </c>
      <c r="N32" s="403">
        <v>0</v>
      </c>
      <c r="O32" s="403">
        <f>G32-L32-M32</f>
        <v>192</v>
      </c>
      <c r="P32" s="181"/>
    </row>
    <row r="33" spans="1:16" ht="27" customHeight="1">
      <c r="A33" s="112"/>
      <c r="B33" s="109" t="s">
        <v>697</v>
      </c>
      <c r="C33" s="109"/>
      <c r="D33" s="111">
        <f t="shared" si="3"/>
        <v>3645</v>
      </c>
      <c r="E33" s="111"/>
      <c r="F33" s="111"/>
      <c r="G33" s="111">
        <v>3645</v>
      </c>
      <c r="H33" s="111">
        <f t="shared" si="5"/>
        <v>3645</v>
      </c>
      <c r="I33" s="111"/>
      <c r="J33" s="111"/>
      <c r="K33" s="111">
        <f t="shared" si="4"/>
        <v>3645</v>
      </c>
      <c r="L33" s="111"/>
      <c r="M33" s="111">
        <v>1458</v>
      </c>
      <c r="N33" s="111">
        <v>133</v>
      </c>
      <c r="O33" s="111">
        <f>2187-133</f>
        <v>2054</v>
      </c>
      <c r="P33" s="181"/>
    </row>
    <row r="34" spans="1:16" s="162" customFormat="1" ht="27" customHeight="1">
      <c r="A34" s="182"/>
      <c r="B34" s="183" t="s">
        <v>696</v>
      </c>
      <c r="C34" s="183"/>
      <c r="D34" s="111">
        <f t="shared" si="3"/>
        <v>3105</v>
      </c>
      <c r="E34" s="111"/>
      <c r="F34" s="111"/>
      <c r="G34" s="111">
        <v>3105</v>
      </c>
      <c r="H34" s="111">
        <f t="shared" si="5"/>
        <v>3105</v>
      </c>
      <c r="I34" s="111"/>
      <c r="J34" s="111"/>
      <c r="K34" s="111">
        <f t="shared" si="4"/>
        <v>3105</v>
      </c>
      <c r="L34" s="403"/>
      <c r="M34" s="111">
        <v>1242</v>
      </c>
      <c r="N34" s="111">
        <v>131.30000000000001</v>
      </c>
      <c r="O34" s="111">
        <f>D34-M34-N34</f>
        <v>1731.7</v>
      </c>
      <c r="P34" s="183"/>
    </row>
    <row r="35" spans="1:16" ht="27" customHeight="1">
      <c r="A35" s="112"/>
      <c r="B35" s="109" t="s">
        <v>695</v>
      </c>
      <c r="C35" s="109"/>
      <c r="D35" s="111">
        <f t="shared" si="3"/>
        <v>1800</v>
      </c>
      <c r="E35" s="111"/>
      <c r="F35" s="111"/>
      <c r="G35" s="111">
        <v>1800</v>
      </c>
      <c r="H35" s="111">
        <f t="shared" si="5"/>
        <v>1800</v>
      </c>
      <c r="I35" s="111"/>
      <c r="J35" s="111"/>
      <c r="K35" s="111">
        <f t="shared" si="4"/>
        <v>1800</v>
      </c>
      <c r="L35" s="111"/>
      <c r="M35" s="403">
        <v>720</v>
      </c>
      <c r="N35" s="403"/>
      <c r="O35" s="111">
        <f>D35-M35-N35</f>
        <v>1080</v>
      </c>
      <c r="P35" s="181"/>
    </row>
    <row r="36" spans="1:16" ht="27" customHeight="1">
      <c r="A36" s="112"/>
      <c r="B36" s="109" t="s">
        <v>694</v>
      </c>
      <c r="C36" s="109"/>
      <c r="D36" s="111">
        <f t="shared" si="3"/>
        <v>1045</v>
      </c>
      <c r="E36" s="111"/>
      <c r="F36" s="111"/>
      <c r="G36" s="111">
        <v>1045</v>
      </c>
      <c r="H36" s="111">
        <f t="shared" si="5"/>
        <v>1045</v>
      </c>
      <c r="I36" s="111"/>
      <c r="J36" s="111"/>
      <c r="K36" s="111">
        <f t="shared" si="4"/>
        <v>1045</v>
      </c>
      <c r="L36" s="111"/>
      <c r="M36" s="111">
        <v>418</v>
      </c>
      <c r="N36" s="111"/>
      <c r="O36" s="111">
        <f>G36-M36</f>
        <v>627</v>
      </c>
      <c r="P36" s="181"/>
    </row>
    <row r="37" spans="1:16" ht="27" customHeight="1">
      <c r="A37" s="112"/>
      <c r="B37" s="109" t="s">
        <v>693</v>
      </c>
      <c r="C37" s="109"/>
      <c r="D37" s="111">
        <f t="shared" si="3"/>
        <v>279.60000000000002</v>
      </c>
      <c r="E37" s="111"/>
      <c r="F37" s="111"/>
      <c r="G37" s="111">
        <v>279.60000000000002</v>
      </c>
      <c r="H37" s="111">
        <f t="shared" si="5"/>
        <v>279.60000000000002</v>
      </c>
      <c r="I37" s="111"/>
      <c r="J37" s="111"/>
      <c r="K37" s="111">
        <f t="shared" si="4"/>
        <v>279.60000000000002</v>
      </c>
      <c r="L37" s="111"/>
      <c r="M37" s="111">
        <v>111.8</v>
      </c>
      <c r="N37" s="111"/>
      <c r="O37" s="111">
        <f>G37-M37</f>
        <v>167.8</v>
      </c>
      <c r="P37" s="181"/>
    </row>
    <row r="38" spans="1:16" ht="27" customHeight="1">
      <c r="A38" s="112"/>
      <c r="B38" s="109" t="s">
        <v>692</v>
      </c>
      <c r="C38" s="109"/>
      <c r="D38" s="111">
        <f t="shared" si="3"/>
        <v>3980</v>
      </c>
      <c r="E38" s="111"/>
      <c r="F38" s="111"/>
      <c r="G38" s="403">
        <v>3980</v>
      </c>
      <c r="H38" s="111">
        <f t="shared" si="5"/>
        <v>3980</v>
      </c>
      <c r="I38" s="403">
        <v>0</v>
      </c>
      <c r="J38" s="403">
        <v>0</v>
      </c>
      <c r="K38" s="111">
        <f t="shared" si="4"/>
        <v>3980</v>
      </c>
      <c r="L38" s="403"/>
      <c r="M38" s="403">
        <v>1592</v>
      </c>
      <c r="N38" s="403">
        <v>82</v>
      </c>
      <c r="O38" s="403">
        <f>1600+706</f>
        <v>2306</v>
      </c>
      <c r="P38" s="181"/>
    </row>
    <row r="39" spans="1:16" s="124" customFormat="1" ht="27" customHeight="1">
      <c r="A39" s="184" t="s">
        <v>122</v>
      </c>
      <c r="B39" s="161"/>
      <c r="C39" s="161" t="s">
        <v>720</v>
      </c>
      <c r="D39" s="122">
        <f t="shared" ref="D39:O39" si="6">SUM(D40:D68)</f>
        <v>5721.3</v>
      </c>
      <c r="E39" s="122">
        <f t="shared" si="6"/>
        <v>0</v>
      </c>
      <c r="F39" s="122">
        <f t="shared" si="6"/>
        <v>0</v>
      </c>
      <c r="G39" s="122">
        <f t="shared" si="6"/>
        <v>5721.3</v>
      </c>
      <c r="H39" s="122">
        <f t="shared" si="6"/>
        <v>5721.28</v>
      </c>
      <c r="I39" s="122">
        <f t="shared" si="6"/>
        <v>0</v>
      </c>
      <c r="J39" s="122">
        <f t="shared" si="6"/>
        <v>346.43299999999999</v>
      </c>
      <c r="K39" s="122">
        <f t="shared" si="6"/>
        <v>5374.8000000000011</v>
      </c>
      <c r="L39" s="122">
        <f t="shared" si="6"/>
        <v>4367.4000000000005</v>
      </c>
      <c r="M39" s="122">
        <f t="shared" si="6"/>
        <v>405.1</v>
      </c>
      <c r="N39" s="122">
        <f t="shared" si="6"/>
        <v>51.7</v>
      </c>
      <c r="O39" s="122">
        <f t="shared" si="6"/>
        <v>550.59999999999991</v>
      </c>
      <c r="P39" s="160"/>
    </row>
    <row r="40" spans="1:16" ht="27" customHeight="1">
      <c r="A40" s="112"/>
      <c r="B40" s="109" t="s">
        <v>719</v>
      </c>
      <c r="C40" s="109"/>
      <c r="D40" s="111">
        <v>97.9</v>
      </c>
      <c r="E40" s="111"/>
      <c r="F40" s="111"/>
      <c r="G40" s="403">
        <v>97.9</v>
      </c>
      <c r="H40" s="111">
        <v>97.9</v>
      </c>
      <c r="I40" s="111">
        <v>0</v>
      </c>
      <c r="J40" s="403">
        <v>6.8530000000000006</v>
      </c>
      <c r="K40" s="403">
        <f t="shared" ref="K40:K68" si="7">SUM(L40:O40)</f>
        <v>91</v>
      </c>
      <c r="L40" s="403">
        <v>91</v>
      </c>
      <c r="M40" s="403"/>
      <c r="N40" s="111"/>
      <c r="O40" s="111"/>
      <c r="P40" s="181"/>
    </row>
    <row r="41" spans="1:16" ht="27" customHeight="1">
      <c r="A41" s="112"/>
      <c r="B41" s="109" t="s">
        <v>718</v>
      </c>
      <c r="C41" s="109"/>
      <c r="D41" s="111">
        <f t="shared" ref="D41:D52" si="8">E41+F41+G41</f>
        <v>20</v>
      </c>
      <c r="E41" s="111"/>
      <c r="F41" s="111"/>
      <c r="G41" s="111">
        <v>20</v>
      </c>
      <c r="H41" s="111">
        <f t="shared" ref="H41:H63" si="9">SUM(I41:K41)</f>
        <v>20</v>
      </c>
      <c r="I41" s="111"/>
      <c r="J41" s="111">
        <v>2</v>
      </c>
      <c r="K41" s="403">
        <f t="shared" si="7"/>
        <v>18</v>
      </c>
      <c r="L41" s="111">
        <v>18</v>
      </c>
      <c r="M41" s="403"/>
      <c r="N41" s="111"/>
      <c r="O41" s="111"/>
      <c r="P41" s="181"/>
    </row>
    <row r="42" spans="1:16" ht="27" customHeight="1">
      <c r="A42" s="112"/>
      <c r="B42" s="109" t="s">
        <v>717</v>
      </c>
      <c r="C42" s="109"/>
      <c r="D42" s="111">
        <f t="shared" si="8"/>
        <v>21</v>
      </c>
      <c r="E42" s="111"/>
      <c r="F42" s="111"/>
      <c r="G42" s="111">
        <v>21</v>
      </c>
      <c r="H42" s="111">
        <f t="shared" si="9"/>
        <v>20.97</v>
      </c>
      <c r="I42" s="111"/>
      <c r="J42" s="111">
        <v>1.47</v>
      </c>
      <c r="K42" s="403">
        <f t="shared" si="7"/>
        <v>19.5</v>
      </c>
      <c r="L42" s="111">
        <v>19.5</v>
      </c>
      <c r="M42" s="403"/>
      <c r="N42" s="111"/>
      <c r="O42" s="111"/>
      <c r="P42" s="181"/>
    </row>
    <row r="43" spans="1:16" ht="27" customHeight="1">
      <c r="A43" s="112"/>
      <c r="B43" s="109" t="s">
        <v>896</v>
      </c>
      <c r="C43" s="109"/>
      <c r="D43" s="111">
        <f t="shared" si="8"/>
        <v>210</v>
      </c>
      <c r="E43" s="111"/>
      <c r="F43" s="111"/>
      <c r="G43" s="403">
        <v>210</v>
      </c>
      <c r="H43" s="111">
        <f t="shared" si="9"/>
        <v>210</v>
      </c>
      <c r="I43" s="111">
        <v>0</v>
      </c>
      <c r="J43" s="403">
        <v>21</v>
      </c>
      <c r="K43" s="403">
        <f t="shared" si="7"/>
        <v>189</v>
      </c>
      <c r="L43" s="403">
        <v>189</v>
      </c>
      <c r="M43" s="403"/>
      <c r="N43" s="111"/>
      <c r="O43" s="111"/>
      <c r="P43" s="181"/>
    </row>
    <row r="44" spans="1:16" ht="27" customHeight="1">
      <c r="A44" s="112"/>
      <c r="B44" s="109" t="s">
        <v>716</v>
      </c>
      <c r="C44" s="109"/>
      <c r="D44" s="111">
        <f t="shared" si="8"/>
        <v>115</v>
      </c>
      <c r="E44" s="111"/>
      <c r="F44" s="111"/>
      <c r="G44" s="403">
        <v>115</v>
      </c>
      <c r="H44" s="111">
        <f t="shared" si="9"/>
        <v>115</v>
      </c>
      <c r="I44" s="403">
        <v>0</v>
      </c>
      <c r="J44" s="403">
        <v>11.5</v>
      </c>
      <c r="K44" s="403">
        <f t="shared" si="7"/>
        <v>103.5</v>
      </c>
      <c r="L44" s="403">
        <v>103.5</v>
      </c>
      <c r="M44" s="403"/>
      <c r="N44" s="403"/>
      <c r="O44" s="403"/>
      <c r="P44" s="181"/>
    </row>
    <row r="45" spans="1:16" ht="27" customHeight="1">
      <c r="A45" s="112"/>
      <c r="B45" s="109" t="s">
        <v>715</v>
      </c>
      <c r="C45" s="109"/>
      <c r="D45" s="111">
        <f t="shared" si="8"/>
        <v>125.7</v>
      </c>
      <c r="E45" s="111"/>
      <c r="F45" s="111"/>
      <c r="G45" s="403">
        <v>125.7</v>
      </c>
      <c r="H45" s="111">
        <f t="shared" si="9"/>
        <v>125.666</v>
      </c>
      <c r="I45" s="403">
        <v>0</v>
      </c>
      <c r="J45" s="403">
        <v>12.566000000000001</v>
      </c>
      <c r="K45" s="403">
        <f t="shared" si="7"/>
        <v>113.1</v>
      </c>
      <c r="L45" s="403">
        <v>113.1</v>
      </c>
      <c r="M45" s="403"/>
      <c r="N45" s="403"/>
      <c r="O45" s="403"/>
      <c r="P45" s="181"/>
    </row>
    <row r="46" spans="1:16" ht="27" customHeight="1">
      <c r="A46" s="112"/>
      <c r="B46" s="109" t="s">
        <v>714</v>
      </c>
      <c r="C46" s="109"/>
      <c r="D46" s="111">
        <f t="shared" si="8"/>
        <v>130.19999999999999</v>
      </c>
      <c r="E46" s="111"/>
      <c r="F46" s="111"/>
      <c r="G46" s="111">
        <v>130.19999999999999</v>
      </c>
      <c r="H46" s="111">
        <f t="shared" si="9"/>
        <v>130.22399999999999</v>
      </c>
      <c r="I46" s="111"/>
      <c r="J46" s="111">
        <v>13.023999999999999</v>
      </c>
      <c r="K46" s="403">
        <f t="shared" si="7"/>
        <v>117.2</v>
      </c>
      <c r="L46" s="111">
        <v>117.2</v>
      </c>
      <c r="M46" s="111"/>
      <c r="N46" s="111"/>
      <c r="O46" s="111"/>
      <c r="P46" s="181"/>
    </row>
    <row r="47" spans="1:16" ht="27" customHeight="1">
      <c r="A47" s="112"/>
      <c r="B47" s="109" t="s">
        <v>713</v>
      </c>
      <c r="C47" s="109"/>
      <c r="D47" s="111">
        <f t="shared" si="8"/>
        <v>26</v>
      </c>
      <c r="E47" s="111"/>
      <c r="F47" s="111"/>
      <c r="G47" s="403">
        <v>26</v>
      </c>
      <c r="H47" s="111">
        <f t="shared" si="9"/>
        <v>26</v>
      </c>
      <c r="I47" s="111">
        <v>0</v>
      </c>
      <c r="J47" s="403">
        <v>2.6</v>
      </c>
      <c r="K47" s="403">
        <f t="shared" si="7"/>
        <v>23.4</v>
      </c>
      <c r="L47" s="403">
        <v>23.4</v>
      </c>
      <c r="M47" s="403"/>
      <c r="N47" s="111"/>
      <c r="O47" s="111"/>
      <c r="P47" s="181"/>
    </row>
    <row r="48" spans="1:16" ht="27" customHeight="1">
      <c r="A48" s="112"/>
      <c r="B48" s="109" t="s">
        <v>712</v>
      </c>
      <c r="C48" s="109"/>
      <c r="D48" s="111">
        <f t="shared" si="8"/>
        <v>100</v>
      </c>
      <c r="E48" s="111"/>
      <c r="F48" s="111"/>
      <c r="G48" s="111">
        <v>100</v>
      </c>
      <c r="H48" s="111">
        <f t="shared" si="9"/>
        <v>100</v>
      </c>
      <c r="I48" s="111"/>
      <c r="J48" s="111">
        <v>10</v>
      </c>
      <c r="K48" s="403">
        <f t="shared" si="7"/>
        <v>90</v>
      </c>
      <c r="L48" s="111">
        <v>90</v>
      </c>
      <c r="M48" s="111"/>
      <c r="N48" s="111"/>
      <c r="O48" s="111"/>
      <c r="P48" s="181"/>
    </row>
    <row r="49" spans="1:16" ht="27" customHeight="1">
      <c r="A49" s="112"/>
      <c r="B49" s="109" t="s">
        <v>711</v>
      </c>
      <c r="C49" s="109"/>
      <c r="D49" s="111">
        <f t="shared" si="8"/>
        <v>20</v>
      </c>
      <c r="E49" s="111"/>
      <c r="F49" s="111"/>
      <c r="G49" s="403">
        <v>20</v>
      </c>
      <c r="H49" s="111">
        <f t="shared" si="9"/>
        <v>20</v>
      </c>
      <c r="I49" s="111"/>
      <c r="J49" s="403">
        <v>2</v>
      </c>
      <c r="K49" s="403">
        <f t="shared" si="7"/>
        <v>18</v>
      </c>
      <c r="L49" s="403">
        <v>18</v>
      </c>
      <c r="M49" s="111"/>
      <c r="N49" s="111"/>
      <c r="O49" s="111"/>
      <c r="P49" s="181"/>
    </row>
    <row r="50" spans="1:16" ht="27" customHeight="1">
      <c r="A50" s="112"/>
      <c r="B50" s="109" t="s">
        <v>710</v>
      </c>
      <c r="C50" s="109"/>
      <c r="D50" s="111">
        <f t="shared" si="8"/>
        <v>35.200000000000003</v>
      </c>
      <c r="E50" s="111"/>
      <c r="F50" s="111"/>
      <c r="G50" s="111">
        <v>35.200000000000003</v>
      </c>
      <c r="H50" s="111">
        <f t="shared" si="9"/>
        <v>35.22</v>
      </c>
      <c r="I50" s="111"/>
      <c r="J50" s="111">
        <v>3.52</v>
      </c>
      <c r="K50" s="403">
        <f t="shared" si="7"/>
        <v>31.7</v>
      </c>
      <c r="L50" s="111">
        <v>31.7</v>
      </c>
      <c r="M50" s="111"/>
      <c r="N50" s="111"/>
      <c r="O50" s="111"/>
      <c r="P50" s="181"/>
    </row>
    <row r="51" spans="1:16" ht="27" customHeight="1">
      <c r="A51" s="116"/>
      <c r="B51" s="109" t="s">
        <v>709</v>
      </c>
      <c r="C51" s="109"/>
      <c r="D51" s="111">
        <f t="shared" si="8"/>
        <v>50</v>
      </c>
      <c r="E51" s="111"/>
      <c r="F51" s="111"/>
      <c r="G51" s="111">
        <v>50</v>
      </c>
      <c r="H51" s="111">
        <f t="shared" si="9"/>
        <v>50</v>
      </c>
      <c r="I51" s="111"/>
      <c r="J51" s="111">
        <v>5</v>
      </c>
      <c r="K51" s="403">
        <f t="shared" si="7"/>
        <v>45</v>
      </c>
      <c r="L51" s="111">
        <v>45</v>
      </c>
      <c r="M51" s="111"/>
      <c r="N51" s="111"/>
      <c r="O51" s="111"/>
      <c r="P51" s="181"/>
    </row>
    <row r="52" spans="1:16" ht="27" customHeight="1">
      <c r="A52" s="112"/>
      <c r="B52" s="117" t="s">
        <v>708</v>
      </c>
      <c r="C52" s="109"/>
      <c r="D52" s="111">
        <f t="shared" si="8"/>
        <v>65</v>
      </c>
      <c r="E52" s="111"/>
      <c r="F52" s="111"/>
      <c r="G52" s="403">
        <v>65</v>
      </c>
      <c r="H52" s="111">
        <f t="shared" si="9"/>
        <v>65</v>
      </c>
      <c r="I52" s="111"/>
      <c r="J52" s="403">
        <v>6.5</v>
      </c>
      <c r="K52" s="403">
        <f t="shared" si="7"/>
        <v>58.5</v>
      </c>
      <c r="L52" s="403">
        <v>58.5</v>
      </c>
      <c r="M52" s="403"/>
      <c r="N52" s="111"/>
      <c r="O52" s="403"/>
      <c r="P52" s="181"/>
    </row>
    <row r="53" spans="1:16" ht="27" customHeight="1">
      <c r="A53" s="112"/>
      <c r="B53" s="109" t="s">
        <v>707</v>
      </c>
      <c r="C53" s="109"/>
      <c r="D53" s="111">
        <f>SUM(E53:G53)</f>
        <v>50</v>
      </c>
      <c r="E53" s="111"/>
      <c r="F53" s="111"/>
      <c r="G53" s="111">
        <v>50</v>
      </c>
      <c r="H53" s="111">
        <f t="shared" si="9"/>
        <v>50</v>
      </c>
      <c r="I53" s="111"/>
      <c r="J53" s="111">
        <v>5</v>
      </c>
      <c r="K53" s="403">
        <f t="shared" si="7"/>
        <v>45</v>
      </c>
      <c r="L53" s="111">
        <v>45</v>
      </c>
      <c r="M53" s="111"/>
      <c r="N53" s="111"/>
      <c r="O53" s="111"/>
      <c r="P53" s="181"/>
    </row>
    <row r="54" spans="1:16" ht="27" customHeight="1">
      <c r="A54" s="116"/>
      <c r="B54" s="109" t="s">
        <v>706</v>
      </c>
      <c r="C54" s="109"/>
      <c r="D54" s="111">
        <f t="shared" ref="D54:D59" si="10">E54+F54+G54</f>
        <v>60</v>
      </c>
      <c r="E54" s="111"/>
      <c r="F54" s="111"/>
      <c r="G54" s="111">
        <v>60</v>
      </c>
      <c r="H54" s="111">
        <f t="shared" si="9"/>
        <v>60</v>
      </c>
      <c r="I54" s="111"/>
      <c r="J54" s="111">
        <f>G54*10%</f>
        <v>6</v>
      </c>
      <c r="K54" s="403">
        <f t="shared" si="7"/>
        <v>54</v>
      </c>
      <c r="L54" s="111">
        <v>54</v>
      </c>
      <c r="M54" s="111"/>
      <c r="N54" s="111"/>
      <c r="O54" s="111"/>
      <c r="P54" s="181"/>
    </row>
    <row r="55" spans="1:16" ht="27" customHeight="1">
      <c r="A55" s="116"/>
      <c r="B55" s="109" t="s">
        <v>705</v>
      </c>
      <c r="C55" s="109"/>
      <c r="D55" s="111">
        <f t="shared" si="10"/>
        <v>50</v>
      </c>
      <c r="E55" s="111"/>
      <c r="F55" s="111"/>
      <c r="G55" s="111">
        <v>50</v>
      </c>
      <c r="H55" s="111">
        <f t="shared" si="9"/>
        <v>50</v>
      </c>
      <c r="I55" s="111"/>
      <c r="J55" s="111">
        <f>G55*10%</f>
        <v>5</v>
      </c>
      <c r="K55" s="403">
        <f t="shared" si="7"/>
        <v>45</v>
      </c>
      <c r="L55" s="111">
        <v>45</v>
      </c>
      <c r="M55" s="111"/>
      <c r="N55" s="111"/>
      <c r="O55" s="111"/>
      <c r="P55" s="181"/>
    </row>
    <row r="56" spans="1:16" ht="27" customHeight="1">
      <c r="A56" s="116"/>
      <c r="B56" s="109" t="s">
        <v>704</v>
      </c>
      <c r="C56" s="109"/>
      <c r="D56" s="111">
        <f t="shared" si="10"/>
        <v>80</v>
      </c>
      <c r="E56" s="111"/>
      <c r="F56" s="111"/>
      <c r="G56" s="111">
        <v>80</v>
      </c>
      <c r="H56" s="111">
        <f t="shared" si="9"/>
        <v>80</v>
      </c>
      <c r="I56" s="111"/>
      <c r="J56" s="111">
        <v>8</v>
      </c>
      <c r="K56" s="403">
        <f t="shared" si="7"/>
        <v>72</v>
      </c>
      <c r="L56" s="111">
        <v>72</v>
      </c>
      <c r="M56" s="111"/>
      <c r="N56" s="111"/>
      <c r="O56" s="111"/>
      <c r="P56" s="181"/>
    </row>
    <row r="57" spans="1:16" ht="27" customHeight="1">
      <c r="A57" s="112"/>
      <c r="B57" s="109" t="s">
        <v>703</v>
      </c>
      <c r="C57" s="109"/>
      <c r="D57" s="111">
        <f t="shared" si="10"/>
        <v>0</v>
      </c>
      <c r="E57" s="111"/>
      <c r="F57" s="111"/>
      <c r="G57" s="111">
        <v>0</v>
      </c>
      <c r="H57" s="111">
        <f t="shared" si="9"/>
        <v>0</v>
      </c>
      <c r="I57" s="111"/>
      <c r="J57" s="111">
        <v>0</v>
      </c>
      <c r="K57" s="403">
        <f t="shared" si="7"/>
        <v>0</v>
      </c>
      <c r="L57" s="111">
        <v>0</v>
      </c>
      <c r="M57" s="111"/>
      <c r="N57" s="111"/>
      <c r="O57" s="111"/>
      <c r="P57" s="181"/>
    </row>
    <row r="58" spans="1:16" ht="27" customHeight="1">
      <c r="A58" s="112"/>
      <c r="B58" s="109" t="s">
        <v>702</v>
      </c>
      <c r="C58" s="109"/>
      <c r="D58" s="111">
        <f t="shared" si="10"/>
        <v>50</v>
      </c>
      <c r="E58" s="111"/>
      <c r="F58" s="111"/>
      <c r="G58" s="111">
        <v>50</v>
      </c>
      <c r="H58" s="111">
        <f t="shared" si="9"/>
        <v>50</v>
      </c>
      <c r="I58" s="111"/>
      <c r="J58" s="111">
        <v>5</v>
      </c>
      <c r="K58" s="403">
        <f t="shared" si="7"/>
        <v>45</v>
      </c>
      <c r="L58" s="111">
        <v>45</v>
      </c>
      <c r="M58" s="111"/>
      <c r="N58" s="111"/>
      <c r="O58" s="111"/>
      <c r="P58" s="181"/>
    </row>
    <row r="59" spans="1:16" ht="27" customHeight="1">
      <c r="A59" s="112"/>
      <c r="B59" s="109" t="s">
        <v>701</v>
      </c>
      <c r="C59" s="109"/>
      <c r="D59" s="111">
        <f t="shared" si="10"/>
        <v>100</v>
      </c>
      <c r="E59" s="111"/>
      <c r="F59" s="111"/>
      <c r="G59" s="403">
        <v>100</v>
      </c>
      <c r="H59" s="111">
        <f t="shared" si="9"/>
        <v>100</v>
      </c>
      <c r="I59" s="111"/>
      <c r="J59" s="403">
        <v>10</v>
      </c>
      <c r="K59" s="403">
        <f t="shared" si="7"/>
        <v>90</v>
      </c>
      <c r="L59" s="403">
        <v>90</v>
      </c>
      <c r="M59" s="403"/>
      <c r="N59" s="111"/>
      <c r="O59" s="111"/>
      <c r="P59" s="181"/>
    </row>
    <row r="60" spans="1:16" ht="27" customHeight="1">
      <c r="A60" s="112"/>
      <c r="B60" s="109" t="s">
        <v>700</v>
      </c>
      <c r="C60" s="109"/>
      <c r="D60" s="111">
        <f>SUM(E60:G60)</f>
        <v>96</v>
      </c>
      <c r="E60" s="111"/>
      <c r="F60" s="111"/>
      <c r="G60" s="111">
        <v>96</v>
      </c>
      <c r="H60" s="111">
        <f t="shared" si="9"/>
        <v>96</v>
      </c>
      <c r="I60" s="111"/>
      <c r="J60" s="111">
        <f>D60*10%</f>
        <v>9.6000000000000014</v>
      </c>
      <c r="K60" s="403">
        <f t="shared" si="7"/>
        <v>86.4</v>
      </c>
      <c r="L60" s="403">
        <v>86.4</v>
      </c>
      <c r="M60" s="403"/>
      <c r="N60" s="111"/>
      <c r="O60" s="111"/>
      <c r="P60" s="109"/>
    </row>
    <row r="61" spans="1:16" ht="27" customHeight="1">
      <c r="A61" s="112"/>
      <c r="B61" s="109" t="s">
        <v>699</v>
      </c>
      <c r="C61" s="109"/>
      <c r="D61" s="111">
        <f>E61+F61+G61</f>
        <v>300</v>
      </c>
      <c r="E61" s="111"/>
      <c r="F61" s="111"/>
      <c r="G61" s="111">
        <v>300</v>
      </c>
      <c r="H61" s="111">
        <f t="shared" si="9"/>
        <v>300</v>
      </c>
      <c r="I61" s="111"/>
      <c r="J61" s="111">
        <v>30</v>
      </c>
      <c r="K61" s="403">
        <f t="shared" si="7"/>
        <v>270</v>
      </c>
      <c r="L61" s="111">
        <v>270</v>
      </c>
      <c r="M61" s="111"/>
      <c r="N61" s="111"/>
      <c r="O61" s="111"/>
      <c r="P61" s="181"/>
    </row>
    <row r="62" spans="1:16" ht="27" customHeight="1">
      <c r="A62" s="112"/>
      <c r="B62" s="109" t="s">
        <v>698</v>
      </c>
      <c r="C62" s="109"/>
      <c r="D62" s="111">
        <f>E62+F62+G62</f>
        <v>0</v>
      </c>
      <c r="E62" s="111"/>
      <c r="F62" s="111"/>
      <c r="G62" s="403">
        <v>0</v>
      </c>
      <c r="H62" s="111">
        <f t="shared" si="9"/>
        <v>0</v>
      </c>
      <c r="I62" s="111"/>
      <c r="J62" s="403">
        <v>0</v>
      </c>
      <c r="K62" s="403">
        <f t="shared" si="7"/>
        <v>0</v>
      </c>
      <c r="L62" s="403">
        <v>0</v>
      </c>
      <c r="M62" s="403"/>
      <c r="N62" s="111"/>
      <c r="O62" s="111"/>
      <c r="P62" s="181"/>
    </row>
    <row r="63" spans="1:16" ht="27" customHeight="1">
      <c r="A63" s="112"/>
      <c r="B63" s="109" t="s">
        <v>697</v>
      </c>
      <c r="C63" s="109"/>
      <c r="D63" s="111">
        <f>E63+F63+G63</f>
        <v>290</v>
      </c>
      <c r="E63" s="111">
        <v>0</v>
      </c>
      <c r="F63" s="111">
        <v>0</v>
      </c>
      <c r="G63" s="111">
        <v>290</v>
      </c>
      <c r="H63" s="111">
        <f t="shared" si="9"/>
        <v>290</v>
      </c>
      <c r="I63" s="111">
        <v>0</v>
      </c>
      <c r="J63" s="111">
        <v>30</v>
      </c>
      <c r="K63" s="403">
        <f t="shared" si="7"/>
        <v>260</v>
      </c>
      <c r="L63" s="111">
        <v>260</v>
      </c>
      <c r="M63" s="111"/>
      <c r="N63" s="111"/>
      <c r="O63" s="111"/>
      <c r="P63" s="181"/>
    </row>
    <row r="64" spans="1:16" ht="27" customHeight="1">
      <c r="A64" s="112"/>
      <c r="B64" s="183" t="s">
        <v>696</v>
      </c>
      <c r="C64" s="109"/>
      <c r="D64" s="111">
        <v>340</v>
      </c>
      <c r="E64" s="111">
        <v>0</v>
      </c>
      <c r="F64" s="111">
        <v>0</v>
      </c>
      <c r="G64" s="111">
        <v>340</v>
      </c>
      <c r="H64" s="111">
        <v>340</v>
      </c>
      <c r="I64" s="111">
        <v>0</v>
      </c>
      <c r="J64" s="111">
        <v>34</v>
      </c>
      <c r="K64" s="403">
        <f t="shared" si="7"/>
        <v>306</v>
      </c>
      <c r="L64" s="111">
        <v>306</v>
      </c>
      <c r="M64" s="111"/>
      <c r="N64" s="111"/>
      <c r="O64" s="111"/>
      <c r="P64" s="181">
        <v>0</v>
      </c>
    </row>
    <row r="65" spans="1:16" ht="27" customHeight="1">
      <c r="A65" s="112"/>
      <c r="B65" s="109" t="s">
        <v>695</v>
      </c>
      <c r="C65" s="109"/>
      <c r="D65" s="111">
        <f>E65+F65+G65</f>
        <v>280</v>
      </c>
      <c r="E65" s="111">
        <v>0</v>
      </c>
      <c r="F65" s="111">
        <v>0</v>
      </c>
      <c r="G65" s="111">
        <v>280</v>
      </c>
      <c r="H65" s="111">
        <f>SUM(I65:K65)</f>
        <v>280</v>
      </c>
      <c r="I65" s="111">
        <v>0</v>
      </c>
      <c r="J65" s="111">
        <v>28</v>
      </c>
      <c r="K65" s="403">
        <f t="shared" si="7"/>
        <v>252</v>
      </c>
      <c r="L65" s="111">
        <v>252</v>
      </c>
      <c r="M65" s="111"/>
      <c r="N65" s="111"/>
      <c r="O65" s="111"/>
      <c r="P65" s="181"/>
    </row>
    <row r="66" spans="1:16" ht="27" customHeight="1">
      <c r="A66" s="112"/>
      <c r="B66" s="109" t="s">
        <v>694</v>
      </c>
      <c r="C66" s="109"/>
      <c r="D66" s="111">
        <f>E66+F66+G66</f>
        <v>420</v>
      </c>
      <c r="E66" s="111"/>
      <c r="F66" s="111"/>
      <c r="G66" s="111">
        <v>420</v>
      </c>
      <c r="H66" s="111">
        <f>SUM(I66:K66)</f>
        <v>420</v>
      </c>
      <c r="I66" s="111"/>
      <c r="J66" s="111">
        <v>13.2</v>
      </c>
      <c r="K66" s="403">
        <f t="shared" si="7"/>
        <v>406.8</v>
      </c>
      <c r="L66" s="111">
        <v>291</v>
      </c>
      <c r="M66" s="111">
        <v>43</v>
      </c>
      <c r="N66" s="111"/>
      <c r="O66" s="111">
        <v>72.8</v>
      </c>
      <c r="P66" s="181"/>
    </row>
    <row r="67" spans="1:16" ht="27" customHeight="1">
      <c r="A67" s="112"/>
      <c r="B67" s="109" t="s">
        <v>693</v>
      </c>
      <c r="C67" s="109"/>
      <c r="D67" s="111">
        <f>E67+F67+G67</f>
        <v>559.29999999999995</v>
      </c>
      <c r="E67" s="111"/>
      <c r="F67" s="111"/>
      <c r="G67" s="111">
        <v>559.29999999999995</v>
      </c>
      <c r="H67" s="111">
        <f>SUM(I67:K67)</f>
        <v>559.29999999999995</v>
      </c>
      <c r="I67" s="111"/>
      <c r="J67" s="111">
        <v>16</v>
      </c>
      <c r="K67" s="403">
        <f t="shared" si="7"/>
        <v>543.29999999999995</v>
      </c>
      <c r="L67" s="111">
        <v>407.4</v>
      </c>
      <c r="M67" s="403">
        <v>59.8</v>
      </c>
      <c r="N67" s="111"/>
      <c r="O67" s="111">
        <v>76.099999999999994</v>
      </c>
      <c r="P67" s="181"/>
    </row>
    <row r="68" spans="1:16" ht="27" customHeight="1">
      <c r="A68" s="112"/>
      <c r="B68" s="109" t="s">
        <v>692</v>
      </c>
      <c r="C68" s="109"/>
      <c r="D68" s="403">
        <f>SUM(E68:G68)</f>
        <v>2030</v>
      </c>
      <c r="E68" s="403"/>
      <c r="F68" s="403"/>
      <c r="G68" s="403">
        <v>2030</v>
      </c>
      <c r="H68" s="403">
        <f>SUM(I68:K68)</f>
        <v>2030</v>
      </c>
      <c r="I68" s="403"/>
      <c r="J68" s="403">
        <v>48.6</v>
      </c>
      <c r="K68" s="403">
        <f t="shared" si="7"/>
        <v>1981.4</v>
      </c>
      <c r="L68" s="403">
        <v>1225.7</v>
      </c>
      <c r="M68" s="403">
        <v>302.3</v>
      </c>
      <c r="N68" s="403">
        <v>51.7</v>
      </c>
      <c r="O68" s="403">
        <v>401.7</v>
      </c>
      <c r="P68" s="185"/>
    </row>
    <row r="69" spans="1:16" s="123" customFormat="1" ht="27" customHeight="1">
      <c r="A69" s="186">
        <v>2</v>
      </c>
      <c r="B69" s="157" t="s">
        <v>495</v>
      </c>
      <c r="C69" s="159"/>
      <c r="D69" s="115">
        <f>SUBTOTAL(9,D70:D75)</f>
        <v>19425.099999999999</v>
      </c>
      <c r="E69" s="115"/>
      <c r="F69" s="115"/>
      <c r="G69" s="115">
        <f>SUBTOTAL(9,G70:G75)</f>
        <v>19425.099999999999</v>
      </c>
      <c r="H69" s="115">
        <f>SUBTOTAL(9,H70:H75)</f>
        <v>19425.099999999999</v>
      </c>
      <c r="I69" s="115">
        <f t="shared" ref="I69:O69" si="11">I70+I72</f>
        <v>105</v>
      </c>
      <c r="J69" s="115">
        <f t="shared" si="11"/>
        <v>2417.6</v>
      </c>
      <c r="K69" s="115">
        <f t="shared" si="11"/>
        <v>16902.5</v>
      </c>
      <c r="L69" s="115">
        <f t="shared" si="11"/>
        <v>16361</v>
      </c>
      <c r="M69" s="115">
        <f t="shared" si="11"/>
        <v>164.6</v>
      </c>
      <c r="N69" s="115">
        <f t="shared" si="11"/>
        <v>130</v>
      </c>
      <c r="O69" s="115">
        <f t="shared" si="11"/>
        <v>246.9</v>
      </c>
      <c r="P69" s="187"/>
    </row>
    <row r="70" spans="1:16" ht="27" customHeight="1">
      <c r="A70" s="112" t="s">
        <v>3</v>
      </c>
      <c r="B70" s="110" t="s">
        <v>522</v>
      </c>
      <c r="C70" s="109"/>
      <c r="D70" s="115">
        <f>SUBTOTAL(9,D71)</f>
        <v>13850.8</v>
      </c>
      <c r="E70" s="115"/>
      <c r="F70" s="115"/>
      <c r="G70" s="115">
        <f t="shared" ref="G70:L70" si="12">SUBTOTAL(9,G71)</f>
        <v>13850.8</v>
      </c>
      <c r="H70" s="115">
        <f t="shared" si="12"/>
        <v>13850.8</v>
      </c>
      <c r="I70" s="115">
        <f t="shared" si="12"/>
        <v>0</v>
      </c>
      <c r="J70" s="115">
        <f t="shared" si="12"/>
        <v>2416.6</v>
      </c>
      <c r="K70" s="115">
        <f t="shared" si="12"/>
        <v>11434.199999999999</v>
      </c>
      <c r="L70" s="115">
        <f t="shared" si="12"/>
        <v>11434.199999999999</v>
      </c>
      <c r="M70" s="115"/>
      <c r="N70" s="115">
        <f>SUBTOTAL(9,N71)</f>
        <v>0</v>
      </c>
      <c r="O70" s="115"/>
      <c r="P70" s="188"/>
    </row>
    <row r="71" spans="1:16" ht="27" customHeight="1">
      <c r="A71" s="112"/>
      <c r="B71" s="109"/>
      <c r="C71" s="109" t="s">
        <v>691</v>
      </c>
      <c r="D71" s="111">
        <f>SUM(E71:G71)</f>
        <v>13850.8</v>
      </c>
      <c r="E71" s="111"/>
      <c r="F71" s="111"/>
      <c r="G71" s="111">
        <v>13850.8</v>
      </c>
      <c r="H71" s="111">
        <f>I71+J71+K71</f>
        <v>13850.8</v>
      </c>
      <c r="I71" s="111"/>
      <c r="J71" s="111">
        <v>2416.6</v>
      </c>
      <c r="K71" s="111">
        <f>SUM(L71:O71)</f>
        <v>11434.199999999999</v>
      </c>
      <c r="L71" s="111">
        <f>9085.8+2348.4</f>
        <v>11434.199999999999</v>
      </c>
      <c r="M71" s="111"/>
      <c r="N71" s="111"/>
      <c r="O71" s="111"/>
      <c r="P71" s="188"/>
    </row>
    <row r="72" spans="1:16" ht="27" customHeight="1">
      <c r="A72" s="116" t="s">
        <v>3</v>
      </c>
      <c r="B72" s="110" t="s">
        <v>690</v>
      </c>
      <c r="C72" s="110"/>
      <c r="D72" s="115">
        <f>SUBTOTAL(9,D73:D75)</f>
        <v>5574.3</v>
      </c>
      <c r="E72" s="115"/>
      <c r="F72" s="115"/>
      <c r="G72" s="115">
        <f t="shared" ref="G72:O72" si="13">SUBTOTAL(9,G73:G75)</f>
        <v>5574.3</v>
      </c>
      <c r="H72" s="115">
        <f t="shared" si="13"/>
        <v>5574.3</v>
      </c>
      <c r="I72" s="115">
        <f t="shared" si="13"/>
        <v>105</v>
      </c>
      <c r="J72" s="115">
        <f t="shared" si="13"/>
        <v>1</v>
      </c>
      <c r="K72" s="115">
        <f t="shared" si="13"/>
        <v>5468.3</v>
      </c>
      <c r="L72" s="115">
        <f t="shared" si="13"/>
        <v>4926.8</v>
      </c>
      <c r="M72" s="115">
        <f t="shared" si="13"/>
        <v>164.6</v>
      </c>
      <c r="N72" s="115">
        <f t="shared" si="13"/>
        <v>130</v>
      </c>
      <c r="O72" s="115">
        <f t="shared" si="13"/>
        <v>246.9</v>
      </c>
      <c r="P72" s="110"/>
    </row>
    <row r="73" spans="1:16" ht="27" customHeight="1">
      <c r="A73" s="112"/>
      <c r="B73" s="109"/>
      <c r="C73" s="109" t="s">
        <v>689</v>
      </c>
      <c r="D73" s="111">
        <f>SUM(E73:G73)</f>
        <v>4438.3</v>
      </c>
      <c r="E73" s="111"/>
      <c r="F73" s="111"/>
      <c r="G73" s="111">
        <v>4438.3</v>
      </c>
      <c r="H73" s="111">
        <v>4438.3</v>
      </c>
      <c r="I73" s="111"/>
      <c r="J73" s="111"/>
      <c r="K73" s="111">
        <v>4438.3</v>
      </c>
      <c r="L73" s="111">
        <v>4438.3</v>
      </c>
      <c r="M73" s="111"/>
      <c r="N73" s="111"/>
      <c r="O73" s="111"/>
      <c r="P73" s="109"/>
    </row>
    <row r="74" spans="1:16" ht="27" customHeight="1">
      <c r="A74" s="112"/>
      <c r="B74" s="109"/>
      <c r="C74" s="109" t="s">
        <v>670</v>
      </c>
      <c r="D74" s="111">
        <f>SUM(E74:G74)</f>
        <v>1051</v>
      </c>
      <c r="E74" s="111"/>
      <c r="F74" s="111"/>
      <c r="G74" s="111">
        <v>1051</v>
      </c>
      <c r="H74" s="111">
        <f>I74+J74+K74</f>
        <v>1051</v>
      </c>
      <c r="I74" s="111">
        <v>105</v>
      </c>
      <c r="J74" s="111">
        <v>1</v>
      </c>
      <c r="K74" s="111">
        <f>SUM(L74:O74)</f>
        <v>945</v>
      </c>
      <c r="L74" s="111">
        <v>438.5</v>
      </c>
      <c r="M74" s="111">
        <v>164.6</v>
      </c>
      <c r="N74" s="111">
        <v>95</v>
      </c>
      <c r="O74" s="111">
        <v>246.9</v>
      </c>
      <c r="P74" s="109"/>
    </row>
    <row r="75" spans="1:16" ht="27" customHeight="1">
      <c r="A75" s="112"/>
      <c r="B75" s="109"/>
      <c r="C75" s="109" t="s">
        <v>688</v>
      </c>
      <c r="D75" s="111">
        <f>SUM(E75:G75)</f>
        <v>85</v>
      </c>
      <c r="E75" s="111"/>
      <c r="F75" s="111"/>
      <c r="G75" s="111">
        <v>85</v>
      </c>
      <c r="H75" s="111">
        <f>I75+J75+K75</f>
        <v>85</v>
      </c>
      <c r="I75" s="111"/>
      <c r="J75" s="111"/>
      <c r="K75" s="111">
        <f>SUM(L75:O75)</f>
        <v>85</v>
      </c>
      <c r="L75" s="111">
        <v>50</v>
      </c>
      <c r="M75" s="111"/>
      <c r="N75" s="111">
        <v>35</v>
      </c>
      <c r="O75" s="111"/>
      <c r="P75" s="109"/>
    </row>
    <row r="76" spans="1:16" ht="27" customHeight="1">
      <c r="A76" s="116">
        <v>3</v>
      </c>
      <c r="B76" s="110" t="s">
        <v>687</v>
      </c>
      <c r="C76" s="110"/>
      <c r="D76" s="115">
        <f t="shared" ref="D76:P76" si="14">D77+D80</f>
        <v>587</v>
      </c>
      <c r="E76" s="115">
        <f t="shared" si="14"/>
        <v>40</v>
      </c>
      <c r="F76" s="115">
        <f t="shared" si="14"/>
        <v>7</v>
      </c>
      <c r="G76" s="115">
        <f t="shared" si="14"/>
        <v>540</v>
      </c>
      <c r="H76" s="115">
        <f t="shared" si="14"/>
        <v>587</v>
      </c>
      <c r="I76" s="115">
        <f t="shared" si="14"/>
        <v>13</v>
      </c>
      <c r="J76" s="115">
        <f t="shared" si="14"/>
        <v>27</v>
      </c>
      <c r="K76" s="115">
        <f t="shared" si="14"/>
        <v>547</v>
      </c>
      <c r="L76" s="115">
        <f t="shared" si="14"/>
        <v>547</v>
      </c>
      <c r="M76" s="115">
        <f t="shared" si="14"/>
        <v>0</v>
      </c>
      <c r="N76" s="115">
        <f t="shared" si="14"/>
        <v>0</v>
      </c>
      <c r="O76" s="115">
        <f t="shared" si="14"/>
        <v>0</v>
      </c>
      <c r="P76" s="189">
        <f t="shared" si="14"/>
        <v>0</v>
      </c>
    </row>
    <row r="77" spans="1:16" ht="27" customHeight="1">
      <c r="A77" s="112" t="s">
        <v>3</v>
      </c>
      <c r="B77" s="109" t="s">
        <v>570</v>
      </c>
      <c r="C77" s="109"/>
      <c r="D77" s="111">
        <f t="shared" ref="D77:M77" si="15">SUM(D78:D79)</f>
        <v>47</v>
      </c>
      <c r="E77" s="111">
        <f t="shared" si="15"/>
        <v>40</v>
      </c>
      <c r="F77" s="111">
        <f t="shared" si="15"/>
        <v>7</v>
      </c>
      <c r="G77" s="111">
        <f t="shared" si="15"/>
        <v>0</v>
      </c>
      <c r="H77" s="111">
        <f t="shared" si="15"/>
        <v>47</v>
      </c>
      <c r="I77" s="111">
        <f t="shared" si="15"/>
        <v>13</v>
      </c>
      <c r="J77" s="111">
        <f t="shared" si="15"/>
        <v>0</v>
      </c>
      <c r="K77" s="111">
        <f t="shared" si="15"/>
        <v>34</v>
      </c>
      <c r="L77" s="111">
        <f t="shared" si="15"/>
        <v>34</v>
      </c>
      <c r="M77" s="111">
        <f t="shared" si="15"/>
        <v>0</v>
      </c>
      <c r="N77" s="111"/>
      <c r="O77" s="111"/>
      <c r="P77" s="109"/>
    </row>
    <row r="78" spans="1:16" ht="27" customHeight="1">
      <c r="A78" s="112"/>
      <c r="B78" s="109"/>
      <c r="C78" s="109" t="s">
        <v>686</v>
      </c>
      <c r="D78" s="111">
        <f>SUM(E78:G78)</f>
        <v>40</v>
      </c>
      <c r="E78" s="111">
        <v>40</v>
      </c>
      <c r="F78" s="111"/>
      <c r="G78" s="111"/>
      <c r="H78" s="111">
        <f>SUM(I78:K78)</f>
        <v>40</v>
      </c>
      <c r="I78" s="111">
        <v>6</v>
      </c>
      <c r="J78" s="111"/>
      <c r="K78" s="111">
        <f>L78+M78+N78+O78</f>
        <v>34</v>
      </c>
      <c r="L78" s="111">
        <v>34</v>
      </c>
      <c r="M78" s="111">
        <v>0</v>
      </c>
      <c r="N78" s="111"/>
      <c r="O78" s="111"/>
      <c r="P78" s="109"/>
    </row>
    <row r="79" spans="1:16" ht="27" customHeight="1">
      <c r="A79" s="112"/>
      <c r="B79" s="109"/>
      <c r="C79" s="109" t="s">
        <v>685</v>
      </c>
      <c r="D79" s="111">
        <f>SUM(E79:G79)</f>
        <v>7</v>
      </c>
      <c r="E79" s="111"/>
      <c r="F79" s="111">
        <v>7</v>
      </c>
      <c r="G79" s="111"/>
      <c r="H79" s="111">
        <f>SUM(I79:K79)</f>
        <v>7</v>
      </c>
      <c r="I79" s="111">
        <v>7</v>
      </c>
      <c r="J79" s="111"/>
      <c r="K79" s="111">
        <f>L79+M79+N79+O79</f>
        <v>0</v>
      </c>
      <c r="L79" s="111"/>
      <c r="M79" s="111"/>
      <c r="N79" s="111"/>
      <c r="O79" s="111"/>
      <c r="P79" s="109"/>
    </row>
    <row r="80" spans="1:16" ht="27" customHeight="1">
      <c r="A80" s="112" t="s">
        <v>3</v>
      </c>
      <c r="B80" s="109" t="s">
        <v>684</v>
      </c>
      <c r="C80" s="109"/>
      <c r="D80" s="111">
        <f t="shared" ref="D80:M80" si="16">D81</f>
        <v>540</v>
      </c>
      <c r="E80" s="111">
        <f t="shared" si="16"/>
        <v>0</v>
      </c>
      <c r="F80" s="111">
        <f t="shared" si="16"/>
        <v>0</v>
      </c>
      <c r="G80" s="111">
        <f t="shared" si="16"/>
        <v>540</v>
      </c>
      <c r="H80" s="111">
        <f t="shared" si="16"/>
        <v>540</v>
      </c>
      <c r="I80" s="111">
        <f t="shared" si="16"/>
        <v>0</v>
      </c>
      <c r="J80" s="111">
        <f t="shared" si="16"/>
        <v>27</v>
      </c>
      <c r="K80" s="111">
        <f t="shared" si="16"/>
        <v>513</v>
      </c>
      <c r="L80" s="111">
        <f t="shared" si="16"/>
        <v>513</v>
      </c>
      <c r="M80" s="111">
        <f t="shared" si="16"/>
        <v>0</v>
      </c>
      <c r="N80" s="111"/>
      <c r="O80" s="111"/>
      <c r="P80" s="109"/>
    </row>
    <row r="81" spans="1:16" ht="27" customHeight="1">
      <c r="A81" s="112"/>
      <c r="B81" s="109"/>
      <c r="C81" s="109" t="s">
        <v>683</v>
      </c>
      <c r="D81" s="111">
        <f>SUM(E81:G81)</f>
        <v>540</v>
      </c>
      <c r="E81" s="111"/>
      <c r="F81" s="111"/>
      <c r="G81" s="111">
        <v>540</v>
      </c>
      <c r="H81" s="111">
        <f>SUM(I81:K81)</f>
        <v>540</v>
      </c>
      <c r="I81" s="111"/>
      <c r="J81" s="111">
        <v>27</v>
      </c>
      <c r="K81" s="111">
        <f>L81+M81+N81+O81</f>
        <v>513</v>
      </c>
      <c r="L81" s="111">
        <v>513</v>
      </c>
      <c r="M81" s="111">
        <v>0</v>
      </c>
      <c r="N81" s="111"/>
      <c r="O81" s="111"/>
      <c r="P81" s="109"/>
    </row>
    <row r="82" spans="1:16" s="123" customFormat="1" ht="27" customHeight="1">
      <c r="A82" s="186">
        <v>4</v>
      </c>
      <c r="B82" s="157" t="s">
        <v>682</v>
      </c>
      <c r="C82" s="159"/>
      <c r="D82" s="115">
        <f t="shared" ref="D82:O82" si="17">D83+D85</f>
        <v>225</v>
      </c>
      <c r="E82" s="115">
        <f t="shared" si="17"/>
        <v>0</v>
      </c>
      <c r="F82" s="115">
        <f t="shared" si="17"/>
        <v>75</v>
      </c>
      <c r="G82" s="115">
        <f t="shared" si="17"/>
        <v>150</v>
      </c>
      <c r="H82" s="115">
        <f t="shared" si="17"/>
        <v>224.99</v>
      </c>
      <c r="I82" s="115">
        <f t="shared" si="17"/>
        <v>17.190000000000001</v>
      </c>
      <c r="J82" s="115">
        <f t="shared" si="17"/>
        <v>16</v>
      </c>
      <c r="K82" s="115">
        <f t="shared" si="17"/>
        <v>191.8</v>
      </c>
      <c r="L82" s="115">
        <f t="shared" si="17"/>
        <v>164.7</v>
      </c>
      <c r="M82" s="115">
        <f t="shared" si="17"/>
        <v>24.700000000000003</v>
      </c>
      <c r="N82" s="115">
        <f t="shared" si="17"/>
        <v>0</v>
      </c>
      <c r="O82" s="115">
        <f t="shared" si="17"/>
        <v>2.4</v>
      </c>
      <c r="P82" s="187"/>
    </row>
    <row r="83" spans="1:16" s="124" customFormat="1" ht="27" customHeight="1">
      <c r="A83" s="112" t="s">
        <v>3</v>
      </c>
      <c r="B83" s="109" t="s">
        <v>681</v>
      </c>
      <c r="C83" s="109"/>
      <c r="D83" s="111">
        <f t="shared" ref="D83:O83" si="18">D84</f>
        <v>75</v>
      </c>
      <c r="E83" s="111">
        <f t="shared" si="18"/>
        <v>0</v>
      </c>
      <c r="F83" s="111">
        <f t="shared" si="18"/>
        <v>75</v>
      </c>
      <c r="G83" s="111">
        <f t="shared" si="18"/>
        <v>0</v>
      </c>
      <c r="H83" s="111">
        <f t="shared" si="18"/>
        <v>74.990000000000009</v>
      </c>
      <c r="I83" s="111">
        <f t="shared" si="18"/>
        <v>17.190000000000001</v>
      </c>
      <c r="J83" s="111">
        <f t="shared" si="18"/>
        <v>0</v>
      </c>
      <c r="K83" s="111">
        <f t="shared" si="18"/>
        <v>57.800000000000004</v>
      </c>
      <c r="L83" s="111">
        <f t="shared" si="18"/>
        <v>34.700000000000003</v>
      </c>
      <c r="M83" s="111">
        <f t="shared" si="18"/>
        <v>23.1</v>
      </c>
      <c r="N83" s="111">
        <f t="shared" si="18"/>
        <v>0</v>
      </c>
      <c r="O83" s="111">
        <f t="shared" si="18"/>
        <v>0</v>
      </c>
      <c r="P83" s="188"/>
    </row>
    <row r="84" spans="1:16" s="124" customFormat="1" ht="27" customHeight="1">
      <c r="A84" s="112"/>
      <c r="B84" s="109"/>
      <c r="C84" s="109" t="s">
        <v>680</v>
      </c>
      <c r="D84" s="111">
        <v>75</v>
      </c>
      <c r="E84" s="111"/>
      <c r="F84" s="111">
        <v>75</v>
      </c>
      <c r="G84" s="111"/>
      <c r="H84" s="111">
        <f>SUM(I84:K84)</f>
        <v>74.990000000000009</v>
      </c>
      <c r="I84" s="111">
        <f>16.69+0.5</f>
        <v>17.190000000000001</v>
      </c>
      <c r="J84" s="111"/>
      <c r="K84" s="111">
        <f>L84+M84+N84+O84</f>
        <v>57.800000000000004</v>
      </c>
      <c r="L84" s="111">
        <v>34.700000000000003</v>
      </c>
      <c r="M84" s="111">
        <v>23.1</v>
      </c>
      <c r="N84" s="111"/>
      <c r="O84" s="111"/>
      <c r="P84" s="188"/>
    </row>
    <row r="85" spans="1:16" s="124" customFormat="1" ht="27" customHeight="1">
      <c r="A85" s="112" t="s">
        <v>3</v>
      </c>
      <c r="B85" s="109" t="s">
        <v>911</v>
      </c>
      <c r="C85" s="109" t="s">
        <v>679</v>
      </c>
      <c r="D85" s="111">
        <v>150</v>
      </c>
      <c r="E85" s="111"/>
      <c r="F85" s="111"/>
      <c r="G85" s="111">
        <v>150</v>
      </c>
      <c r="H85" s="111">
        <v>150</v>
      </c>
      <c r="I85" s="111"/>
      <c r="J85" s="111">
        <v>16</v>
      </c>
      <c r="K85" s="111">
        <f>L85+M85+N85+O85</f>
        <v>134</v>
      </c>
      <c r="L85" s="111">
        <v>130</v>
      </c>
      <c r="M85" s="111">
        <v>1.6</v>
      </c>
      <c r="N85" s="111"/>
      <c r="O85" s="111">
        <v>2.4</v>
      </c>
      <c r="P85" s="109"/>
    </row>
    <row r="86" spans="1:16" s="66" customFormat="1" ht="27" customHeight="1">
      <c r="A86" s="116">
        <v>5</v>
      </c>
      <c r="B86" s="110" t="s">
        <v>524</v>
      </c>
      <c r="C86" s="110"/>
      <c r="D86" s="115">
        <f t="shared" ref="D86:P86" si="19">D87+D93</f>
        <v>16518</v>
      </c>
      <c r="E86" s="115">
        <f t="shared" si="19"/>
        <v>2630</v>
      </c>
      <c r="F86" s="115">
        <f t="shared" si="19"/>
        <v>2900</v>
      </c>
      <c r="G86" s="115">
        <f t="shared" si="19"/>
        <v>10988</v>
      </c>
      <c r="H86" s="115">
        <f t="shared" si="19"/>
        <v>16518</v>
      </c>
      <c r="I86" s="115">
        <f t="shared" si="19"/>
        <v>2760</v>
      </c>
      <c r="J86" s="115">
        <f t="shared" si="19"/>
        <v>0</v>
      </c>
      <c r="K86" s="115">
        <f t="shared" si="19"/>
        <v>13758</v>
      </c>
      <c r="L86" s="115">
        <f t="shared" si="19"/>
        <v>12828</v>
      </c>
      <c r="M86" s="115">
        <f t="shared" si="19"/>
        <v>372</v>
      </c>
      <c r="N86" s="115">
        <f t="shared" si="19"/>
        <v>0</v>
      </c>
      <c r="O86" s="115">
        <f t="shared" si="19"/>
        <v>558</v>
      </c>
      <c r="P86" s="190">
        <f t="shared" si="19"/>
        <v>0</v>
      </c>
    </row>
    <row r="87" spans="1:16" s="124" customFormat="1" ht="27" customHeight="1">
      <c r="A87" s="112" t="s">
        <v>3</v>
      </c>
      <c r="B87" s="109" t="s">
        <v>570</v>
      </c>
      <c r="C87" s="109"/>
      <c r="D87" s="111">
        <f t="shared" ref="D87:O87" si="20">SUM(D88:D92)</f>
        <v>5530</v>
      </c>
      <c r="E87" s="111">
        <f t="shared" si="20"/>
        <v>2630</v>
      </c>
      <c r="F87" s="111">
        <f t="shared" si="20"/>
        <v>2900</v>
      </c>
      <c r="G87" s="111">
        <f t="shared" si="20"/>
        <v>0</v>
      </c>
      <c r="H87" s="111">
        <f t="shared" si="20"/>
        <v>5530</v>
      </c>
      <c r="I87" s="111">
        <f t="shared" si="20"/>
        <v>2760</v>
      </c>
      <c r="J87" s="111">
        <f t="shared" si="20"/>
        <v>0</v>
      </c>
      <c r="K87" s="111">
        <f t="shared" si="20"/>
        <v>2770</v>
      </c>
      <c r="L87" s="111">
        <f t="shared" si="20"/>
        <v>1840</v>
      </c>
      <c r="M87" s="111">
        <f t="shared" si="20"/>
        <v>372</v>
      </c>
      <c r="N87" s="111">
        <f t="shared" si="20"/>
        <v>0</v>
      </c>
      <c r="O87" s="111">
        <f t="shared" si="20"/>
        <v>558</v>
      </c>
      <c r="P87" s="109"/>
    </row>
    <row r="88" spans="1:16" s="124" customFormat="1" ht="27" customHeight="1">
      <c r="A88" s="112"/>
      <c r="B88" s="109"/>
      <c r="C88" s="109" t="s">
        <v>678</v>
      </c>
      <c r="D88" s="111">
        <f>E88+F88+G88</f>
        <v>400</v>
      </c>
      <c r="E88" s="111"/>
      <c r="F88" s="111">
        <v>400</v>
      </c>
      <c r="G88" s="111"/>
      <c r="H88" s="111">
        <f>I88+J88+K88</f>
        <v>400</v>
      </c>
      <c r="I88" s="111">
        <v>80</v>
      </c>
      <c r="J88" s="111"/>
      <c r="K88" s="111">
        <f>L88+M88+N88+O88</f>
        <v>320</v>
      </c>
      <c r="L88" s="111">
        <v>240</v>
      </c>
      <c r="M88" s="111">
        <v>32</v>
      </c>
      <c r="N88" s="111"/>
      <c r="O88" s="111">
        <v>48</v>
      </c>
      <c r="P88" s="109"/>
    </row>
    <row r="89" spans="1:16" s="124" customFormat="1" ht="27" customHeight="1">
      <c r="A89" s="112"/>
      <c r="B89" s="109"/>
      <c r="C89" s="109" t="s">
        <v>677</v>
      </c>
      <c r="D89" s="111">
        <f>E89+F89+G89</f>
        <v>2000</v>
      </c>
      <c r="E89" s="111"/>
      <c r="F89" s="111">
        <v>2000</v>
      </c>
      <c r="G89" s="111"/>
      <c r="H89" s="111">
        <f>I89+J89+K89</f>
        <v>2000</v>
      </c>
      <c r="I89" s="111">
        <v>0</v>
      </c>
      <c r="J89" s="111"/>
      <c r="K89" s="111">
        <f>L89+M89+N89+O89</f>
        <v>2000</v>
      </c>
      <c r="L89" s="111">
        <v>1600</v>
      </c>
      <c r="M89" s="111">
        <v>160</v>
      </c>
      <c r="N89" s="111"/>
      <c r="O89" s="111">
        <v>240</v>
      </c>
      <c r="P89" s="188"/>
    </row>
    <row r="90" spans="1:16" s="124" customFormat="1" ht="27" customHeight="1">
      <c r="A90" s="112"/>
      <c r="B90" s="109"/>
      <c r="C90" s="109" t="s">
        <v>676</v>
      </c>
      <c r="D90" s="111">
        <f>E90+F90+G90</f>
        <v>500</v>
      </c>
      <c r="E90" s="111"/>
      <c r="F90" s="111">
        <v>500</v>
      </c>
      <c r="G90" s="111"/>
      <c r="H90" s="111">
        <f>I90+J90+K90</f>
        <v>500</v>
      </c>
      <c r="I90" s="111">
        <v>50</v>
      </c>
      <c r="J90" s="111"/>
      <c r="K90" s="111">
        <f>L90+M90+N90+O90</f>
        <v>450</v>
      </c>
      <c r="L90" s="111"/>
      <c r="M90" s="111">
        <v>180</v>
      </c>
      <c r="N90" s="111"/>
      <c r="O90" s="111">
        <v>270</v>
      </c>
      <c r="P90" s="109"/>
    </row>
    <row r="91" spans="1:16" s="124" customFormat="1" ht="27" customHeight="1">
      <c r="A91" s="112"/>
      <c r="B91" s="109"/>
      <c r="C91" s="109" t="s">
        <v>675</v>
      </c>
      <c r="D91" s="111">
        <f>E91+F91+G91</f>
        <v>2600</v>
      </c>
      <c r="E91" s="111">
        <v>2600</v>
      </c>
      <c r="F91" s="111"/>
      <c r="G91" s="111"/>
      <c r="H91" s="111">
        <f>I91+J91+K91</f>
        <v>2600</v>
      </c>
      <c r="I91" s="111">
        <v>2600</v>
      </c>
      <c r="J91" s="111"/>
      <c r="K91" s="111"/>
      <c r="L91" s="111"/>
      <c r="M91" s="111"/>
      <c r="N91" s="111"/>
      <c r="O91" s="111"/>
      <c r="P91" s="109"/>
    </row>
    <row r="92" spans="1:16" s="124" customFormat="1" ht="27" customHeight="1">
      <c r="A92" s="112"/>
      <c r="B92" s="109"/>
      <c r="C92" s="109" t="s">
        <v>674</v>
      </c>
      <c r="D92" s="111">
        <f>E92+F92+G92</f>
        <v>30</v>
      </c>
      <c r="E92" s="111">
        <v>30</v>
      </c>
      <c r="F92" s="111"/>
      <c r="G92" s="111"/>
      <c r="H92" s="111">
        <f>I92+J92+K92</f>
        <v>30</v>
      </c>
      <c r="I92" s="111">
        <v>30</v>
      </c>
      <c r="J92" s="111"/>
      <c r="K92" s="111"/>
      <c r="L92" s="111"/>
      <c r="M92" s="111"/>
      <c r="N92" s="111"/>
      <c r="O92" s="111"/>
      <c r="P92" s="109"/>
    </row>
    <row r="93" spans="1:16" s="124" customFormat="1" ht="27" customHeight="1">
      <c r="A93" s="112" t="s">
        <v>3</v>
      </c>
      <c r="B93" s="109" t="s">
        <v>673</v>
      </c>
      <c r="C93" s="109" t="s">
        <v>672</v>
      </c>
      <c r="D93" s="111">
        <v>10988</v>
      </c>
      <c r="E93" s="111"/>
      <c r="F93" s="111"/>
      <c r="G93" s="111">
        <v>10988</v>
      </c>
      <c r="H93" s="111">
        <f>SUM(I93:K93)</f>
        <v>10988</v>
      </c>
      <c r="I93" s="111"/>
      <c r="J93" s="111"/>
      <c r="K93" s="111">
        <f>SUM(L93:O93)</f>
        <v>10988</v>
      </c>
      <c r="L93" s="111">
        <v>10988</v>
      </c>
      <c r="M93" s="111"/>
      <c r="N93" s="111"/>
      <c r="O93" s="111"/>
      <c r="P93" s="109"/>
    </row>
    <row r="94" spans="1:16" s="66" customFormat="1" ht="27" customHeight="1">
      <c r="A94" s="116">
        <v>6</v>
      </c>
      <c r="B94" s="110" t="s">
        <v>671</v>
      </c>
      <c r="C94" s="110"/>
      <c r="D94" s="115">
        <f>SUM(D95:D99)</f>
        <v>5032</v>
      </c>
      <c r="E94" s="115">
        <f>SUM(E95:E99)</f>
        <v>0</v>
      </c>
      <c r="F94" s="115">
        <f>SUM(F95:F99)</f>
        <v>0</v>
      </c>
      <c r="G94" s="115">
        <f>SUM(G95:G99)</f>
        <v>5032</v>
      </c>
      <c r="H94" s="115">
        <f>SUM(I94:K94)</f>
        <v>5032</v>
      </c>
      <c r="I94" s="115"/>
      <c r="J94" s="115">
        <v>503</v>
      </c>
      <c r="K94" s="115">
        <f>G94-J94</f>
        <v>4529</v>
      </c>
      <c r="L94" s="115">
        <v>3815</v>
      </c>
      <c r="M94" s="115">
        <f>ROUND((K94-L94)*40%,-0.1)</f>
        <v>286</v>
      </c>
      <c r="N94" s="115">
        <f>ROUND((K94-L94-M94)*31.5%,-0.1)</f>
        <v>135</v>
      </c>
      <c r="O94" s="115">
        <f>4529-3815-286-135</f>
        <v>293</v>
      </c>
      <c r="P94" s="189">
        <f>SUM(P95:P99)</f>
        <v>0</v>
      </c>
    </row>
    <row r="95" spans="1:16" s="124" customFormat="1" ht="27" customHeight="1">
      <c r="A95" s="112"/>
      <c r="B95" s="109"/>
      <c r="C95" s="109" t="s">
        <v>670</v>
      </c>
      <c r="D95" s="111">
        <f>E95+F95+G95</f>
        <v>1800</v>
      </c>
      <c r="E95" s="111"/>
      <c r="F95" s="111"/>
      <c r="G95" s="111">
        <v>1800</v>
      </c>
      <c r="H95" s="111"/>
      <c r="I95" s="111"/>
      <c r="J95" s="111"/>
      <c r="K95" s="111"/>
      <c r="L95" s="111"/>
      <c r="M95" s="111"/>
      <c r="N95" s="111"/>
      <c r="O95" s="111"/>
      <c r="P95" s="109"/>
    </row>
    <row r="96" spans="1:16" s="124" customFormat="1" ht="27" customHeight="1">
      <c r="A96" s="112"/>
      <c r="B96" s="109"/>
      <c r="C96" s="109" t="s">
        <v>669</v>
      </c>
      <c r="D96" s="111">
        <f>E96+F96+G96</f>
        <v>480</v>
      </c>
      <c r="E96" s="111"/>
      <c r="F96" s="111"/>
      <c r="G96" s="111">
        <v>480</v>
      </c>
      <c r="H96" s="111"/>
      <c r="I96" s="111"/>
      <c r="J96" s="111"/>
      <c r="K96" s="111"/>
      <c r="L96" s="111"/>
      <c r="M96" s="111"/>
      <c r="N96" s="111"/>
      <c r="O96" s="111"/>
      <c r="P96" s="109"/>
    </row>
    <row r="97" spans="1:16" s="124" customFormat="1" ht="27" customHeight="1">
      <c r="A97" s="112"/>
      <c r="B97" s="109"/>
      <c r="C97" s="109" t="s">
        <v>668</v>
      </c>
      <c r="D97" s="111">
        <f>E97+F97+G97</f>
        <v>560</v>
      </c>
      <c r="E97" s="111"/>
      <c r="F97" s="111"/>
      <c r="G97" s="111">
        <v>560</v>
      </c>
      <c r="H97" s="111"/>
      <c r="I97" s="111"/>
      <c r="J97" s="111"/>
      <c r="K97" s="111"/>
      <c r="L97" s="111"/>
      <c r="M97" s="111"/>
      <c r="N97" s="111"/>
      <c r="O97" s="111"/>
      <c r="P97" s="109"/>
    </row>
    <row r="98" spans="1:16" s="124" customFormat="1" ht="27" customHeight="1">
      <c r="A98" s="112"/>
      <c r="B98" s="109"/>
      <c r="C98" s="109" t="s">
        <v>667</v>
      </c>
      <c r="D98" s="111">
        <f>E98+F98+G98</f>
        <v>1800</v>
      </c>
      <c r="E98" s="111"/>
      <c r="F98" s="111"/>
      <c r="G98" s="111">
        <v>1800</v>
      </c>
      <c r="H98" s="111"/>
      <c r="I98" s="111"/>
      <c r="J98" s="111"/>
      <c r="K98" s="111"/>
      <c r="L98" s="111"/>
      <c r="M98" s="111"/>
      <c r="N98" s="111"/>
      <c r="O98" s="111"/>
      <c r="P98" s="109"/>
    </row>
    <row r="99" spans="1:16" s="124" customFormat="1" ht="27" customHeight="1">
      <c r="A99" s="112"/>
      <c r="B99" s="109"/>
      <c r="C99" s="109" t="s">
        <v>666</v>
      </c>
      <c r="D99" s="111">
        <f>E99+F99+G99</f>
        <v>392</v>
      </c>
      <c r="E99" s="111"/>
      <c r="F99" s="111"/>
      <c r="G99" s="111">
        <v>392</v>
      </c>
      <c r="H99" s="111"/>
      <c r="I99" s="111"/>
      <c r="J99" s="111"/>
      <c r="K99" s="111"/>
      <c r="L99" s="111"/>
      <c r="M99" s="111"/>
      <c r="N99" s="111"/>
      <c r="O99" s="111"/>
      <c r="P99" s="109"/>
    </row>
    <row r="100" spans="1:16" ht="27" customHeight="1">
      <c r="A100" s="158">
        <v>7</v>
      </c>
      <c r="B100" s="157" t="s">
        <v>836</v>
      </c>
      <c r="C100" s="156"/>
      <c r="D100" s="122">
        <f>SUM(D101:D105)</f>
        <v>918</v>
      </c>
      <c r="E100" s="122"/>
      <c r="F100" s="122"/>
      <c r="G100" s="122">
        <f t="shared" ref="G100:O100" si="21">SUM(G101:G105)</f>
        <v>918</v>
      </c>
      <c r="H100" s="122">
        <f t="shared" si="21"/>
        <v>1077</v>
      </c>
      <c r="I100" s="122">
        <f t="shared" si="21"/>
        <v>0</v>
      </c>
      <c r="J100" s="122">
        <f t="shared" si="21"/>
        <v>8.7600000000000016</v>
      </c>
      <c r="K100" s="122">
        <f t="shared" si="21"/>
        <v>1068.24</v>
      </c>
      <c r="L100" s="122">
        <f t="shared" si="21"/>
        <v>700</v>
      </c>
      <c r="M100" s="122">
        <f t="shared" si="21"/>
        <v>84</v>
      </c>
      <c r="N100" s="122">
        <f t="shared" si="21"/>
        <v>176</v>
      </c>
      <c r="O100" s="122">
        <f t="shared" si="21"/>
        <v>108.24</v>
      </c>
      <c r="P100" s="155"/>
    </row>
    <row r="101" spans="1:16" ht="27" customHeight="1">
      <c r="A101" s="112"/>
      <c r="B101" s="117"/>
      <c r="C101" s="109" t="s">
        <v>665</v>
      </c>
      <c r="D101" s="403">
        <f>SUM(E101:G101)</f>
        <v>50</v>
      </c>
      <c r="E101" s="403"/>
      <c r="F101" s="403"/>
      <c r="G101" s="403">
        <v>50</v>
      </c>
      <c r="H101" s="403">
        <f>SUM(I101:K101)</f>
        <v>209</v>
      </c>
      <c r="I101" s="403"/>
      <c r="J101" s="403"/>
      <c r="K101" s="403">
        <f>L101+M101+N101+O101</f>
        <v>209</v>
      </c>
      <c r="L101" s="403"/>
      <c r="M101" s="403">
        <v>20</v>
      </c>
      <c r="N101" s="111">
        <v>163</v>
      </c>
      <c r="O101" s="111">
        <v>26</v>
      </c>
      <c r="P101" s="154" t="s">
        <v>921</v>
      </c>
    </row>
    <row r="102" spans="1:16" ht="27" customHeight="1">
      <c r="A102" s="112"/>
      <c r="B102" s="109"/>
      <c r="C102" s="109" t="s">
        <v>664</v>
      </c>
      <c r="D102" s="403">
        <f>SUM(E102:G102)</f>
        <v>48</v>
      </c>
      <c r="E102" s="111"/>
      <c r="F102" s="111"/>
      <c r="G102" s="111">
        <v>48</v>
      </c>
      <c r="H102" s="403">
        <f>SUM(I102:K102)</f>
        <v>48</v>
      </c>
      <c r="I102" s="111"/>
      <c r="J102" s="111">
        <f>G102*7%</f>
        <v>3.3600000000000003</v>
      </c>
      <c r="K102" s="403">
        <f>L102+M102+N102+O102</f>
        <v>44.64</v>
      </c>
      <c r="L102" s="111"/>
      <c r="M102" s="111">
        <v>19</v>
      </c>
      <c r="N102" s="111">
        <v>4</v>
      </c>
      <c r="O102" s="111">
        <f>D102-I102-L102-M102-N102-J102</f>
        <v>21.64</v>
      </c>
      <c r="P102" s="117" t="s">
        <v>658</v>
      </c>
    </row>
    <row r="103" spans="1:16" ht="27" customHeight="1">
      <c r="A103" s="112"/>
      <c r="B103" s="109"/>
      <c r="C103" s="109" t="s">
        <v>663</v>
      </c>
      <c r="D103" s="403">
        <f>SUM(E103:G103)</f>
        <v>60</v>
      </c>
      <c r="E103" s="111"/>
      <c r="F103" s="111"/>
      <c r="G103" s="111">
        <v>60</v>
      </c>
      <c r="H103" s="403">
        <f>SUM(I103:K103)</f>
        <v>60</v>
      </c>
      <c r="I103" s="111"/>
      <c r="J103" s="111">
        <f>G103*2%</f>
        <v>1.2</v>
      </c>
      <c r="K103" s="403">
        <f>L103+M103+N103+O103</f>
        <v>58.8</v>
      </c>
      <c r="L103" s="111"/>
      <c r="M103" s="111">
        <v>23</v>
      </c>
      <c r="N103" s="111">
        <v>5</v>
      </c>
      <c r="O103" s="111">
        <f>D103-I103-L103-M103-N103-J103</f>
        <v>30.8</v>
      </c>
      <c r="P103" s="117" t="s">
        <v>662</v>
      </c>
    </row>
    <row r="104" spans="1:16" ht="27" customHeight="1">
      <c r="A104" s="112"/>
      <c r="B104" s="109"/>
      <c r="C104" s="109" t="s">
        <v>661</v>
      </c>
      <c r="D104" s="403">
        <f>SUM(E104:G104)</f>
        <v>700</v>
      </c>
      <c r="E104" s="111"/>
      <c r="F104" s="111"/>
      <c r="G104" s="111">
        <v>700</v>
      </c>
      <c r="H104" s="403">
        <f>SUM(I104:K104)</f>
        <v>700</v>
      </c>
      <c r="I104" s="111"/>
      <c r="J104" s="111"/>
      <c r="K104" s="403">
        <f>L104+M104+N104+O104</f>
        <v>700</v>
      </c>
      <c r="L104" s="111">
        <v>700</v>
      </c>
      <c r="M104" s="403"/>
      <c r="N104" s="111">
        <v>0</v>
      </c>
      <c r="O104" s="111">
        <f>D104-I104-L104-M104-N104-J104</f>
        <v>0</v>
      </c>
      <c r="P104" s="117" t="s">
        <v>660</v>
      </c>
    </row>
    <row r="105" spans="1:16" ht="27" customHeight="1">
      <c r="A105" s="112"/>
      <c r="B105" s="109"/>
      <c r="C105" s="109" t="s">
        <v>659</v>
      </c>
      <c r="D105" s="403">
        <f>SUM(E105:G105)</f>
        <v>60</v>
      </c>
      <c r="E105" s="111"/>
      <c r="F105" s="111"/>
      <c r="G105" s="111">
        <v>60</v>
      </c>
      <c r="H105" s="403">
        <f>SUM(I105:K105)</f>
        <v>60</v>
      </c>
      <c r="I105" s="111"/>
      <c r="J105" s="111">
        <f>G105*7%</f>
        <v>4.2</v>
      </c>
      <c r="K105" s="403">
        <f>L105+M105+N105+O105</f>
        <v>55.8</v>
      </c>
      <c r="L105" s="111"/>
      <c r="M105" s="111">
        <v>22</v>
      </c>
      <c r="N105" s="111">
        <v>4</v>
      </c>
      <c r="O105" s="111">
        <f>D105-I105-L105-M105-N105-J105</f>
        <v>29.8</v>
      </c>
      <c r="P105" s="117" t="s">
        <v>658</v>
      </c>
    </row>
    <row r="106" spans="1:16" ht="27" customHeight="1">
      <c r="A106" s="116">
        <v>8</v>
      </c>
      <c r="B106" s="110" t="s">
        <v>427</v>
      </c>
      <c r="C106" s="110"/>
      <c r="D106" s="115">
        <f t="shared" ref="D106:O106" si="22">D107+D117+D122+D130</f>
        <v>8695</v>
      </c>
      <c r="E106" s="115">
        <f t="shared" si="22"/>
        <v>530</v>
      </c>
      <c r="F106" s="115">
        <f t="shared" si="22"/>
        <v>1815</v>
      </c>
      <c r="G106" s="115">
        <f t="shared" si="22"/>
        <v>6350</v>
      </c>
      <c r="H106" s="115">
        <f t="shared" si="22"/>
        <v>8695</v>
      </c>
      <c r="I106" s="115">
        <f t="shared" si="22"/>
        <v>1271.25</v>
      </c>
      <c r="J106" s="115">
        <f t="shared" si="22"/>
        <v>635</v>
      </c>
      <c r="K106" s="115">
        <f t="shared" si="22"/>
        <v>6788.75</v>
      </c>
      <c r="L106" s="115">
        <f t="shared" si="22"/>
        <v>5464.7</v>
      </c>
      <c r="M106" s="115">
        <f t="shared" si="22"/>
        <v>529</v>
      </c>
      <c r="N106" s="115">
        <f t="shared" si="22"/>
        <v>194</v>
      </c>
      <c r="O106" s="115">
        <f t="shared" si="22"/>
        <v>601.05000000000018</v>
      </c>
      <c r="P106" s="110"/>
    </row>
    <row r="107" spans="1:16" ht="27" customHeight="1">
      <c r="A107" s="116" t="s">
        <v>3</v>
      </c>
      <c r="B107" s="110" t="s">
        <v>657</v>
      </c>
      <c r="C107" s="110"/>
      <c r="D107" s="122">
        <f>ROUND(SUM(D108:D116),-1)</f>
        <v>300</v>
      </c>
      <c r="E107" s="122">
        <f>SUM(E108:E116)</f>
        <v>30</v>
      </c>
      <c r="F107" s="122">
        <f>ROUND(SUM(F108:F116),-1)</f>
        <v>270</v>
      </c>
      <c r="G107" s="122">
        <f>SUM(G108:G116)</f>
        <v>0</v>
      </c>
      <c r="H107" s="122">
        <f>I107+J107+K107</f>
        <v>300</v>
      </c>
      <c r="I107" s="122">
        <f>ROUND(SUM(I108:I116),0)</f>
        <v>153</v>
      </c>
      <c r="J107" s="122">
        <f>SUM(J108:J116)</f>
        <v>0</v>
      </c>
      <c r="K107" s="122">
        <f>L107+M107+N107+O107</f>
        <v>147</v>
      </c>
      <c r="L107" s="115"/>
      <c r="M107" s="115">
        <v>59</v>
      </c>
      <c r="N107" s="115"/>
      <c r="O107" s="115">
        <f>D107-I107-J107-L107-M107-N107</f>
        <v>88</v>
      </c>
      <c r="P107" s="110"/>
    </row>
    <row r="108" spans="1:16" ht="27" customHeight="1">
      <c r="A108" s="112"/>
      <c r="B108" s="109"/>
      <c r="C108" s="153" t="s">
        <v>656</v>
      </c>
      <c r="D108" s="403">
        <f t="shared" ref="D108:D116" si="23">SUM(E108:G108)</f>
        <v>10</v>
      </c>
      <c r="E108" s="111"/>
      <c r="F108" s="111">
        <v>10</v>
      </c>
      <c r="G108" s="111"/>
      <c r="H108" s="403"/>
      <c r="I108" s="111">
        <f>F108*100%</f>
        <v>10</v>
      </c>
      <c r="J108" s="111"/>
      <c r="K108" s="403"/>
      <c r="L108" s="111"/>
      <c r="M108" s="111"/>
      <c r="N108" s="111"/>
      <c r="O108" s="111"/>
      <c r="P108" s="109" t="s">
        <v>632</v>
      </c>
    </row>
    <row r="109" spans="1:16" ht="27" customHeight="1">
      <c r="A109" s="112"/>
      <c r="B109" s="109"/>
      <c r="C109" s="152" t="s">
        <v>655</v>
      </c>
      <c r="D109" s="403">
        <f t="shared" si="23"/>
        <v>200</v>
      </c>
      <c r="E109" s="111"/>
      <c r="F109" s="111">
        <v>200</v>
      </c>
      <c r="G109" s="111"/>
      <c r="H109" s="403"/>
      <c r="I109" s="111">
        <f>F109*50%</f>
        <v>100</v>
      </c>
      <c r="J109" s="111"/>
      <c r="K109" s="403"/>
      <c r="L109" s="111"/>
      <c r="M109" s="111"/>
      <c r="N109" s="111"/>
      <c r="O109" s="111"/>
      <c r="P109" s="109" t="s">
        <v>640</v>
      </c>
    </row>
    <row r="110" spans="1:16" ht="27" customHeight="1">
      <c r="A110" s="112"/>
      <c r="B110" s="109"/>
      <c r="C110" s="152" t="s">
        <v>654</v>
      </c>
      <c r="D110" s="403">
        <f t="shared" si="23"/>
        <v>20</v>
      </c>
      <c r="E110" s="111"/>
      <c r="F110" s="111">
        <v>20</v>
      </c>
      <c r="G110" s="111"/>
      <c r="H110" s="403"/>
      <c r="I110" s="111">
        <f>F110*30%</f>
        <v>6</v>
      </c>
      <c r="J110" s="111"/>
      <c r="K110" s="403"/>
      <c r="L110" s="111"/>
      <c r="M110" s="111"/>
      <c r="N110" s="111"/>
      <c r="O110" s="111"/>
      <c r="P110" s="109" t="s">
        <v>651</v>
      </c>
    </row>
    <row r="111" spans="1:16" ht="27" customHeight="1">
      <c r="A111" s="112"/>
      <c r="B111" s="109"/>
      <c r="C111" s="152" t="s">
        <v>653</v>
      </c>
      <c r="D111" s="403">
        <f t="shared" si="23"/>
        <v>7</v>
      </c>
      <c r="E111" s="111"/>
      <c r="F111" s="406">
        <v>7</v>
      </c>
      <c r="G111" s="111"/>
      <c r="H111" s="403"/>
      <c r="I111" s="111">
        <f>F111*10%</f>
        <v>0.70000000000000007</v>
      </c>
      <c r="J111" s="111"/>
      <c r="K111" s="403"/>
      <c r="L111" s="111"/>
      <c r="M111" s="111"/>
      <c r="N111" s="111"/>
      <c r="O111" s="111"/>
      <c r="P111" s="109" t="s">
        <v>636</v>
      </c>
    </row>
    <row r="112" spans="1:16" ht="27" customHeight="1">
      <c r="A112" s="112"/>
      <c r="B112" s="109"/>
      <c r="C112" s="152" t="s">
        <v>652</v>
      </c>
      <c r="D112" s="403">
        <f t="shared" si="23"/>
        <v>10</v>
      </c>
      <c r="E112" s="111"/>
      <c r="F112" s="406">
        <v>10</v>
      </c>
      <c r="G112" s="111"/>
      <c r="H112" s="403"/>
      <c r="I112" s="111">
        <f>F112*30%</f>
        <v>3</v>
      </c>
      <c r="J112" s="111"/>
      <c r="K112" s="403"/>
      <c r="L112" s="111"/>
      <c r="M112" s="111"/>
      <c r="N112" s="111"/>
      <c r="O112" s="111"/>
      <c r="P112" s="109" t="s">
        <v>651</v>
      </c>
    </row>
    <row r="113" spans="1:16" ht="27" customHeight="1">
      <c r="A113" s="112"/>
      <c r="B113" s="109"/>
      <c r="C113" s="152" t="s">
        <v>644</v>
      </c>
      <c r="D113" s="403">
        <f t="shared" si="23"/>
        <v>8.6</v>
      </c>
      <c r="E113" s="111"/>
      <c r="F113" s="406">
        <v>8.6</v>
      </c>
      <c r="G113" s="111"/>
      <c r="H113" s="403"/>
      <c r="I113" s="111">
        <f>F113*35%</f>
        <v>3.01</v>
      </c>
      <c r="J113" s="111"/>
      <c r="K113" s="403"/>
      <c r="L113" s="111"/>
      <c r="M113" s="111"/>
      <c r="N113" s="111"/>
      <c r="O113" s="111"/>
      <c r="P113" s="109" t="s">
        <v>643</v>
      </c>
    </row>
    <row r="114" spans="1:16" ht="27" customHeight="1">
      <c r="A114" s="112"/>
      <c r="B114" s="109"/>
      <c r="C114" s="152" t="s">
        <v>650</v>
      </c>
      <c r="D114" s="403">
        <f t="shared" si="23"/>
        <v>12</v>
      </c>
      <c r="E114" s="111"/>
      <c r="F114" s="406">
        <v>12</v>
      </c>
      <c r="G114" s="111"/>
      <c r="H114" s="403"/>
      <c r="I114" s="111">
        <v>0</v>
      </c>
      <c r="J114" s="111"/>
      <c r="K114" s="403"/>
      <c r="L114" s="111"/>
      <c r="M114" s="111"/>
      <c r="N114" s="111"/>
      <c r="O114" s="111"/>
      <c r="P114" s="109"/>
    </row>
    <row r="115" spans="1:16" ht="27" customHeight="1">
      <c r="A115" s="112"/>
      <c r="B115" s="109"/>
      <c r="C115" s="152" t="s">
        <v>649</v>
      </c>
      <c r="D115" s="403">
        <f t="shared" si="23"/>
        <v>3.5</v>
      </c>
      <c r="E115" s="111"/>
      <c r="F115" s="406">
        <v>3.5</v>
      </c>
      <c r="G115" s="111"/>
      <c r="H115" s="403"/>
      <c r="I115" s="111">
        <f>F115*10%</f>
        <v>0.35000000000000003</v>
      </c>
      <c r="J115" s="111"/>
      <c r="K115" s="403"/>
      <c r="L115" s="111"/>
      <c r="M115" s="111"/>
      <c r="N115" s="111"/>
      <c r="O115" s="111"/>
      <c r="P115" s="109" t="s">
        <v>636</v>
      </c>
    </row>
    <row r="116" spans="1:16" ht="27" customHeight="1">
      <c r="A116" s="112"/>
      <c r="B116" s="109"/>
      <c r="C116" s="109" t="s">
        <v>1072</v>
      </c>
      <c r="D116" s="403">
        <f t="shared" si="23"/>
        <v>30</v>
      </c>
      <c r="E116" s="111">
        <v>30</v>
      </c>
      <c r="F116" s="111"/>
      <c r="G116" s="111"/>
      <c r="H116" s="403"/>
      <c r="I116" s="111">
        <v>30</v>
      </c>
      <c r="J116" s="111"/>
      <c r="K116" s="403"/>
      <c r="L116" s="111"/>
      <c r="M116" s="111"/>
      <c r="N116" s="111"/>
      <c r="O116" s="111"/>
      <c r="P116" s="109" t="s">
        <v>632</v>
      </c>
    </row>
    <row r="117" spans="1:16" ht="27" customHeight="1">
      <c r="A117" s="116" t="s">
        <v>3</v>
      </c>
      <c r="B117" s="110" t="s">
        <v>648</v>
      </c>
      <c r="C117" s="110"/>
      <c r="D117" s="115">
        <f>SUM(D118:D121)</f>
        <v>535</v>
      </c>
      <c r="E117" s="115"/>
      <c r="F117" s="115">
        <f>SUM(F118:F121)</f>
        <v>535</v>
      </c>
      <c r="G117" s="115"/>
      <c r="H117" s="122">
        <f>I117+J117+K117</f>
        <v>535</v>
      </c>
      <c r="I117" s="115">
        <f>SUM(I118:I121)</f>
        <v>307.25</v>
      </c>
      <c r="J117" s="115">
        <f>SUM(J118:J121)</f>
        <v>0</v>
      </c>
      <c r="K117" s="122">
        <f>L117+M117+N117+O117</f>
        <v>227.75</v>
      </c>
      <c r="L117" s="115"/>
      <c r="M117" s="115">
        <v>91</v>
      </c>
      <c r="N117" s="115"/>
      <c r="O117" s="115">
        <f>D117-I117-J117-L117-M117-N117</f>
        <v>136.75</v>
      </c>
      <c r="P117" s="110"/>
    </row>
    <row r="118" spans="1:16" ht="27" customHeight="1">
      <c r="A118" s="112"/>
      <c r="B118" s="109"/>
      <c r="C118" s="109" t="s">
        <v>647</v>
      </c>
      <c r="D118" s="403">
        <f>SUM(E118:G118)</f>
        <v>300</v>
      </c>
      <c r="E118" s="111"/>
      <c r="F118" s="406">
        <v>300</v>
      </c>
      <c r="G118" s="111"/>
      <c r="H118" s="403"/>
      <c r="I118" s="111">
        <f>F118*75%</f>
        <v>225</v>
      </c>
      <c r="J118" s="111"/>
      <c r="K118" s="111"/>
      <c r="L118" s="111"/>
      <c r="M118" s="111"/>
      <c r="N118" s="111"/>
      <c r="O118" s="111"/>
      <c r="P118" s="109" t="s">
        <v>646</v>
      </c>
    </row>
    <row r="119" spans="1:16" ht="27" customHeight="1">
      <c r="A119" s="112"/>
      <c r="B119" s="109"/>
      <c r="C119" s="109" t="s">
        <v>645</v>
      </c>
      <c r="D119" s="403">
        <f>SUM(E119:G119)</f>
        <v>150</v>
      </c>
      <c r="E119" s="111"/>
      <c r="F119" s="406">
        <v>150</v>
      </c>
      <c r="G119" s="111"/>
      <c r="H119" s="403"/>
      <c r="I119" s="111">
        <f>F119*35%</f>
        <v>52.5</v>
      </c>
      <c r="J119" s="111"/>
      <c r="K119" s="111"/>
      <c r="L119" s="111"/>
      <c r="M119" s="111"/>
      <c r="N119" s="111"/>
      <c r="O119" s="111"/>
      <c r="P119" s="109" t="s">
        <v>643</v>
      </c>
    </row>
    <row r="120" spans="1:16" ht="27" customHeight="1">
      <c r="A120" s="112"/>
      <c r="B120" s="109"/>
      <c r="C120" s="152" t="s">
        <v>644</v>
      </c>
      <c r="D120" s="403">
        <f>SUM(E120:G120)</f>
        <v>80</v>
      </c>
      <c r="E120" s="111"/>
      <c r="F120" s="406">
        <v>80</v>
      </c>
      <c r="G120" s="111"/>
      <c r="H120" s="403"/>
      <c r="I120" s="111">
        <f>F120*35%</f>
        <v>28</v>
      </c>
      <c r="J120" s="111"/>
      <c r="K120" s="111"/>
      <c r="L120" s="111"/>
      <c r="M120" s="111"/>
      <c r="N120" s="111"/>
      <c r="O120" s="111"/>
      <c r="P120" s="109" t="s">
        <v>643</v>
      </c>
    </row>
    <row r="121" spans="1:16" ht="27" customHeight="1">
      <c r="A121" s="112"/>
      <c r="B121" s="109"/>
      <c r="C121" s="109" t="s">
        <v>1073</v>
      </c>
      <c r="D121" s="403">
        <f>SUM(E121:G121)</f>
        <v>5</v>
      </c>
      <c r="E121" s="111"/>
      <c r="F121" s="406">
        <v>5</v>
      </c>
      <c r="G121" s="111"/>
      <c r="H121" s="403"/>
      <c r="I121" s="111">
        <f>F121*35%</f>
        <v>1.75</v>
      </c>
      <c r="J121" s="111"/>
      <c r="K121" s="111"/>
      <c r="L121" s="111"/>
      <c r="M121" s="111"/>
      <c r="N121" s="111"/>
      <c r="O121" s="111"/>
      <c r="P121" s="109" t="s">
        <v>643</v>
      </c>
    </row>
    <row r="122" spans="1:16" ht="27" customHeight="1">
      <c r="A122" s="116" t="s">
        <v>3</v>
      </c>
      <c r="B122" s="110" t="s">
        <v>821</v>
      </c>
      <c r="C122" s="110"/>
      <c r="D122" s="115">
        <f t="shared" ref="D122:O122" si="24">D123+D128+D129</f>
        <v>5310</v>
      </c>
      <c r="E122" s="115">
        <f t="shared" si="24"/>
        <v>500</v>
      </c>
      <c r="F122" s="115">
        <f t="shared" si="24"/>
        <v>1010</v>
      </c>
      <c r="G122" s="115">
        <f t="shared" si="24"/>
        <v>3800</v>
      </c>
      <c r="H122" s="115">
        <f t="shared" si="24"/>
        <v>5310</v>
      </c>
      <c r="I122" s="115">
        <f t="shared" si="24"/>
        <v>811</v>
      </c>
      <c r="J122" s="115">
        <f t="shared" si="24"/>
        <v>380</v>
      </c>
      <c r="K122" s="115">
        <f t="shared" si="24"/>
        <v>4119</v>
      </c>
      <c r="L122" s="115">
        <f t="shared" si="24"/>
        <v>3274.7</v>
      </c>
      <c r="M122" s="115">
        <f t="shared" si="24"/>
        <v>337</v>
      </c>
      <c r="N122" s="115">
        <f t="shared" si="24"/>
        <v>162</v>
      </c>
      <c r="O122" s="115">
        <f t="shared" si="24"/>
        <v>345.30000000000018</v>
      </c>
      <c r="P122" s="110"/>
    </row>
    <row r="123" spans="1:16" ht="27" customHeight="1">
      <c r="A123" s="112"/>
      <c r="B123" s="109"/>
      <c r="C123" s="110" t="s">
        <v>642</v>
      </c>
      <c r="D123" s="115">
        <f>SUM(D124:D127)</f>
        <v>1010</v>
      </c>
      <c r="E123" s="115">
        <f>SUM(E124:E127)</f>
        <v>0</v>
      </c>
      <c r="F123" s="115">
        <f>SUM(F124:F127)</f>
        <v>1010</v>
      </c>
      <c r="G123" s="115">
        <f>SUM(G124:G127)</f>
        <v>0</v>
      </c>
      <c r="H123" s="115">
        <f>SUM(I123:K123)</f>
        <v>1010</v>
      </c>
      <c r="I123" s="115">
        <f>SUM(I124:I127)</f>
        <v>311</v>
      </c>
      <c r="J123" s="115">
        <f>SUM(J124:J127)</f>
        <v>0</v>
      </c>
      <c r="K123" s="115">
        <f>SUM(L123:O123)</f>
        <v>699</v>
      </c>
      <c r="L123" s="115">
        <f>250</f>
        <v>250</v>
      </c>
      <c r="M123" s="115">
        <v>179</v>
      </c>
      <c r="N123" s="115">
        <v>86</v>
      </c>
      <c r="O123" s="115">
        <f>D123-I123-J123-L123-M123-N123</f>
        <v>184</v>
      </c>
      <c r="P123" s="110"/>
    </row>
    <row r="124" spans="1:16" ht="27" customHeight="1">
      <c r="A124" s="112"/>
      <c r="B124" s="109"/>
      <c r="C124" s="151" t="s">
        <v>641</v>
      </c>
      <c r="D124" s="403">
        <f t="shared" ref="D124:D129" si="25">SUM(E124:G124)</f>
        <v>450</v>
      </c>
      <c r="E124" s="111"/>
      <c r="F124" s="406">
        <v>450</v>
      </c>
      <c r="G124" s="111"/>
      <c r="H124" s="111"/>
      <c r="I124" s="111">
        <f>F124*50%</f>
        <v>225</v>
      </c>
      <c r="J124" s="111"/>
      <c r="K124" s="111"/>
      <c r="L124" s="111"/>
      <c r="M124" s="111"/>
      <c r="N124" s="111"/>
      <c r="O124" s="111"/>
      <c r="P124" s="109" t="s">
        <v>640</v>
      </c>
    </row>
    <row r="125" spans="1:16" ht="27" customHeight="1">
      <c r="A125" s="112"/>
      <c r="B125" s="109"/>
      <c r="C125" s="151" t="s">
        <v>639</v>
      </c>
      <c r="D125" s="403">
        <f t="shared" si="25"/>
        <v>36</v>
      </c>
      <c r="E125" s="111"/>
      <c r="F125" s="406">
        <v>36</v>
      </c>
      <c r="G125" s="111"/>
      <c r="H125" s="111"/>
      <c r="I125" s="111">
        <f>F125*90%</f>
        <v>32.4</v>
      </c>
      <c r="J125" s="111"/>
      <c r="K125" s="111"/>
      <c r="L125" s="111"/>
      <c r="M125" s="111"/>
      <c r="N125" s="111"/>
      <c r="O125" s="111"/>
      <c r="P125" s="109" t="s">
        <v>638</v>
      </c>
    </row>
    <row r="126" spans="1:16" ht="27" customHeight="1">
      <c r="A126" s="112"/>
      <c r="B126" s="109"/>
      <c r="C126" s="151" t="s">
        <v>637</v>
      </c>
      <c r="D126" s="403">
        <f t="shared" si="25"/>
        <v>520</v>
      </c>
      <c r="E126" s="111"/>
      <c r="F126" s="406">
        <v>520</v>
      </c>
      <c r="G126" s="111"/>
      <c r="H126" s="111"/>
      <c r="I126" s="111">
        <f>F126*10%</f>
        <v>52</v>
      </c>
      <c r="J126" s="111"/>
      <c r="K126" s="111"/>
      <c r="L126" s="111"/>
      <c r="M126" s="111"/>
      <c r="N126" s="111"/>
      <c r="O126" s="111"/>
      <c r="P126" s="109" t="s">
        <v>636</v>
      </c>
    </row>
    <row r="127" spans="1:16" ht="27" customHeight="1">
      <c r="A127" s="112"/>
      <c r="B127" s="109"/>
      <c r="C127" s="150" t="s">
        <v>635</v>
      </c>
      <c r="D127" s="403">
        <f t="shared" si="25"/>
        <v>4</v>
      </c>
      <c r="E127" s="111"/>
      <c r="F127" s="406">
        <v>4</v>
      </c>
      <c r="G127" s="111"/>
      <c r="H127" s="111"/>
      <c r="I127" s="111">
        <f>F127*40%</f>
        <v>1.6</v>
      </c>
      <c r="J127" s="111"/>
      <c r="K127" s="111"/>
      <c r="L127" s="111"/>
      <c r="M127" s="111"/>
      <c r="N127" s="111"/>
      <c r="O127" s="111"/>
      <c r="P127" s="109" t="s">
        <v>634</v>
      </c>
    </row>
    <row r="128" spans="1:16" ht="27" customHeight="1">
      <c r="A128" s="112"/>
      <c r="B128" s="109"/>
      <c r="C128" s="149" t="s">
        <v>633</v>
      </c>
      <c r="D128" s="122">
        <f t="shared" si="25"/>
        <v>500</v>
      </c>
      <c r="E128" s="122">
        <v>500</v>
      </c>
      <c r="F128" s="122"/>
      <c r="G128" s="115"/>
      <c r="H128" s="115">
        <f>SUM(I128:K128)</f>
        <v>500</v>
      </c>
      <c r="I128" s="115">
        <v>500</v>
      </c>
      <c r="J128" s="115"/>
      <c r="K128" s="115">
        <f>SUM(L128:O128)</f>
        <v>0</v>
      </c>
      <c r="L128" s="115">
        <v>0</v>
      </c>
      <c r="M128" s="115">
        <f>(D128-L128-I128)*40%</f>
        <v>0</v>
      </c>
      <c r="N128" s="115">
        <f>(D128-I128-L128-M128)*32.8%</f>
        <v>0</v>
      </c>
      <c r="O128" s="115">
        <f>D128-I128-J128-L128-M128-N128</f>
        <v>0</v>
      </c>
      <c r="P128" s="109" t="s">
        <v>632</v>
      </c>
    </row>
    <row r="129" spans="1:16" ht="27" customHeight="1">
      <c r="A129" s="112"/>
      <c r="B129" s="110"/>
      <c r="C129" s="110" t="s">
        <v>631</v>
      </c>
      <c r="D129" s="122">
        <f t="shared" si="25"/>
        <v>3800</v>
      </c>
      <c r="E129" s="115"/>
      <c r="F129" s="115"/>
      <c r="G129" s="115">
        <v>3800</v>
      </c>
      <c r="H129" s="115">
        <f>SUM(I129:K129)</f>
        <v>3800</v>
      </c>
      <c r="I129" s="115"/>
      <c r="J129" s="115">
        <f>G129*10%</f>
        <v>380</v>
      </c>
      <c r="K129" s="115">
        <f>SUM(L129:O129)</f>
        <v>3420</v>
      </c>
      <c r="L129" s="115">
        <v>3024.7</v>
      </c>
      <c r="M129" s="115">
        <v>158</v>
      </c>
      <c r="N129" s="115">
        <v>76</v>
      </c>
      <c r="O129" s="115">
        <f>D129-I129-J129-L129-M129-N129</f>
        <v>161.30000000000018</v>
      </c>
      <c r="P129" s="109" t="s">
        <v>628</v>
      </c>
    </row>
    <row r="130" spans="1:16" ht="27" customHeight="1">
      <c r="A130" s="116" t="s">
        <v>3</v>
      </c>
      <c r="B130" s="110" t="s">
        <v>424</v>
      </c>
      <c r="C130" s="110"/>
      <c r="D130" s="115">
        <f>SUM(D131:D132)</f>
        <v>2550</v>
      </c>
      <c r="E130" s="115">
        <f>SUM(E131:E132)</f>
        <v>0</v>
      </c>
      <c r="F130" s="115">
        <f>SUM(F131:F132)</f>
        <v>0</v>
      </c>
      <c r="G130" s="115">
        <f>SUM(G131:G132)</f>
        <v>2550</v>
      </c>
      <c r="H130" s="115">
        <f>SUM(I130:K130)</f>
        <v>2550</v>
      </c>
      <c r="I130" s="115">
        <f>SUM(I131:I132)</f>
        <v>0</v>
      </c>
      <c r="J130" s="115">
        <v>255</v>
      </c>
      <c r="K130" s="115">
        <f>SUM(L130:O130)</f>
        <v>2295</v>
      </c>
      <c r="L130" s="115">
        <v>2190</v>
      </c>
      <c r="M130" s="115">
        <v>42</v>
      </c>
      <c r="N130" s="115">
        <v>32</v>
      </c>
      <c r="O130" s="115">
        <f>D130-I130-J130-L130-M130-N130</f>
        <v>31</v>
      </c>
      <c r="P130" s="109"/>
    </row>
    <row r="131" spans="1:16" ht="27" customHeight="1">
      <c r="A131" s="112"/>
      <c r="B131" s="109"/>
      <c r="C131" s="109" t="s">
        <v>630</v>
      </c>
      <c r="D131" s="403">
        <f>SUM(E131:G131)</f>
        <v>1700</v>
      </c>
      <c r="E131" s="111"/>
      <c r="F131" s="111"/>
      <c r="G131" s="111">
        <v>1700</v>
      </c>
      <c r="H131" s="111"/>
      <c r="I131" s="111"/>
      <c r="J131" s="111">
        <f>G131*10%</f>
        <v>170</v>
      </c>
      <c r="K131" s="111"/>
      <c r="L131" s="111"/>
      <c r="M131" s="115"/>
      <c r="N131" s="111"/>
      <c r="O131" s="111"/>
      <c r="P131" s="109" t="s">
        <v>628</v>
      </c>
    </row>
    <row r="132" spans="1:16" ht="27" customHeight="1">
      <c r="A132" s="112"/>
      <c r="B132" s="109"/>
      <c r="C132" s="109" t="s">
        <v>629</v>
      </c>
      <c r="D132" s="403">
        <f>SUM(E132:G132)</f>
        <v>850</v>
      </c>
      <c r="E132" s="111"/>
      <c r="F132" s="111"/>
      <c r="G132" s="111">
        <v>850</v>
      </c>
      <c r="H132" s="111"/>
      <c r="I132" s="111"/>
      <c r="J132" s="111">
        <f>G132*10%</f>
        <v>85</v>
      </c>
      <c r="K132" s="111"/>
      <c r="L132" s="111"/>
      <c r="M132" s="115"/>
      <c r="N132" s="111"/>
      <c r="O132" s="111"/>
      <c r="P132" s="109" t="s">
        <v>628</v>
      </c>
    </row>
    <row r="133" spans="1:16" ht="27" customHeight="1">
      <c r="A133" s="191">
        <v>9</v>
      </c>
      <c r="B133" s="192" t="s">
        <v>627</v>
      </c>
      <c r="C133" s="138"/>
      <c r="D133" s="122">
        <f t="shared" ref="D133:O133" si="26">D134+D136</f>
        <v>3828.3</v>
      </c>
      <c r="E133" s="122">
        <f t="shared" si="26"/>
        <v>0</v>
      </c>
      <c r="F133" s="122">
        <f t="shared" si="26"/>
        <v>40</v>
      </c>
      <c r="G133" s="122">
        <f t="shared" si="26"/>
        <v>3788.3</v>
      </c>
      <c r="H133" s="122">
        <f t="shared" si="26"/>
        <v>3828.3</v>
      </c>
      <c r="I133" s="122">
        <f t="shared" si="26"/>
        <v>355</v>
      </c>
      <c r="J133" s="122">
        <f t="shared" si="26"/>
        <v>0</v>
      </c>
      <c r="K133" s="122">
        <f t="shared" si="26"/>
        <v>3473.3</v>
      </c>
      <c r="L133" s="122">
        <f t="shared" si="26"/>
        <v>2116.3000000000002</v>
      </c>
      <c r="M133" s="122">
        <f t="shared" si="26"/>
        <v>543</v>
      </c>
      <c r="N133" s="122">
        <f t="shared" si="26"/>
        <v>210</v>
      </c>
      <c r="O133" s="122">
        <f t="shared" si="26"/>
        <v>604</v>
      </c>
      <c r="P133" s="193"/>
    </row>
    <row r="134" spans="1:16" ht="27" customHeight="1">
      <c r="A134" s="191" t="s">
        <v>626</v>
      </c>
      <c r="B134" s="147" t="s">
        <v>616</v>
      </c>
      <c r="C134" s="138"/>
      <c r="D134" s="122">
        <f t="shared" ref="D134:O134" si="27">D135</f>
        <v>20</v>
      </c>
      <c r="E134" s="122">
        <f t="shared" si="27"/>
        <v>0</v>
      </c>
      <c r="F134" s="122">
        <f t="shared" si="27"/>
        <v>20</v>
      </c>
      <c r="G134" s="122">
        <f t="shared" si="27"/>
        <v>0</v>
      </c>
      <c r="H134" s="122">
        <f t="shared" si="27"/>
        <v>20</v>
      </c>
      <c r="I134" s="122">
        <f t="shared" si="27"/>
        <v>2</v>
      </c>
      <c r="J134" s="122">
        <f t="shared" si="27"/>
        <v>0</v>
      </c>
      <c r="K134" s="122">
        <f t="shared" si="27"/>
        <v>18</v>
      </c>
      <c r="L134" s="122">
        <f t="shared" si="27"/>
        <v>18</v>
      </c>
      <c r="M134" s="122">
        <f t="shared" si="27"/>
        <v>0</v>
      </c>
      <c r="N134" s="122">
        <f t="shared" si="27"/>
        <v>0</v>
      </c>
      <c r="O134" s="122">
        <f t="shared" si="27"/>
        <v>0</v>
      </c>
      <c r="P134" s="407"/>
    </row>
    <row r="135" spans="1:16" ht="27" customHeight="1">
      <c r="A135" s="407" t="s">
        <v>276</v>
      </c>
      <c r="B135" s="140" t="s">
        <v>570</v>
      </c>
      <c r="C135" s="146" t="s">
        <v>1074</v>
      </c>
      <c r="D135" s="111">
        <v>20</v>
      </c>
      <c r="E135" s="111"/>
      <c r="F135" s="111">
        <v>20</v>
      </c>
      <c r="G135" s="111"/>
      <c r="H135" s="111">
        <v>20</v>
      </c>
      <c r="I135" s="111">
        <v>2</v>
      </c>
      <c r="J135" s="111"/>
      <c r="K135" s="111">
        <v>18</v>
      </c>
      <c r="L135" s="111">
        <v>18</v>
      </c>
      <c r="M135" s="111">
        <v>0</v>
      </c>
      <c r="N135" s="111"/>
      <c r="O135" s="111">
        <v>0</v>
      </c>
      <c r="P135" s="138"/>
    </row>
    <row r="136" spans="1:16" ht="27" customHeight="1">
      <c r="A136" s="191" t="s">
        <v>625</v>
      </c>
      <c r="B136" s="148" t="s">
        <v>612</v>
      </c>
      <c r="C136" s="136"/>
      <c r="D136" s="115">
        <f t="shared" ref="D136:O136" si="28">D137+D140+D143+D146+D148</f>
        <v>3808.3</v>
      </c>
      <c r="E136" s="115">
        <f t="shared" si="28"/>
        <v>0</v>
      </c>
      <c r="F136" s="115">
        <f t="shared" si="28"/>
        <v>20</v>
      </c>
      <c r="G136" s="115">
        <f t="shared" si="28"/>
        <v>3788.3</v>
      </c>
      <c r="H136" s="115">
        <f t="shared" si="28"/>
        <v>3808.3</v>
      </c>
      <c r="I136" s="115">
        <f t="shared" si="28"/>
        <v>353</v>
      </c>
      <c r="J136" s="115">
        <f t="shared" si="28"/>
        <v>0</v>
      </c>
      <c r="K136" s="115">
        <f t="shared" si="28"/>
        <v>3455.3</v>
      </c>
      <c r="L136" s="115">
        <f t="shared" si="28"/>
        <v>2098.3000000000002</v>
      </c>
      <c r="M136" s="115">
        <f t="shared" si="28"/>
        <v>543</v>
      </c>
      <c r="N136" s="115">
        <f t="shared" si="28"/>
        <v>210</v>
      </c>
      <c r="O136" s="115">
        <f t="shared" si="28"/>
        <v>604</v>
      </c>
      <c r="P136" s="194"/>
    </row>
    <row r="137" spans="1:16" ht="27" customHeight="1">
      <c r="A137" s="407" t="s">
        <v>299</v>
      </c>
      <c r="B137" s="134" t="s">
        <v>624</v>
      </c>
      <c r="C137" s="136"/>
      <c r="D137" s="111">
        <f t="shared" ref="D137:O137" si="29">SUM(D138:D139)</f>
        <v>2400</v>
      </c>
      <c r="E137" s="111">
        <f t="shared" si="29"/>
        <v>0</v>
      </c>
      <c r="F137" s="111">
        <f t="shared" si="29"/>
        <v>0</v>
      </c>
      <c r="G137" s="111">
        <f t="shared" si="29"/>
        <v>2400</v>
      </c>
      <c r="H137" s="111">
        <f t="shared" si="29"/>
        <v>2400</v>
      </c>
      <c r="I137" s="111">
        <f t="shared" si="29"/>
        <v>240</v>
      </c>
      <c r="J137" s="111">
        <f t="shared" si="29"/>
        <v>0</v>
      </c>
      <c r="K137" s="111">
        <f t="shared" si="29"/>
        <v>2160</v>
      </c>
      <c r="L137" s="111">
        <f t="shared" si="29"/>
        <v>1160</v>
      </c>
      <c r="M137" s="111">
        <f t="shared" si="29"/>
        <v>400</v>
      </c>
      <c r="N137" s="111">
        <f t="shared" si="29"/>
        <v>198</v>
      </c>
      <c r="O137" s="111">
        <f t="shared" si="29"/>
        <v>402</v>
      </c>
      <c r="P137" s="195"/>
    </row>
    <row r="138" spans="1:16" ht="27" customHeight="1">
      <c r="A138" s="407"/>
      <c r="B138" s="140"/>
      <c r="C138" s="142" t="s">
        <v>623</v>
      </c>
      <c r="D138" s="111">
        <v>2000</v>
      </c>
      <c r="E138" s="196"/>
      <c r="F138" s="196"/>
      <c r="G138" s="196">
        <v>2000</v>
      </c>
      <c r="H138" s="196">
        <v>2000</v>
      </c>
      <c r="I138" s="1068">
        <v>240</v>
      </c>
      <c r="J138" s="196"/>
      <c r="K138" s="196">
        <v>1760</v>
      </c>
      <c r="L138" s="1068">
        <v>1160</v>
      </c>
      <c r="M138" s="196">
        <v>240</v>
      </c>
      <c r="N138" s="1068">
        <v>198</v>
      </c>
      <c r="O138" s="1068">
        <v>402</v>
      </c>
      <c r="P138" s="138"/>
    </row>
    <row r="139" spans="1:16" ht="27" customHeight="1">
      <c r="A139" s="407"/>
      <c r="B139" s="140"/>
      <c r="C139" s="142" t="s">
        <v>622</v>
      </c>
      <c r="D139" s="111">
        <v>400</v>
      </c>
      <c r="E139" s="196"/>
      <c r="F139" s="196"/>
      <c r="G139" s="196">
        <v>400</v>
      </c>
      <c r="H139" s="196">
        <v>400</v>
      </c>
      <c r="I139" s="1068"/>
      <c r="J139" s="196"/>
      <c r="K139" s="196">
        <v>400</v>
      </c>
      <c r="L139" s="1068"/>
      <c r="M139" s="196">
        <v>160</v>
      </c>
      <c r="N139" s="1068"/>
      <c r="O139" s="1068"/>
      <c r="P139" s="138"/>
    </row>
    <row r="140" spans="1:16" ht="27" customHeight="1">
      <c r="A140" s="407" t="s">
        <v>297</v>
      </c>
      <c r="B140" s="134" t="s">
        <v>621</v>
      </c>
      <c r="C140" s="143"/>
      <c r="D140" s="111">
        <f t="shared" ref="D140:O140" si="30">SUM(D141:D142)</f>
        <v>300</v>
      </c>
      <c r="E140" s="111">
        <f t="shared" si="30"/>
        <v>0</v>
      </c>
      <c r="F140" s="111">
        <f t="shared" si="30"/>
        <v>0</v>
      </c>
      <c r="G140" s="111">
        <f t="shared" si="30"/>
        <v>300</v>
      </c>
      <c r="H140" s="111">
        <f t="shared" si="30"/>
        <v>300</v>
      </c>
      <c r="I140" s="111">
        <f t="shared" si="30"/>
        <v>30</v>
      </c>
      <c r="J140" s="111">
        <f t="shared" si="30"/>
        <v>0</v>
      </c>
      <c r="K140" s="111">
        <f t="shared" si="30"/>
        <v>270</v>
      </c>
      <c r="L140" s="111">
        <f t="shared" si="30"/>
        <v>270</v>
      </c>
      <c r="M140" s="111">
        <f t="shared" si="30"/>
        <v>0</v>
      </c>
      <c r="N140" s="111">
        <f t="shared" si="30"/>
        <v>0</v>
      </c>
      <c r="O140" s="111">
        <f t="shared" si="30"/>
        <v>0</v>
      </c>
      <c r="P140" s="195"/>
    </row>
    <row r="141" spans="1:16" ht="27" customHeight="1">
      <c r="A141" s="407"/>
      <c r="B141" s="134"/>
      <c r="C141" s="142" t="s">
        <v>620</v>
      </c>
      <c r="D141" s="111">
        <v>152</v>
      </c>
      <c r="E141" s="196"/>
      <c r="F141" s="196"/>
      <c r="G141" s="404">
        <v>152</v>
      </c>
      <c r="H141" s="196">
        <v>152</v>
      </c>
      <c r="I141" s="1068">
        <v>30</v>
      </c>
      <c r="J141" s="196"/>
      <c r="K141" s="196">
        <v>122</v>
      </c>
      <c r="L141" s="1068">
        <v>270</v>
      </c>
      <c r="M141" s="196">
        <v>0</v>
      </c>
      <c r="N141" s="196"/>
      <c r="O141" s="196"/>
      <c r="P141" s="138"/>
    </row>
    <row r="142" spans="1:16" ht="27" customHeight="1">
      <c r="A142" s="407"/>
      <c r="B142" s="134"/>
      <c r="C142" s="142" t="s">
        <v>546</v>
      </c>
      <c r="D142" s="111">
        <v>148</v>
      </c>
      <c r="E142" s="196"/>
      <c r="F142" s="196"/>
      <c r="G142" s="404">
        <v>148</v>
      </c>
      <c r="H142" s="196">
        <v>148</v>
      </c>
      <c r="I142" s="1068"/>
      <c r="J142" s="196"/>
      <c r="K142" s="196">
        <v>148</v>
      </c>
      <c r="L142" s="1068"/>
      <c r="M142" s="196">
        <v>0</v>
      </c>
      <c r="N142" s="196"/>
      <c r="O142" s="196"/>
      <c r="P142" s="138"/>
    </row>
    <row r="143" spans="1:16" ht="27" customHeight="1">
      <c r="A143" s="407" t="s">
        <v>295</v>
      </c>
      <c r="B143" s="134" t="s">
        <v>361</v>
      </c>
      <c r="C143" s="142"/>
      <c r="D143" s="111">
        <f t="shared" ref="D143:O143" si="31">SUM(D144:D145)</f>
        <v>308.3</v>
      </c>
      <c r="E143" s="111">
        <f t="shared" si="31"/>
        <v>0</v>
      </c>
      <c r="F143" s="111">
        <f t="shared" si="31"/>
        <v>20</v>
      </c>
      <c r="G143" s="111">
        <f t="shared" si="31"/>
        <v>288.3</v>
      </c>
      <c r="H143" s="111">
        <f t="shared" si="31"/>
        <v>308.3</v>
      </c>
      <c r="I143" s="111">
        <f t="shared" si="31"/>
        <v>2</v>
      </c>
      <c r="J143" s="111">
        <f t="shared" si="31"/>
        <v>0</v>
      </c>
      <c r="K143" s="111">
        <f t="shared" si="31"/>
        <v>306.3</v>
      </c>
      <c r="L143" s="111">
        <f t="shared" si="31"/>
        <v>243.3</v>
      </c>
      <c r="M143" s="111">
        <f t="shared" si="31"/>
        <v>25</v>
      </c>
      <c r="N143" s="111">
        <f t="shared" si="31"/>
        <v>0</v>
      </c>
      <c r="O143" s="111">
        <f t="shared" si="31"/>
        <v>38</v>
      </c>
      <c r="P143" s="195"/>
    </row>
    <row r="144" spans="1:16" ht="27" customHeight="1">
      <c r="A144" s="407"/>
      <c r="B144" s="140"/>
      <c r="C144" s="135" t="s">
        <v>619</v>
      </c>
      <c r="D144" s="111">
        <v>20</v>
      </c>
      <c r="E144" s="196"/>
      <c r="F144" s="196">
        <v>20</v>
      </c>
      <c r="G144" s="196"/>
      <c r="H144" s="196">
        <v>20</v>
      </c>
      <c r="I144" s="196">
        <v>2</v>
      </c>
      <c r="J144" s="196"/>
      <c r="K144" s="196">
        <v>18</v>
      </c>
      <c r="L144" s="196">
        <v>18</v>
      </c>
      <c r="M144" s="196">
        <v>0</v>
      </c>
      <c r="N144" s="196"/>
      <c r="O144" s="196">
        <v>0</v>
      </c>
      <c r="P144" s="138"/>
    </row>
    <row r="145" spans="1:16" ht="27" customHeight="1">
      <c r="A145" s="407"/>
      <c r="B145" s="140"/>
      <c r="C145" s="142" t="s">
        <v>546</v>
      </c>
      <c r="D145" s="111">
        <f>SUM(E145:G145)</f>
        <v>288.3</v>
      </c>
      <c r="E145" s="196"/>
      <c r="F145" s="196"/>
      <c r="G145" s="197">
        <v>288.3</v>
      </c>
      <c r="H145" s="196">
        <f>SUM(I145:K145)</f>
        <v>288.3</v>
      </c>
      <c r="I145" s="196"/>
      <c r="J145" s="196"/>
      <c r="K145" s="196">
        <f>SUM(L145:O145)</f>
        <v>288.3</v>
      </c>
      <c r="L145" s="196">
        <v>225.3</v>
      </c>
      <c r="M145" s="196">
        <v>25</v>
      </c>
      <c r="N145" s="196"/>
      <c r="O145" s="196">
        <v>38</v>
      </c>
      <c r="P145" s="138"/>
    </row>
    <row r="146" spans="1:16" ht="27" customHeight="1">
      <c r="A146" s="407" t="s">
        <v>291</v>
      </c>
      <c r="B146" s="134" t="s">
        <v>360</v>
      </c>
      <c r="C146" s="142"/>
      <c r="D146" s="111">
        <f t="shared" ref="D146:O146" si="32">D147</f>
        <v>200</v>
      </c>
      <c r="E146" s="111">
        <f t="shared" si="32"/>
        <v>0</v>
      </c>
      <c r="F146" s="111">
        <f t="shared" si="32"/>
        <v>0</v>
      </c>
      <c r="G146" s="111">
        <f t="shared" si="32"/>
        <v>200</v>
      </c>
      <c r="H146" s="111">
        <f t="shared" si="32"/>
        <v>200</v>
      </c>
      <c r="I146" s="111">
        <f t="shared" si="32"/>
        <v>20</v>
      </c>
      <c r="J146" s="111">
        <f t="shared" si="32"/>
        <v>0</v>
      </c>
      <c r="K146" s="111">
        <f t="shared" si="32"/>
        <v>180</v>
      </c>
      <c r="L146" s="111">
        <f t="shared" si="32"/>
        <v>105</v>
      </c>
      <c r="M146" s="111">
        <f t="shared" si="32"/>
        <v>30</v>
      </c>
      <c r="N146" s="111">
        <f t="shared" si="32"/>
        <v>0</v>
      </c>
      <c r="O146" s="111">
        <f t="shared" si="32"/>
        <v>45</v>
      </c>
      <c r="P146" s="195"/>
    </row>
    <row r="147" spans="1:16" ht="27" customHeight="1">
      <c r="A147" s="407"/>
      <c r="B147" s="134"/>
      <c r="C147" s="142" t="s">
        <v>546</v>
      </c>
      <c r="D147" s="111">
        <v>200</v>
      </c>
      <c r="E147" s="196"/>
      <c r="F147" s="196"/>
      <c r="G147" s="196">
        <v>200</v>
      </c>
      <c r="H147" s="196">
        <v>200</v>
      </c>
      <c r="I147" s="196">
        <v>20</v>
      </c>
      <c r="J147" s="196"/>
      <c r="K147" s="196">
        <v>180</v>
      </c>
      <c r="L147" s="196">
        <v>105</v>
      </c>
      <c r="M147" s="196">
        <v>30</v>
      </c>
      <c r="N147" s="196"/>
      <c r="O147" s="196">
        <v>45</v>
      </c>
      <c r="P147" s="138"/>
    </row>
    <row r="148" spans="1:16" ht="27" customHeight="1">
      <c r="A148" s="407" t="s">
        <v>351</v>
      </c>
      <c r="B148" s="134" t="s">
        <v>618</v>
      </c>
      <c r="C148" s="136"/>
      <c r="D148" s="111">
        <f t="shared" ref="D148:O148" si="33">D149</f>
        <v>600</v>
      </c>
      <c r="E148" s="111">
        <f t="shared" si="33"/>
        <v>0</v>
      </c>
      <c r="F148" s="111">
        <f t="shared" si="33"/>
        <v>0</v>
      </c>
      <c r="G148" s="111">
        <f t="shared" si="33"/>
        <v>600</v>
      </c>
      <c r="H148" s="111">
        <f t="shared" si="33"/>
        <v>600</v>
      </c>
      <c r="I148" s="111">
        <f t="shared" si="33"/>
        <v>61</v>
      </c>
      <c r="J148" s="111">
        <f t="shared" si="33"/>
        <v>0</v>
      </c>
      <c r="K148" s="111">
        <f t="shared" si="33"/>
        <v>539</v>
      </c>
      <c r="L148" s="111">
        <f t="shared" si="33"/>
        <v>320</v>
      </c>
      <c r="M148" s="111">
        <f t="shared" si="33"/>
        <v>88</v>
      </c>
      <c r="N148" s="111">
        <f t="shared" si="33"/>
        <v>12</v>
      </c>
      <c r="O148" s="111">
        <f t="shared" si="33"/>
        <v>119</v>
      </c>
      <c r="P148" s="195"/>
    </row>
    <row r="149" spans="1:16" ht="27" customHeight="1">
      <c r="A149" s="407"/>
      <c r="B149" s="134"/>
      <c r="C149" s="142" t="s">
        <v>546</v>
      </c>
      <c r="D149" s="111">
        <v>600</v>
      </c>
      <c r="E149" s="111"/>
      <c r="F149" s="111"/>
      <c r="G149" s="111">
        <v>600</v>
      </c>
      <c r="H149" s="111">
        <v>600</v>
      </c>
      <c r="I149" s="111">
        <v>61</v>
      </c>
      <c r="J149" s="111"/>
      <c r="K149" s="111">
        <v>539</v>
      </c>
      <c r="L149" s="111">
        <v>320</v>
      </c>
      <c r="M149" s="111">
        <v>88</v>
      </c>
      <c r="N149" s="111">
        <v>12</v>
      </c>
      <c r="O149" s="111">
        <v>119</v>
      </c>
      <c r="P149" s="138"/>
    </row>
    <row r="150" spans="1:16" ht="27" customHeight="1">
      <c r="A150" s="191">
        <v>10</v>
      </c>
      <c r="B150" s="192" t="s">
        <v>273</v>
      </c>
      <c r="C150" s="138"/>
      <c r="D150" s="122">
        <f t="shared" ref="D150:O150" si="34">D151+D154</f>
        <v>331173.5</v>
      </c>
      <c r="E150" s="122">
        <f t="shared" si="34"/>
        <v>0</v>
      </c>
      <c r="F150" s="122">
        <f t="shared" si="34"/>
        <v>430</v>
      </c>
      <c r="G150" s="122">
        <f t="shared" si="34"/>
        <v>330743.5</v>
      </c>
      <c r="H150" s="122">
        <f t="shared" si="34"/>
        <v>331173.5</v>
      </c>
      <c r="I150" s="122">
        <f t="shared" si="34"/>
        <v>104</v>
      </c>
      <c r="J150" s="122">
        <f t="shared" si="34"/>
        <v>1805</v>
      </c>
      <c r="K150" s="122">
        <f t="shared" si="34"/>
        <v>329264.5</v>
      </c>
      <c r="L150" s="122">
        <f t="shared" si="34"/>
        <v>56616.6</v>
      </c>
      <c r="M150" s="122">
        <f t="shared" si="34"/>
        <v>3224.3999999999996</v>
      </c>
      <c r="N150" s="122">
        <f t="shared" si="34"/>
        <v>210.5</v>
      </c>
      <c r="O150" s="122">
        <f t="shared" si="34"/>
        <v>269213</v>
      </c>
      <c r="P150" s="193"/>
    </row>
    <row r="151" spans="1:16" ht="27" customHeight="1">
      <c r="A151" s="191" t="s">
        <v>617</v>
      </c>
      <c r="B151" s="147" t="s">
        <v>616</v>
      </c>
      <c r="C151" s="138"/>
      <c r="D151" s="122">
        <f t="shared" ref="D151:O151" si="35">SUM(D152:D153)</f>
        <v>430</v>
      </c>
      <c r="E151" s="122">
        <f t="shared" si="35"/>
        <v>0</v>
      </c>
      <c r="F151" s="122">
        <f t="shared" si="35"/>
        <v>430</v>
      </c>
      <c r="G151" s="122">
        <f t="shared" si="35"/>
        <v>0</v>
      </c>
      <c r="H151" s="122">
        <f t="shared" si="35"/>
        <v>430</v>
      </c>
      <c r="I151" s="122">
        <f t="shared" si="35"/>
        <v>104</v>
      </c>
      <c r="J151" s="122">
        <f t="shared" si="35"/>
        <v>0</v>
      </c>
      <c r="K151" s="122">
        <f t="shared" si="35"/>
        <v>326</v>
      </c>
      <c r="L151" s="122">
        <f t="shared" si="35"/>
        <v>171</v>
      </c>
      <c r="M151" s="122">
        <f t="shared" si="35"/>
        <v>62</v>
      </c>
      <c r="N151" s="122">
        <f t="shared" si="35"/>
        <v>0</v>
      </c>
      <c r="O151" s="122">
        <f t="shared" si="35"/>
        <v>93</v>
      </c>
      <c r="P151" s="407"/>
    </row>
    <row r="152" spans="1:16" ht="27" customHeight="1">
      <c r="A152" s="407" t="s">
        <v>276</v>
      </c>
      <c r="B152" s="140" t="s">
        <v>401</v>
      </c>
      <c r="C152" s="146" t="s">
        <v>615</v>
      </c>
      <c r="D152" s="111">
        <v>400</v>
      </c>
      <c r="E152" s="196"/>
      <c r="F152" s="196">
        <v>400</v>
      </c>
      <c r="G152" s="196"/>
      <c r="H152" s="196">
        <v>400</v>
      </c>
      <c r="I152" s="196">
        <v>95</v>
      </c>
      <c r="J152" s="196"/>
      <c r="K152" s="196">
        <v>305</v>
      </c>
      <c r="L152" s="196">
        <v>150</v>
      </c>
      <c r="M152" s="196">
        <v>62</v>
      </c>
      <c r="N152" s="196"/>
      <c r="O152" s="196">
        <v>93</v>
      </c>
      <c r="P152" s="138"/>
    </row>
    <row r="153" spans="1:16" ht="27" customHeight="1">
      <c r="A153" s="407" t="s">
        <v>276</v>
      </c>
      <c r="B153" s="134" t="s">
        <v>400</v>
      </c>
      <c r="C153" s="145" t="s">
        <v>614</v>
      </c>
      <c r="D153" s="111">
        <v>30</v>
      </c>
      <c r="E153" s="111"/>
      <c r="F153" s="111">
        <v>30</v>
      </c>
      <c r="G153" s="111"/>
      <c r="H153" s="111">
        <v>30</v>
      </c>
      <c r="I153" s="111">
        <v>9</v>
      </c>
      <c r="J153" s="111"/>
      <c r="K153" s="111">
        <v>21</v>
      </c>
      <c r="L153" s="111">
        <v>21</v>
      </c>
      <c r="M153" s="111">
        <v>0</v>
      </c>
      <c r="N153" s="111"/>
      <c r="O153" s="111">
        <v>0</v>
      </c>
      <c r="P153" s="195"/>
    </row>
    <row r="154" spans="1:16" ht="27" customHeight="1">
      <c r="A154" s="191" t="s">
        <v>613</v>
      </c>
      <c r="B154" s="198" t="s">
        <v>612</v>
      </c>
      <c r="C154" s="144"/>
      <c r="D154" s="115">
        <f t="shared" ref="D154:O154" si="36">D155+D173+D179</f>
        <v>330743.5</v>
      </c>
      <c r="E154" s="115">
        <f t="shared" si="36"/>
        <v>0</v>
      </c>
      <c r="F154" s="115">
        <f t="shared" si="36"/>
        <v>0</v>
      </c>
      <c r="G154" s="115">
        <f t="shared" si="36"/>
        <v>330743.5</v>
      </c>
      <c r="H154" s="115">
        <f t="shared" si="36"/>
        <v>330743.5</v>
      </c>
      <c r="I154" s="115">
        <f t="shared" si="36"/>
        <v>0</v>
      </c>
      <c r="J154" s="115">
        <f t="shared" si="36"/>
        <v>1805</v>
      </c>
      <c r="K154" s="115">
        <f t="shared" si="36"/>
        <v>328938.5</v>
      </c>
      <c r="L154" s="115">
        <f t="shared" si="36"/>
        <v>56445.599999999999</v>
      </c>
      <c r="M154" s="115">
        <f t="shared" si="36"/>
        <v>3162.3999999999996</v>
      </c>
      <c r="N154" s="115">
        <f t="shared" si="36"/>
        <v>210.5</v>
      </c>
      <c r="O154" s="115">
        <f t="shared" si="36"/>
        <v>269120</v>
      </c>
      <c r="P154" s="199"/>
    </row>
    <row r="155" spans="1:16" ht="27" customHeight="1">
      <c r="A155" s="407" t="s">
        <v>299</v>
      </c>
      <c r="B155" s="140" t="s">
        <v>397</v>
      </c>
      <c r="C155" s="142"/>
      <c r="D155" s="111">
        <f t="shared" ref="D155:O155" si="37">D156+D165+D169+D170</f>
        <v>304017</v>
      </c>
      <c r="E155" s="111">
        <f t="shared" si="37"/>
        <v>0</v>
      </c>
      <c r="F155" s="111">
        <f t="shared" si="37"/>
        <v>0</v>
      </c>
      <c r="G155" s="111">
        <f t="shared" si="37"/>
        <v>304017</v>
      </c>
      <c r="H155" s="111">
        <f t="shared" si="37"/>
        <v>304017</v>
      </c>
      <c r="I155" s="111">
        <f t="shared" si="37"/>
        <v>0</v>
      </c>
      <c r="J155" s="111">
        <f t="shared" si="37"/>
        <v>1320</v>
      </c>
      <c r="K155" s="111">
        <f t="shared" si="37"/>
        <v>302697</v>
      </c>
      <c r="L155" s="111">
        <f t="shared" si="37"/>
        <v>41271.5</v>
      </c>
      <c r="M155" s="111">
        <f t="shared" si="37"/>
        <v>2399</v>
      </c>
      <c r="N155" s="111">
        <f t="shared" si="37"/>
        <v>0</v>
      </c>
      <c r="O155" s="111">
        <f t="shared" si="37"/>
        <v>259026.5</v>
      </c>
      <c r="P155" s="1069" t="s">
        <v>922</v>
      </c>
    </row>
    <row r="156" spans="1:16" ht="27" customHeight="1">
      <c r="A156" s="407" t="s">
        <v>276</v>
      </c>
      <c r="B156" s="134" t="s">
        <v>611</v>
      </c>
      <c r="C156" s="143"/>
      <c r="D156" s="111">
        <f t="shared" ref="D156:O156" si="38">SUM(D157:D164)</f>
        <v>250600</v>
      </c>
      <c r="E156" s="111">
        <f t="shared" si="38"/>
        <v>0</v>
      </c>
      <c r="F156" s="111">
        <f t="shared" si="38"/>
        <v>0</v>
      </c>
      <c r="G156" s="111">
        <f t="shared" si="38"/>
        <v>250600</v>
      </c>
      <c r="H156" s="111">
        <f t="shared" si="38"/>
        <v>250600</v>
      </c>
      <c r="I156" s="111">
        <f t="shared" si="38"/>
        <v>0</v>
      </c>
      <c r="J156" s="111">
        <f t="shared" si="38"/>
        <v>600</v>
      </c>
      <c r="K156" s="111">
        <f t="shared" si="38"/>
        <v>250000</v>
      </c>
      <c r="L156" s="111">
        <f t="shared" si="38"/>
        <v>0</v>
      </c>
      <c r="M156" s="111">
        <f t="shared" si="38"/>
        <v>0</v>
      </c>
      <c r="N156" s="111">
        <f t="shared" si="38"/>
        <v>0</v>
      </c>
      <c r="O156" s="111">
        <f t="shared" si="38"/>
        <v>250000</v>
      </c>
      <c r="P156" s="1069"/>
    </row>
    <row r="157" spans="1:16" ht="27" customHeight="1">
      <c r="A157" s="407"/>
      <c r="B157" s="134"/>
      <c r="C157" s="142" t="s">
        <v>597</v>
      </c>
      <c r="D157" s="111">
        <v>200000</v>
      </c>
      <c r="E157" s="111"/>
      <c r="F157" s="111"/>
      <c r="G157" s="404">
        <v>200000</v>
      </c>
      <c r="H157" s="111">
        <v>200000</v>
      </c>
      <c r="I157" s="111"/>
      <c r="J157" s="111"/>
      <c r="K157" s="111">
        <v>200000</v>
      </c>
      <c r="L157" s="111"/>
      <c r="M157" s="111"/>
      <c r="N157" s="111"/>
      <c r="O157" s="111">
        <v>200000</v>
      </c>
      <c r="P157" s="1069"/>
    </row>
    <row r="158" spans="1:16" ht="27" customHeight="1">
      <c r="A158" s="407"/>
      <c r="B158" s="134"/>
      <c r="C158" s="142" t="s">
        <v>610</v>
      </c>
      <c r="D158" s="111">
        <v>40000</v>
      </c>
      <c r="E158" s="111"/>
      <c r="F158" s="111"/>
      <c r="G158" s="404">
        <v>40000</v>
      </c>
      <c r="H158" s="111">
        <v>40000</v>
      </c>
      <c r="I158" s="111"/>
      <c r="J158" s="111"/>
      <c r="K158" s="111">
        <v>40000</v>
      </c>
      <c r="L158" s="111"/>
      <c r="M158" s="111"/>
      <c r="N158" s="111"/>
      <c r="O158" s="111">
        <v>40000</v>
      </c>
      <c r="P158" s="1069"/>
    </row>
    <row r="159" spans="1:16" ht="27" customHeight="1">
      <c r="A159" s="407"/>
      <c r="B159" s="134"/>
      <c r="C159" s="142" t="s">
        <v>609</v>
      </c>
      <c r="D159" s="111">
        <v>2400</v>
      </c>
      <c r="E159" s="111"/>
      <c r="F159" s="111"/>
      <c r="G159" s="111">
        <v>2400</v>
      </c>
      <c r="H159" s="111">
        <v>2400</v>
      </c>
      <c r="I159" s="111"/>
      <c r="J159" s="111">
        <v>48</v>
      </c>
      <c r="K159" s="111">
        <v>2352</v>
      </c>
      <c r="L159" s="111"/>
      <c r="M159" s="111"/>
      <c r="N159" s="111"/>
      <c r="O159" s="111">
        <v>2352</v>
      </c>
      <c r="P159" s="195"/>
    </row>
    <row r="160" spans="1:16" ht="27" customHeight="1">
      <c r="A160" s="407"/>
      <c r="B160" s="140"/>
      <c r="C160" s="135" t="s">
        <v>608</v>
      </c>
      <c r="D160" s="111">
        <v>1223.8</v>
      </c>
      <c r="E160" s="111"/>
      <c r="F160" s="111"/>
      <c r="G160" s="111">
        <v>1223.8</v>
      </c>
      <c r="H160" s="111">
        <v>1223.8000000000002</v>
      </c>
      <c r="I160" s="111"/>
      <c r="J160" s="111">
        <v>122.38</v>
      </c>
      <c r="K160" s="111">
        <v>1101.42</v>
      </c>
      <c r="L160" s="111"/>
      <c r="M160" s="111"/>
      <c r="N160" s="111"/>
      <c r="O160" s="111">
        <v>1101.42</v>
      </c>
      <c r="P160" s="138"/>
    </row>
    <row r="161" spans="1:16" ht="27" customHeight="1">
      <c r="A161" s="407"/>
      <c r="B161" s="140"/>
      <c r="C161" s="142" t="s">
        <v>607</v>
      </c>
      <c r="D161" s="111">
        <v>1926.2</v>
      </c>
      <c r="E161" s="111"/>
      <c r="F161" s="111"/>
      <c r="G161" s="197">
        <v>1926.2</v>
      </c>
      <c r="H161" s="111">
        <v>1926.1999999999998</v>
      </c>
      <c r="I161" s="111"/>
      <c r="J161" s="111">
        <v>192.62</v>
      </c>
      <c r="K161" s="111">
        <v>1733.58</v>
      </c>
      <c r="L161" s="111"/>
      <c r="M161" s="111"/>
      <c r="N161" s="111"/>
      <c r="O161" s="111">
        <v>1733.58</v>
      </c>
      <c r="P161" s="138"/>
    </row>
    <row r="162" spans="1:16" ht="27" customHeight="1">
      <c r="A162" s="407"/>
      <c r="B162" s="140"/>
      <c r="C162" s="142" t="s">
        <v>606</v>
      </c>
      <c r="D162" s="111">
        <v>3000</v>
      </c>
      <c r="E162" s="111"/>
      <c r="F162" s="111"/>
      <c r="G162" s="111">
        <v>3000</v>
      </c>
      <c r="H162" s="111">
        <v>3000</v>
      </c>
      <c r="I162" s="111"/>
      <c r="J162" s="111">
        <v>60</v>
      </c>
      <c r="K162" s="111">
        <v>2940</v>
      </c>
      <c r="L162" s="111"/>
      <c r="M162" s="111"/>
      <c r="N162" s="111"/>
      <c r="O162" s="111">
        <v>2940</v>
      </c>
      <c r="P162" s="138"/>
    </row>
    <row r="163" spans="1:16" ht="27" customHeight="1">
      <c r="A163" s="407"/>
      <c r="B163" s="134"/>
      <c r="C163" s="142" t="s">
        <v>605</v>
      </c>
      <c r="D163" s="111">
        <v>1950</v>
      </c>
      <c r="E163" s="111"/>
      <c r="F163" s="111"/>
      <c r="G163" s="111">
        <v>1950</v>
      </c>
      <c r="H163" s="111">
        <v>1950</v>
      </c>
      <c r="I163" s="111"/>
      <c r="J163" s="111">
        <v>177</v>
      </c>
      <c r="K163" s="111">
        <v>1773</v>
      </c>
      <c r="L163" s="111"/>
      <c r="M163" s="111"/>
      <c r="N163" s="111"/>
      <c r="O163" s="111">
        <v>1773</v>
      </c>
      <c r="P163" s="195"/>
    </row>
    <row r="164" spans="1:16" ht="27" customHeight="1">
      <c r="A164" s="407"/>
      <c r="B164" s="134"/>
      <c r="C164" s="142" t="s">
        <v>604</v>
      </c>
      <c r="D164" s="111">
        <v>100</v>
      </c>
      <c r="E164" s="111"/>
      <c r="F164" s="111"/>
      <c r="G164" s="111">
        <v>100</v>
      </c>
      <c r="H164" s="111">
        <v>100</v>
      </c>
      <c r="I164" s="111"/>
      <c r="J164" s="111"/>
      <c r="K164" s="111">
        <v>100</v>
      </c>
      <c r="L164" s="111"/>
      <c r="M164" s="111"/>
      <c r="N164" s="111"/>
      <c r="O164" s="111">
        <v>100</v>
      </c>
      <c r="P164" s="138"/>
    </row>
    <row r="165" spans="1:16" ht="27" customHeight="1">
      <c r="A165" s="407" t="s">
        <v>276</v>
      </c>
      <c r="B165" s="134" t="s">
        <v>912</v>
      </c>
      <c r="C165" s="142"/>
      <c r="D165" s="111">
        <f t="shared" ref="D165:O165" si="39">SUM(D166:D168)</f>
        <v>26917</v>
      </c>
      <c r="E165" s="111">
        <f t="shared" si="39"/>
        <v>0</v>
      </c>
      <c r="F165" s="111">
        <f t="shared" si="39"/>
        <v>0</v>
      </c>
      <c r="G165" s="111">
        <f t="shared" si="39"/>
        <v>26917</v>
      </c>
      <c r="H165" s="111">
        <f t="shared" si="39"/>
        <v>26917</v>
      </c>
      <c r="I165" s="111">
        <f t="shared" si="39"/>
        <v>0</v>
      </c>
      <c r="J165" s="111">
        <f t="shared" si="39"/>
        <v>30</v>
      </c>
      <c r="K165" s="111">
        <f t="shared" si="39"/>
        <v>26887</v>
      </c>
      <c r="L165" s="111">
        <f t="shared" si="39"/>
        <v>22951.5</v>
      </c>
      <c r="M165" s="111">
        <f t="shared" si="39"/>
        <v>826</v>
      </c>
      <c r="N165" s="111">
        <f t="shared" si="39"/>
        <v>0</v>
      </c>
      <c r="O165" s="111">
        <f t="shared" si="39"/>
        <v>3109.5</v>
      </c>
      <c r="P165" s="138" t="s">
        <v>603</v>
      </c>
    </row>
    <row r="166" spans="1:16" ht="27" customHeight="1">
      <c r="A166" s="407"/>
      <c r="B166" s="140"/>
      <c r="C166" s="142" t="s">
        <v>602</v>
      </c>
      <c r="D166" s="111">
        <v>250</v>
      </c>
      <c r="E166" s="111"/>
      <c r="F166" s="111"/>
      <c r="G166" s="111">
        <v>250</v>
      </c>
      <c r="H166" s="111">
        <v>250</v>
      </c>
      <c r="I166" s="111"/>
      <c r="J166" s="111">
        <v>30</v>
      </c>
      <c r="K166" s="111">
        <v>220</v>
      </c>
      <c r="L166" s="111">
        <v>220</v>
      </c>
      <c r="M166" s="111">
        <v>0</v>
      </c>
      <c r="N166" s="111"/>
      <c r="O166" s="111">
        <v>0</v>
      </c>
      <c r="P166" s="138"/>
    </row>
    <row r="167" spans="1:16" ht="27" customHeight="1">
      <c r="A167" s="407"/>
      <c r="B167" s="134"/>
      <c r="C167" s="136" t="s">
        <v>601</v>
      </c>
      <c r="D167" s="111">
        <v>702</v>
      </c>
      <c r="E167" s="111"/>
      <c r="F167" s="111"/>
      <c r="G167" s="111">
        <v>702</v>
      </c>
      <c r="H167" s="111">
        <v>702</v>
      </c>
      <c r="I167" s="111"/>
      <c r="J167" s="111"/>
      <c r="K167" s="111">
        <v>702</v>
      </c>
      <c r="L167" s="111">
        <v>596.69999999999993</v>
      </c>
      <c r="M167" s="111"/>
      <c r="N167" s="111"/>
      <c r="O167" s="111">
        <f>68.4+36.9</f>
        <v>105.30000000000001</v>
      </c>
      <c r="P167" s="195"/>
    </row>
    <row r="168" spans="1:16" ht="27" customHeight="1">
      <c r="A168" s="407"/>
      <c r="B168" s="134"/>
      <c r="C168" s="138" t="s">
        <v>600</v>
      </c>
      <c r="D168" s="403">
        <v>25965</v>
      </c>
      <c r="E168" s="403"/>
      <c r="F168" s="403"/>
      <c r="G168" s="403">
        <v>25965</v>
      </c>
      <c r="H168" s="403">
        <v>25965</v>
      </c>
      <c r="I168" s="403"/>
      <c r="J168" s="403"/>
      <c r="K168" s="403">
        <f>SUM(L168:O168)</f>
        <v>25965</v>
      </c>
      <c r="L168" s="403">
        <v>22134.799999999999</v>
      </c>
      <c r="M168" s="403">
        <v>826</v>
      </c>
      <c r="N168" s="403"/>
      <c r="O168" s="403">
        <v>3004.2</v>
      </c>
      <c r="P168" s="407"/>
    </row>
    <row r="169" spans="1:16" ht="27" customHeight="1">
      <c r="A169" s="407" t="s">
        <v>276</v>
      </c>
      <c r="B169" s="141" t="s">
        <v>824</v>
      </c>
      <c r="C169" s="138" t="s">
        <v>600</v>
      </c>
      <c r="D169" s="403">
        <v>12000</v>
      </c>
      <c r="E169" s="403"/>
      <c r="F169" s="403"/>
      <c r="G169" s="403">
        <v>12000</v>
      </c>
      <c r="H169" s="403">
        <v>12000</v>
      </c>
      <c r="I169" s="403"/>
      <c r="J169" s="403">
        <v>690</v>
      </c>
      <c r="K169" s="403">
        <v>11310</v>
      </c>
      <c r="L169" s="403">
        <v>7200</v>
      </c>
      <c r="M169" s="403">
        <v>863</v>
      </c>
      <c r="N169" s="403"/>
      <c r="O169" s="403">
        <f>575.4+2671.6</f>
        <v>3247</v>
      </c>
      <c r="P169" s="140" t="s">
        <v>923</v>
      </c>
    </row>
    <row r="170" spans="1:16" ht="27" customHeight="1">
      <c r="A170" s="407" t="s">
        <v>276</v>
      </c>
      <c r="B170" s="140" t="s">
        <v>387</v>
      </c>
      <c r="C170" s="139"/>
      <c r="D170" s="111">
        <f t="shared" ref="D170:O170" si="40">SUM(D171:D172)</f>
        <v>14500</v>
      </c>
      <c r="E170" s="111">
        <f t="shared" si="40"/>
        <v>0</v>
      </c>
      <c r="F170" s="111">
        <f t="shared" si="40"/>
        <v>0</v>
      </c>
      <c r="G170" s="111">
        <f t="shared" si="40"/>
        <v>14500</v>
      </c>
      <c r="H170" s="111">
        <f t="shared" si="40"/>
        <v>14500</v>
      </c>
      <c r="I170" s="111">
        <f t="shared" si="40"/>
        <v>0</v>
      </c>
      <c r="J170" s="111">
        <f t="shared" si="40"/>
        <v>0</v>
      </c>
      <c r="K170" s="111">
        <f t="shared" si="40"/>
        <v>14500</v>
      </c>
      <c r="L170" s="111">
        <f t="shared" si="40"/>
        <v>11120</v>
      </c>
      <c r="M170" s="111">
        <f t="shared" si="40"/>
        <v>710</v>
      </c>
      <c r="N170" s="111">
        <f t="shared" si="40"/>
        <v>0</v>
      </c>
      <c r="O170" s="111">
        <f t="shared" si="40"/>
        <v>2670</v>
      </c>
      <c r="P170" s="138" t="s">
        <v>599</v>
      </c>
    </row>
    <row r="171" spans="1:16" ht="27" customHeight="1">
      <c r="A171" s="407"/>
      <c r="B171" s="137"/>
      <c r="C171" s="136" t="s">
        <v>598</v>
      </c>
      <c r="D171" s="111">
        <v>750</v>
      </c>
      <c r="E171" s="111"/>
      <c r="F171" s="111"/>
      <c r="G171" s="111">
        <v>750</v>
      </c>
      <c r="H171" s="111">
        <v>750</v>
      </c>
      <c r="I171" s="111"/>
      <c r="J171" s="111"/>
      <c r="K171" s="111">
        <v>750</v>
      </c>
      <c r="L171" s="111">
        <v>570</v>
      </c>
      <c r="M171" s="111"/>
      <c r="N171" s="111"/>
      <c r="O171" s="111">
        <f>63+117</f>
        <v>180</v>
      </c>
      <c r="P171" s="195"/>
    </row>
    <row r="172" spans="1:16" ht="27" customHeight="1">
      <c r="A172" s="407"/>
      <c r="B172" s="134"/>
      <c r="C172" s="136" t="s">
        <v>597</v>
      </c>
      <c r="D172" s="111">
        <v>13750</v>
      </c>
      <c r="E172" s="111"/>
      <c r="F172" s="111"/>
      <c r="G172" s="111">
        <v>13750</v>
      </c>
      <c r="H172" s="111">
        <v>13750</v>
      </c>
      <c r="I172" s="111"/>
      <c r="J172" s="111"/>
      <c r="K172" s="111">
        <v>13750</v>
      </c>
      <c r="L172" s="111">
        <v>10550</v>
      </c>
      <c r="M172" s="111">
        <v>710</v>
      </c>
      <c r="N172" s="111"/>
      <c r="O172" s="111">
        <f>410+2080</f>
        <v>2490</v>
      </c>
      <c r="P172" s="195"/>
    </row>
    <row r="173" spans="1:16" ht="27" customHeight="1">
      <c r="A173" s="407" t="s">
        <v>297</v>
      </c>
      <c r="B173" s="140" t="s">
        <v>395</v>
      </c>
      <c r="C173" s="133"/>
      <c r="D173" s="111">
        <f t="shared" ref="D173:O173" si="41">SUM(D174:D178)</f>
        <v>24800</v>
      </c>
      <c r="E173" s="111">
        <f t="shared" si="41"/>
        <v>0</v>
      </c>
      <c r="F173" s="111">
        <f t="shared" si="41"/>
        <v>0</v>
      </c>
      <c r="G173" s="111">
        <f t="shared" si="41"/>
        <v>24800</v>
      </c>
      <c r="H173" s="111">
        <f t="shared" si="41"/>
        <v>24800</v>
      </c>
      <c r="I173" s="111">
        <f t="shared" si="41"/>
        <v>0</v>
      </c>
      <c r="J173" s="111">
        <f t="shared" si="41"/>
        <v>479</v>
      </c>
      <c r="K173" s="111">
        <f t="shared" si="41"/>
        <v>24321</v>
      </c>
      <c r="L173" s="111">
        <f t="shared" si="41"/>
        <v>14854.1</v>
      </c>
      <c r="M173" s="111">
        <f t="shared" si="41"/>
        <v>123.19999999999999</v>
      </c>
      <c r="N173" s="111">
        <f t="shared" si="41"/>
        <v>28.5</v>
      </c>
      <c r="O173" s="111">
        <f t="shared" si="41"/>
        <v>9315.1999999999989</v>
      </c>
      <c r="P173" s="200"/>
    </row>
    <row r="174" spans="1:16" ht="27" customHeight="1">
      <c r="A174" s="407" t="s">
        <v>276</v>
      </c>
      <c r="B174" s="140" t="s">
        <v>596</v>
      </c>
      <c r="C174" s="133" t="s">
        <v>595</v>
      </c>
      <c r="D174" s="111">
        <v>3800</v>
      </c>
      <c r="E174" s="196"/>
      <c r="F174" s="196"/>
      <c r="G174" s="196">
        <v>3800</v>
      </c>
      <c r="H174" s="196">
        <v>3800</v>
      </c>
      <c r="I174" s="196"/>
      <c r="J174" s="196">
        <v>50</v>
      </c>
      <c r="K174" s="196">
        <v>3750</v>
      </c>
      <c r="L174" s="196">
        <v>3510</v>
      </c>
      <c r="M174" s="196">
        <v>84</v>
      </c>
      <c r="N174" s="196">
        <v>28.5</v>
      </c>
      <c r="O174" s="196">
        <v>127.5</v>
      </c>
      <c r="P174" s="138"/>
    </row>
    <row r="175" spans="1:16" ht="27" customHeight="1">
      <c r="A175" s="407" t="s">
        <v>276</v>
      </c>
      <c r="B175" s="134" t="s">
        <v>913</v>
      </c>
      <c r="C175" s="135" t="s">
        <v>595</v>
      </c>
      <c r="D175" s="111">
        <v>400</v>
      </c>
      <c r="E175" s="111"/>
      <c r="F175" s="111"/>
      <c r="G175" s="111">
        <v>400</v>
      </c>
      <c r="H175" s="111">
        <v>400</v>
      </c>
      <c r="I175" s="111"/>
      <c r="J175" s="111">
        <v>8</v>
      </c>
      <c r="K175" s="111">
        <v>392</v>
      </c>
      <c r="L175" s="111">
        <v>280</v>
      </c>
      <c r="M175" s="111">
        <v>39.199999999999996</v>
      </c>
      <c r="N175" s="111"/>
      <c r="O175" s="111">
        <v>72.800000000000011</v>
      </c>
      <c r="P175" s="195"/>
    </row>
    <row r="176" spans="1:16" ht="27" customHeight="1">
      <c r="A176" s="407" t="s">
        <v>276</v>
      </c>
      <c r="B176" s="134" t="s">
        <v>914</v>
      </c>
      <c r="C176" s="133" t="s">
        <v>594</v>
      </c>
      <c r="D176" s="111">
        <v>300</v>
      </c>
      <c r="E176" s="196"/>
      <c r="F176" s="196"/>
      <c r="G176" s="111">
        <v>300</v>
      </c>
      <c r="H176" s="196">
        <v>300</v>
      </c>
      <c r="I176" s="196"/>
      <c r="J176" s="196">
        <v>15</v>
      </c>
      <c r="K176" s="196">
        <v>285</v>
      </c>
      <c r="L176" s="196">
        <v>285</v>
      </c>
      <c r="M176" s="196">
        <v>0</v>
      </c>
      <c r="N176" s="196"/>
      <c r="O176" s="196">
        <v>0</v>
      </c>
      <c r="P176" s="138"/>
    </row>
    <row r="177" spans="1:16" ht="27" customHeight="1">
      <c r="A177" s="407" t="s">
        <v>276</v>
      </c>
      <c r="B177" s="134" t="s">
        <v>915</v>
      </c>
      <c r="C177" s="133" t="s">
        <v>593</v>
      </c>
      <c r="D177" s="111">
        <v>300</v>
      </c>
      <c r="E177" s="196"/>
      <c r="F177" s="196"/>
      <c r="G177" s="111">
        <v>300</v>
      </c>
      <c r="H177" s="196">
        <v>300</v>
      </c>
      <c r="I177" s="196"/>
      <c r="J177" s="196">
        <v>6</v>
      </c>
      <c r="K177" s="196">
        <v>294</v>
      </c>
      <c r="L177" s="196">
        <v>294</v>
      </c>
      <c r="M177" s="196"/>
      <c r="N177" s="196"/>
      <c r="O177" s="196"/>
      <c r="P177" s="138"/>
    </row>
    <row r="178" spans="1:16" ht="27" customHeight="1">
      <c r="A178" s="407" t="s">
        <v>276</v>
      </c>
      <c r="B178" s="134" t="s">
        <v>916</v>
      </c>
      <c r="C178" s="133" t="s">
        <v>592</v>
      </c>
      <c r="D178" s="111">
        <v>20000</v>
      </c>
      <c r="E178" s="111"/>
      <c r="F178" s="111"/>
      <c r="G178" s="111">
        <v>20000</v>
      </c>
      <c r="H178" s="111">
        <v>20000</v>
      </c>
      <c r="I178" s="111"/>
      <c r="J178" s="111">
        <v>400</v>
      </c>
      <c r="K178" s="111">
        <v>19600</v>
      </c>
      <c r="L178" s="111">
        <v>10485.1</v>
      </c>
      <c r="M178" s="111"/>
      <c r="N178" s="111"/>
      <c r="O178" s="111">
        <v>9114.9</v>
      </c>
      <c r="P178" s="195"/>
    </row>
    <row r="179" spans="1:16" ht="27" customHeight="1">
      <c r="A179" s="407" t="s">
        <v>295</v>
      </c>
      <c r="B179" s="140" t="s">
        <v>591</v>
      </c>
      <c r="C179" s="135"/>
      <c r="D179" s="111">
        <f t="shared" ref="D179:O179" si="42">D180</f>
        <v>1926.5</v>
      </c>
      <c r="E179" s="111">
        <f t="shared" si="42"/>
        <v>0</v>
      </c>
      <c r="F179" s="111">
        <f t="shared" si="42"/>
        <v>0</v>
      </c>
      <c r="G179" s="111">
        <f t="shared" si="42"/>
        <v>1926.5</v>
      </c>
      <c r="H179" s="111">
        <f t="shared" si="42"/>
        <v>1926.5</v>
      </c>
      <c r="I179" s="111">
        <f t="shared" si="42"/>
        <v>0</v>
      </c>
      <c r="J179" s="111">
        <f t="shared" si="42"/>
        <v>6</v>
      </c>
      <c r="K179" s="111">
        <f t="shared" si="42"/>
        <v>1920.5</v>
      </c>
      <c r="L179" s="111">
        <f t="shared" si="42"/>
        <v>320</v>
      </c>
      <c r="M179" s="111">
        <f t="shared" si="42"/>
        <v>640.20000000000005</v>
      </c>
      <c r="N179" s="111">
        <f t="shared" si="42"/>
        <v>182</v>
      </c>
      <c r="O179" s="111">
        <f t="shared" si="42"/>
        <v>778.3</v>
      </c>
      <c r="P179" s="138"/>
    </row>
    <row r="180" spans="1:16" ht="27" customHeight="1">
      <c r="A180" s="407" t="s">
        <v>276</v>
      </c>
      <c r="B180" s="140" t="s">
        <v>917</v>
      </c>
      <c r="C180" s="133"/>
      <c r="D180" s="111">
        <f t="shared" ref="D180:O180" si="43">SUM(D181:D182)</f>
        <v>1926.5</v>
      </c>
      <c r="E180" s="111">
        <f t="shared" si="43"/>
        <v>0</v>
      </c>
      <c r="F180" s="111">
        <f t="shared" si="43"/>
        <v>0</v>
      </c>
      <c r="G180" s="111">
        <f t="shared" si="43"/>
        <v>1926.5</v>
      </c>
      <c r="H180" s="111">
        <f t="shared" si="43"/>
        <v>1926.5</v>
      </c>
      <c r="I180" s="111">
        <f t="shared" si="43"/>
        <v>0</v>
      </c>
      <c r="J180" s="111">
        <f t="shared" si="43"/>
        <v>6</v>
      </c>
      <c r="K180" s="111">
        <f t="shared" si="43"/>
        <v>1920.5</v>
      </c>
      <c r="L180" s="111">
        <f t="shared" si="43"/>
        <v>320</v>
      </c>
      <c r="M180" s="111">
        <f t="shared" si="43"/>
        <v>640.20000000000005</v>
      </c>
      <c r="N180" s="111">
        <f t="shared" si="43"/>
        <v>182</v>
      </c>
      <c r="O180" s="111">
        <f t="shared" si="43"/>
        <v>778.3</v>
      </c>
      <c r="P180" s="138"/>
    </row>
    <row r="181" spans="1:16" ht="27" customHeight="1">
      <c r="A181" s="407"/>
      <c r="B181" s="140"/>
      <c r="C181" s="133" t="s">
        <v>590</v>
      </c>
      <c r="D181" s="111">
        <v>330</v>
      </c>
      <c r="E181" s="111"/>
      <c r="F181" s="111"/>
      <c r="G181" s="111">
        <v>330</v>
      </c>
      <c r="H181" s="111">
        <v>330</v>
      </c>
      <c r="I181" s="111"/>
      <c r="J181" s="111">
        <v>6</v>
      </c>
      <c r="K181" s="111">
        <v>324</v>
      </c>
      <c r="L181" s="111"/>
      <c r="M181" s="111">
        <v>129.6</v>
      </c>
      <c r="N181" s="111"/>
      <c r="O181" s="111">
        <v>194.4</v>
      </c>
      <c r="P181" s="138"/>
    </row>
    <row r="182" spans="1:16" ht="27" customHeight="1">
      <c r="A182" s="407"/>
      <c r="B182" s="134"/>
      <c r="C182" s="133" t="s">
        <v>589</v>
      </c>
      <c r="D182" s="111">
        <v>1596.5</v>
      </c>
      <c r="E182" s="111"/>
      <c r="F182" s="111"/>
      <c r="G182" s="111">
        <v>1596.5</v>
      </c>
      <c r="H182" s="111">
        <v>1596.5</v>
      </c>
      <c r="I182" s="111"/>
      <c r="J182" s="111"/>
      <c r="K182" s="111">
        <v>1596.5</v>
      </c>
      <c r="L182" s="111">
        <v>320</v>
      </c>
      <c r="M182" s="111">
        <v>510.6</v>
      </c>
      <c r="N182" s="111">
        <v>182</v>
      </c>
      <c r="O182" s="111">
        <f>765.5-181.6</f>
        <v>583.9</v>
      </c>
      <c r="P182" s="195"/>
    </row>
    <row r="183" spans="1:16" s="129" customFormat="1" ht="27" customHeight="1">
      <c r="A183" s="201">
        <v>11</v>
      </c>
      <c r="B183" s="130" t="s">
        <v>346</v>
      </c>
      <c r="C183" s="130"/>
      <c r="D183" s="202">
        <f t="shared" ref="D183:O183" si="44">D184+D186+D190</f>
        <v>2230</v>
      </c>
      <c r="E183" s="202">
        <f t="shared" si="44"/>
        <v>0</v>
      </c>
      <c r="F183" s="202">
        <f t="shared" si="44"/>
        <v>1600</v>
      </c>
      <c r="G183" s="202">
        <f t="shared" si="44"/>
        <v>630</v>
      </c>
      <c r="H183" s="202">
        <f t="shared" si="44"/>
        <v>2230</v>
      </c>
      <c r="I183" s="202">
        <f t="shared" si="44"/>
        <v>370</v>
      </c>
      <c r="J183" s="202">
        <f t="shared" si="44"/>
        <v>63</v>
      </c>
      <c r="K183" s="202">
        <f t="shared" si="44"/>
        <v>1797</v>
      </c>
      <c r="L183" s="202">
        <f t="shared" si="44"/>
        <v>1457.2</v>
      </c>
      <c r="M183" s="202">
        <f t="shared" si="44"/>
        <v>95</v>
      </c>
      <c r="N183" s="202">
        <f t="shared" si="44"/>
        <v>61</v>
      </c>
      <c r="O183" s="202">
        <f t="shared" si="44"/>
        <v>183.8</v>
      </c>
      <c r="P183" s="130"/>
    </row>
    <row r="184" spans="1:16" s="128" customFormat="1" ht="27" customHeight="1">
      <c r="A184" s="203" t="s">
        <v>3</v>
      </c>
      <c r="B184" s="405" t="s">
        <v>346</v>
      </c>
      <c r="C184" s="405"/>
      <c r="D184" s="404">
        <f t="shared" ref="D184:O184" si="45">D185</f>
        <v>300</v>
      </c>
      <c r="E184" s="404">
        <f t="shared" si="45"/>
        <v>0</v>
      </c>
      <c r="F184" s="404">
        <f t="shared" si="45"/>
        <v>300</v>
      </c>
      <c r="G184" s="404">
        <f t="shared" si="45"/>
        <v>0</v>
      </c>
      <c r="H184" s="404">
        <f t="shared" si="45"/>
        <v>300</v>
      </c>
      <c r="I184" s="404">
        <f t="shared" si="45"/>
        <v>45</v>
      </c>
      <c r="J184" s="404">
        <f t="shared" si="45"/>
        <v>0</v>
      </c>
      <c r="K184" s="404">
        <f t="shared" si="45"/>
        <v>255</v>
      </c>
      <c r="L184" s="404">
        <f t="shared" si="45"/>
        <v>255</v>
      </c>
      <c r="M184" s="404">
        <f t="shared" si="45"/>
        <v>0</v>
      </c>
      <c r="N184" s="404">
        <f t="shared" si="45"/>
        <v>0</v>
      </c>
      <c r="O184" s="404">
        <f t="shared" si="45"/>
        <v>0</v>
      </c>
      <c r="P184" s="405"/>
    </row>
    <row r="185" spans="1:16" s="128" customFormat="1" ht="27" customHeight="1">
      <c r="A185" s="203"/>
      <c r="B185" s="405"/>
      <c r="C185" s="405" t="s">
        <v>588</v>
      </c>
      <c r="D185" s="404">
        <f>SUM(E185:G185)</f>
        <v>300</v>
      </c>
      <c r="E185" s="404">
        <v>0</v>
      </c>
      <c r="F185" s="404">
        <v>300</v>
      </c>
      <c r="G185" s="404">
        <v>0</v>
      </c>
      <c r="H185" s="404">
        <f>SUM(I185:K185)</f>
        <v>300</v>
      </c>
      <c r="I185" s="404">
        <v>45</v>
      </c>
      <c r="J185" s="404">
        <v>0</v>
      </c>
      <c r="K185" s="404">
        <f>SUM(L185:O185)</f>
        <v>255</v>
      </c>
      <c r="L185" s="404">
        <v>255</v>
      </c>
      <c r="M185" s="404">
        <v>0</v>
      </c>
      <c r="N185" s="404">
        <v>0</v>
      </c>
      <c r="O185" s="404">
        <v>0</v>
      </c>
      <c r="P185" s="405"/>
    </row>
    <row r="186" spans="1:16" s="128" customFormat="1" ht="27" customHeight="1">
      <c r="A186" s="203" t="s">
        <v>3</v>
      </c>
      <c r="B186" s="405" t="s">
        <v>918</v>
      </c>
      <c r="C186" s="405"/>
      <c r="D186" s="404">
        <f t="shared" ref="D186:O186" si="46">SUM(D187:D189)</f>
        <v>1560</v>
      </c>
      <c r="E186" s="404">
        <f t="shared" si="46"/>
        <v>0</v>
      </c>
      <c r="F186" s="404">
        <f t="shared" si="46"/>
        <v>1300</v>
      </c>
      <c r="G186" s="404">
        <f t="shared" si="46"/>
        <v>260</v>
      </c>
      <c r="H186" s="404">
        <f t="shared" si="46"/>
        <v>1560</v>
      </c>
      <c r="I186" s="404">
        <f t="shared" si="46"/>
        <v>325</v>
      </c>
      <c r="J186" s="404">
        <f t="shared" si="46"/>
        <v>26</v>
      </c>
      <c r="K186" s="404">
        <f t="shared" si="46"/>
        <v>1209</v>
      </c>
      <c r="L186" s="404">
        <f t="shared" si="46"/>
        <v>1107</v>
      </c>
      <c r="M186" s="404">
        <f t="shared" si="46"/>
        <v>0</v>
      </c>
      <c r="N186" s="404">
        <f t="shared" si="46"/>
        <v>0</v>
      </c>
      <c r="O186" s="404">
        <f t="shared" si="46"/>
        <v>102</v>
      </c>
      <c r="P186" s="405"/>
    </row>
    <row r="187" spans="1:16" s="128" customFormat="1" ht="27" customHeight="1">
      <c r="A187" s="203"/>
      <c r="B187" s="132"/>
      <c r="C187" s="405" t="s">
        <v>587</v>
      </c>
      <c r="D187" s="404">
        <f>SUM(E187:G187)</f>
        <v>1268</v>
      </c>
      <c r="E187" s="404">
        <v>0</v>
      </c>
      <c r="F187" s="404">
        <v>1268</v>
      </c>
      <c r="G187" s="404">
        <v>0</v>
      </c>
      <c r="H187" s="404">
        <f>SUM(I187:K187)</f>
        <v>1292</v>
      </c>
      <c r="I187" s="404">
        <v>317</v>
      </c>
      <c r="J187" s="404"/>
      <c r="K187" s="1065">
        <f>SUM(L187:O188)</f>
        <v>975</v>
      </c>
      <c r="L187" s="1065">
        <v>873</v>
      </c>
      <c r="M187" s="1065">
        <v>0</v>
      </c>
      <c r="N187" s="1065">
        <v>0</v>
      </c>
      <c r="O187" s="1065">
        <v>102</v>
      </c>
      <c r="P187" s="405"/>
    </row>
    <row r="188" spans="1:16" s="128" customFormat="1" ht="27" customHeight="1">
      <c r="A188" s="203"/>
      <c r="B188" s="132"/>
      <c r="C188" s="405" t="s">
        <v>586</v>
      </c>
      <c r="D188" s="404">
        <f>SUM(E188:G188)</f>
        <v>32</v>
      </c>
      <c r="E188" s="404">
        <v>0</v>
      </c>
      <c r="F188" s="404">
        <v>32</v>
      </c>
      <c r="G188" s="404">
        <v>0</v>
      </c>
      <c r="H188" s="404">
        <f>SUM(I188:K188)</f>
        <v>8</v>
      </c>
      <c r="I188" s="404">
        <v>8</v>
      </c>
      <c r="J188" s="404"/>
      <c r="K188" s="1065"/>
      <c r="L188" s="1065"/>
      <c r="M188" s="1065"/>
      <c r="N188" s="1065"/>
      <c r="O188" s="1065"/>
      <c r="P188" s="405"/>
    </row>
    <row r="189" spans="1:16" s="128" customFormat="1" ht="27" customHeight="1">
      <c r="A189" s="203"/>
      <c r="B189" s="132"/>
      <c r="C189" s="405" t="s">
        <v>585</v>
      </c>
      <c r="D189" s="404">
        <f>SUM(E189:G189)</f>
        <v>260</v>
      </c>
      <c r="E189" s="404">
        <v>0</v>
      </c>
      <c r="F189" s="404">
        <v>0</v>
      </c>
      <c r="G189" s="404">
        <v>260</v>
      </c>
      <c r="H189" s="404">
        <f>SUM(I189:K189)</f>
        <v>260</v>
      </c>
      <c r="I189" s="404">
        <v>0</v>
      </c>
      <c r="J189" s="404">
        <v>26</v>
      </c>
      <c r="K189" s="404">
        <f>SUM(L189:O189)</f>
        <v>234</v>
      </c>
      <c r="L189" s="404">
        <f>G189-J189</f>
        <v>234</v>
      </c>
      <c r="M189" s="404">
        <v>0</v>
      </c>
      <c r="N189" s="404">
        <v>0</v>
      </c>
      <c r="O189" s="404">
        <v>0</v>
      </c>
      <c r="P189" s="405"/>
    </row>
    <row r="190" spans="1:16" s="128" customFormat="1" ht="27" customHeight="1">
      <c r="A190" s="203" t="s">
        <v>3</v>
      </c>
      <c r="B190" s="405" t="s">
        <v>584</v>
      </c>
      <c r="C190" s="405"/>
      <c r="D190" s="404">
        <f t="shared" ref="D190:O190" si="47">D191</f>
        <v>370</v>
      </c>
      <c r="E190" s="404">
        <f t="shared" si="47"/>
        <v>0</v>
      </c>
      <c r="F190" s="404">
        <f t="shared" si="47"/>
        <v>0</v>
      </c>
      <c r="G190" s="404">
        <f t="shared" si="47"/>
        <v>370</v>
      </c>
      <c r="H190" s="404">
        <f t="shared" si="47"/>
        <v>370</v>
      </c>
      <c r="I190" s="404">
        <f t="shared" si="47"/>
        <v>0</v>
      </c>
      <c r="J190" s="404">
        <f t="shared" si="47"/>
        <v>37</v>
      </c>
      <c r="K190" s="404">
        <f t="shared" si="47"/>
        <v>333</v>
      </c>
      <c r="L190" s="404">
        <f t="shared" si="47"/>
        <v>95.2</v>
      </c>
      <c r="M190" s="404">
        <f t="shared" si="47"/>
        <v>95</v>
      </c>
      <c r="N190" s="404">
        <f t="shared" si="47"/>
        <v>61</v>
      </c>
      <c r="O190" s="404">
        <f t="shared" si="47"/>
        <v>81.8</v>
      </c>
      <c r="P190" s="405"/>
    </row>
    <row r="191" spans="1:16" s="128" customFormat="1" ht="27" customHeight="1">
      <c r="A191" s="203"/>
      <c r="B191" s="405"/>
      <c r="C191" s="405" t="s">
        <v>583</v>
      </c>
      <c r="D191" s="404">
        <f>SUM(E191:G191)</f>
        <v>370</v>
      </c>
      <c r="E191" s="404">
        <v>0</v>
      </c>
      <c r="F191" s="404">
        <v>0</v>
      </c>
      <c r="G191" s="404">
        <v>370</v>
      </c>
      <c r="H191" s="404">
        <f>SUM(I191:K191)</f>
        <v>370</v>
      </c>
      <c r="I191" s="404"/>
      <c r="J191" s="404">
        <v>37</v>
      </c>
      <c r="K191" s="404">
        <f>SUM(L191:O191)</f>
        <v>333</v>
      </c>
      <c r="L191" s="404">
        <f>95.2</f>
        <v>95.2</v>
      </c>
      <c r="M191" s="404">
        <v>95</v>
      </c>
      <c r="N191" s="404">
        <v>61</v>
      </c>
      <c r="O191" s="404">
        <v>81.8</v>
      </c>
      <c r="P191" s="405"/>
    </row>
    <row r="192" spans="1:16" s="129" customFormat="1" ht="27" customHeight="1">
      <c r="A192" s="201">
        <v>12</v>
      </c>
      <c r="B192" s="130" t="s">
        <v>582</v>
      </c>
      <c r="C192" s="130"/>
      <c r="D192" s="202">
        <f t="shared" ref="D192:O192" si="48">D193</f>
        <v>9500</v>
      </c>
      <c r="E192" s="202">
        <f t="shared" si="48"/>
        <v>0</v>
      </c>
      <c r="F192" s="202">
        <f t="shared" si="48"/>
        <v>0</v>
      </c>
      <c r="G192" s="202">
        <f t="shared" si="48"/>
        <v>9500</v>
      </c>
      <c r="H192" s="202">
        <f t="shared" si="48"/>
        <v>9500</v>
      </c>
      <c r="I192" s="202">
        <f t="shared" si="48"/>
        <v>0</v>
      </c>
      <c r="J192" s="202">
        <f t="shared" si="48"/>
        <v>760</v>
      </c>
      <c r="K192" s="202">
        <f t="shared" si="48"/>
        <v>8740</v>
      </c>
      <c r="L192" s="202">
        <f t="shared" si="48"/>
        <v>8360</v>
      </c>
      <c r="M192" s="202">
        <f t="shared" si="48"/>
        <v>0</v>
      </c>
      <c r="N192" s="202">
        <f t="shared" si="48"/>
        <v>0</v>
      </c>
      <c r="O192" s="202">
        <f t="shared" si="48"/>
        <v>380</v>
      </c>
      <c r="P192" s="130"/>
    </row>
    <row r="193" spans="1:16" s="128" customFormat="1" ht="27" customHeight="1">
      <c r="A193" s="203" t="s">
        <v>3</v>
      </c>
      <c r="B193" s="405" t="s">
        <v>581</v>
      </c>
      <c r="C193" s="405"/>
      <c r="D193" s="404">
        <f t="shared" ref="D193:O193" si="49">SUM(D194:D196)</f>
        <v>9500</v>
      </c>
      <c r="E193" s="404">
        <f t="shared" si="49"/>
        <v>0</v>
      </c>
      <c r="F193" s="404">
        <f t="shared" si="49"/>
        <v>0</v>
      </c>
      <c r="G193" s="404">
        <f t="shared" si="49"/>
        <v>9500</v>
      </c>
      <c r="H193" s="404">
        <f t="shared" si="49"/>
        <v>9500</v>
      </c>
      <c r="I193" s="404">
        <f t="shared" si="49"/>
        <v>0</v>
      </c>
      <c r="J193" s="404">
        <f t="shared" si="49"/>
        <v>760</v>
      </c>
      <c r="K193" s="404">
        <f t="shared" si="49"/>
        <v>8740</v>
      </c>
      <c r="L193" s="404">
        <f t="shared" si="49"/>
        <v>8360</v>
      </c>
      <c r="M193" s="404">
        <f t="shared" si="49"/>
        <v>0</v>
      </c>
      <c r="N193" s="404">
        <f t="shared" si="49"/>
        <v>0</v>
      </c>
      <c r="O193" s="404">
        <f t="shared" si="49"/>
        <v>380</v>
      </c>
      <c r="P193" s="405"/>
    </row>
    <row r="194" spans="1:16" s="128" customFormat="1" ht="27" customHeight="1">
      <c r="A194" s="126"/>
      <c r="B194" s="405"/>
      <c r="C194" s="405" t="s">
        <v>580</v>
      </c>
      <c r="D194" s="131">
        <f>SUM(E194:G194)</f>
        <v>6000</v>
      </c>
      <c r="E194" s="131">
        <v>0</v>
      </c>
      <c r="F194" s="131">
        <v>0</v>
      </c>
      <c r="G194" s="131">
        <v>6000</v>
      </c>
      <c r="H194" s="1065">
        <f>SUM(I194:K194)</f>
        <v>9500</v>
      </c>
      <c r="I194" s="1065">
        <v>0</v>
      </c>
      <c r="J194" s="1065">
        <v>760</v>
      </c>
      <c r="K194" s="1065">
        <f>SUM(L194:O196)</f>
        <v>8740</v>
      </c>
      <c r="L194" s="1065">
        <f>1045+285+4940+2090</f>
        <v>8360</v>
      </c>
      <c r="M194" s="1065">
        <v>0</v>
      </c>
      <c r="N194" s="1065">
        <v>0</v>
      </c>
      <c r="O194" s="1065">
        <v>380</v>
      </c>
      <c r="P194" s="1066"/>
    </row>
    <row r="195" spans="1:16" s="128" customFormat="1" ht="27" customHeight="1">
      <c r="A195" s="126"/>
      <c r="B195" s="405"/>
      <c r="C195" s="405" t="s">
        <v>579</v>
      </c>
      <c r="D195" s="404">
        <f>SUM(E195:G195)</f>
        <v>2500</v>
      </c>
      <c r="E195" s="131">
        <v>0</v>
      </c>
      <c r="F195" s="131">
        <v>0</v>
      </c>
      <c r="G195" s="404">
        <v>2500</v>
      </c>
      <c r="H195" s="1065"/>
      <c r="I195" s="1065"/>
      <c r="J195" s="1065"/>
      <c r="K195" s="1065"/>
      <c r="L195" s="1065"/>
      <c r="M195" s="1065"/>
      <c r="N195" s="1065"/>
      <c r="O195" s="1065"/>
      <c r="P195" s="1066"/>
    </row>
    <row r="196" spans="1:16" s="127" customFormat="1" ht="27" customHeight="1">
      <c r="A196" s="126"/>
      <c r="B196" s="125"/>
      <c r="C196" s="405" t="s">
        <v>578</v>
      </c>
      <c r="D196" s="404">
        <f>SUM(E196:G196)</f>
        <v>1000</v>
      </c>
      <c r="E196" s="131">
        <v>0</v>
      </c>
      <c r="F196" s="131">
        <v>0</v>
      </c>
      <c r="G196" s="404">
        <v>1000</v>
      </c>
      <c r="H196" s="1065"/>
      <c r="I196" s="1065"/>
      <c r="J196" s="1065"/>
      <c r="K196" s="1065"/>
      <c r="L196" s="1065"/>
      <c r="M196" s="1065"/>
      <c r="N196" s="1065"/>
      <c r="O196" s="1065"/>
      <c r="P196" s="1066"/>
    </row>
    <row r="197" spans="1:16" s="129" customFormat="1" ht="27" customHeight="1">
      <c r="A197" s="201">
        <v>13</v>
      </c>
      <c r="B197" s="130" t="s">
        <v>328</v>
      </c>
      <c r="C197" s="130"/>
      <c r="D197" s="202">
        <f t="shared" ref="D197:O197" si="50">D198+D199</f>
        <v>1816</v>
      </c>
      <c r="E197" s="202">
        <f t="shared" si="50"/>
        <v>1740</v>
      </c>
      <c r="F197" s="202">
        <f t="shared" si="50"/>
        <v>16</v>
      </c>
      <c r="G197" s="202">
        <f t="shared" si="50"/>
        <v>60</v>
      </c>
      <c r="H197" s="202">
        <f t="shared" si="50"/>
        <v>1816</v>
      </c>
      <c r="I197" s="202">
        <f t="shared" si="50"/>
        <v>1.6</v>
      </c>
      <c r="J197" s="202">
        <f t="shared" si="50"/>
        <v>6</v>
      </c>
      <c r="K197" s="202">
        <f t="shared" si="50"/>
        <v>1808.4</v>
      </c>
      <c r="L197" s="202">
        <f t="shared" si="50"/>
        <v>1808.4</v>
      </c>
      <c r="M197" s="202">
        <f t="shared" si="50"/>
        <v>0</v>
      </c>
      <c r="N197" s="202">
        <f t="shared" si="50"/>
        <v>0</v>
      </c>
      <c r="O197" s="202">
        <f t="shared" si="50"/>
        <v>0</v>
      </c>
      <c r="P197" s="130"/>
    </row>
    <row r="198" spans="1:16" s="128" customFormat="1" ht="27" customHeight="1">
      <c r="A198" s="203" t="s">
        <v>3</v>
      </c>
      <c r="B198" s="405" t="s">
        <v>328</v>
      </c>
      <c r="C198" s="405" t="s">
        <v>577</v>
      </c>
      <c r="D198" s="404">
        <f>SUM(E198:G198)</f>
        <v>1740</v>
      </c>
      <c r="E198" s="404">
        <v>1740</v>
      </c>
      <c r="F198" s="404">
        <v>0</v>
      </c>
      <c r="G198" s="404">
        <v>0</v>
      </c>
      <c r="H198" s="404">
        <f>SUM(I198:K198)</f>
        <v>1740</v>
      </c>
      <c r="I198" s="404">
        <v>0</v>
      </c>
      <c r="J198" s="404"/>
      <c r="K198" s="404">
        <f>SUM(L198:O198)</f>
        <v>1740</v>
      </c>
      <c r="L198" s="404">
        <v>1740</v>
      </c>
      <c r="M198" s="404">
        <v>0</v>
      </c>
      <c r="N198" s="404">
        <v>0</v>
      </c>
      <c r="O198" s="404">
        <v>0</v>
      </c>
      <c r="P198" s="405"/>
    </row>
    <row r="199" spans="1:16" s="128" customFormat="1" ht="27" customHeight="1">
      <c r="A199" s="203" t="s">
        <v>3</v>
      </c>
      <c r="B199" s="405" t="s">
        <v>576</v>
      </c>
      <c r="C199" s="405"/>
      <c r="D199" s="404">
        <f t="shared" ref="D199:O199" si="51">SUM(D200:D201)</f>
        <v>76</v>
      </c>
      <c r="E199" s="404">
        <f t="shared" si="51"/>
        <v>0</v>
      </c>
      <c r="F199" s="404">
        <f t="shared" si="51"/>
        <v>16</v>
      </c>
      <c r="G199" s="404">
        <f t="shared" si="51"/>
        <v>60</v>
      </c>
      <c r="H199" s="404">
        <f t="shared" si="51"/>
        <v>76</v>
      </c>
      <c r="I199" s="404">
        <f t="shared" si="51"/>
        <v>1.6</v>
      </c>
      <c r="J199" s="404">
        <f t="shared" si="51"/>
        <v>6</v>
      </c>
      <c r="K199" s="404">
        <f t="shared" si="51"/>
        <v>68.400000000000006</v>
      </c>
      <c r="L199" s="404">
        <f t="shared" si="51"/>
        <v>68.400000000000006</v>
      </c>
      <c r="M199" s="404">
        <f t="shared" si="51"/>
        <v>0</v>
      </c>
      <c r="N199" s="404">
        <f t="shared" si="51"/>
        <v>0</v>
      </c>
      <c r="O199" s="404">
        <f t="shared" si="51"/>
        <v>0</v>
      </c>
      <c r="P199" s="405"/>
    </row>
    <row r="200" spans="1:16" s="127" customFormat="1" ht="27" customHeight="1">
      <c r="A200" s="126"/>
      <c r="B200" s="125"/>
      <c r="C200" s="405" t="s">
        <v>575</v>
      </c>
      <c r="D200" s="404">
        <f>E200+F200+G200</f>
        <v>16</v>
      </c>
      <c r="E200" s="404">
        <v>0</v>
      </c>
      <c r="F200" s="404">
        <v>16</v>
      </c>
      <c r="G200" s="404">
        <v>0</v>
      </c>
      <c r="H200" s="404">
        <f>SUM(I200:K200)</f>
        <v>16</v>
      </c>
      <c r="I200" s="404">
        <f>F200*10%</f>
        <v>1.6</v>
      </c>
      <c r="J200" s="404">
        <v>0</v>
      </c>
      <c r="K200" s="404">
        <f>SUM(L200:O200)</f>
        <v>14.4</v>
      </c>
      <c r="L200" s="404">
        <v>14.4</v>
      </c>
      <c r="M200" s="404">
        <v>0</v>
      </c>
      <c r="N200" s="404">
        <v>0</v>
      </c>
      <c r="O200" s="404">
        <v>0</v>
      </c>
      <c r="P200" s="405"/>
    </row>
    <row r="201" spans="1:16" s="127" customFormat="1" ht="27" customHeight="1">
      <c r="A201" s="126"/>
      <c r="B201" s="125"/>
      <c r="C201" s="405" t="s">
        <v>575</v>
      </c>
      <c r="D201" s="404">
        <f>E201+F201+G201</f>
        <v>60</v>
      </c>
      <c r="E201" s="404">
        <v>0</v>
      </c>
      <c r="F201" s="404">
        <v>0</v>
      </c>
      <c r="G201" s="404">
        <v>60</v>
      </c>
      <c r="H201" s="404">
        <f>SUM(I201:K201)</f>
        <v>60</v>
      </c>
      <c r="I201" s="404">
        <v>0</v>
      </c>
      <c r="J201" s="404">
        <f>D201*10%</f>
        <v>6</v>
      </c>
      <c r="K201" s="404">
        <f>SUM(L201:O201)</f>
        <v>54</v>
      </c>
      <c r="L201" s="404">
        <v>54</v>
      </c>
      <c r="M201" s="404">
        <v>0</v>
      </c>
      <c r="N201" s="404">
        <v>0</v>
      </c>
      <c r="O201" s="404">
        <v>0</v>
      </c>
      <c r="P201" s="405"/>
    </row>
    <row r="202" spans="1:16" s="103" customFormat="1" ht="27" customHeight="1">
      <c r="A202" s="116">
        <v>14</v>
      </c>
      <c r="B202" s="110" t="s">
        <v>574</v>
      </c>
      <c r="C202" s="110"/>
      <c r="D202" s="122">
        <f t="shared" ref="D202:O202" si="52">SUM(D203:D205)</f>
        <v>1900</v>
      </c>
      <c r="E202" s="122">
        <f t="shared" si="52"/>
        <v>0</v>
      </c>
      <c r="F202" s="122">
        <f t="shared" si="52"/>
        <v>0</v>
      </c>
      <c r="G202" s="122">
        <f t="shared" si="52"/>
        <v>1900</v>
      </c>
      <c r="H202" s="122">
        <f t="shared" si="52"/>
        <v>1900</v>
      </c>
      <c r="I202" s="122">
        <f t="shared" si="52"/>
        <v>0</v>
      </c>
      <c r="J202" s="122">
        <f t="shared" si="52"/>
        <v>93</v>
      </c>
      <c r="K202" s="122">
        <f t="shared" si="52"/>
        <v>1807</v>
      </c>
      <c r="L202" s="122">
        <f t="shared" si="52"/>
        <v>1647</v>
      </c>
      <c r="M202" s="122">
        <f t="shared" si="52"/>
        <v>60</v>
      </c>
      <c r="N202" s="122">
        <f t="shared" si="52"/>
        <v>10</v>
      </c>
      <c r="O202" s="122">
        <f t="shared" si="52"/>
        <v>90</v>
      </c>
      <c r="P202" s="110"/>
    </row>
    <row r="203" spans="1:16" s="103" customFormat="1" ht="27" customHeight="1">
      <c r="A203" s="126"/>
      <c r="B203" s="125"/>
      <c r="C203" s="109" t="s">
        <v>573</v>
      </c>
      <c r="D203" s="403">
        <v>920</v>
      </c>
      <c r="E203" s="403"/>
      <c r="F203" s="403"/>
      <c r="G203" s="403">
        <v>920</v>
      </c>
      <c r="H203" s="1062">
        <f>SUM(I203:K205)</f>
        <v>1900</v>
      </c>
      <c r="I203" s="1067"/>
      <c r="J203" s="1062">
        <v>93</v>
      </c>
      <c r="K203" s="1062">
        <f>SUM(L203:O205)</f>
        <v>1807</v>
      </c>
      <c r="L203" s="1062">
        <v>1647</v>
      </c>
      <c r="M203" s="1062">
        <v>60</v>
      </c>
      <c r="N203" s="1062">
        <v>10</v>
      </c>
      <c r="O203" s="1062">
        <v>90</v>
      </c>
      <c r="P203" s="110"/>
    </row>
    <row r="204" spans="1:16" s="124" customFormat="1" ht="27" customHeight="1">
      <c r="A204" s="112"/>
      <c r="B204" s="109"/>
      <c r="C204" s="109" t="s">
        <v>572</v>
      </c>
      <c r="D204" s="403">
        <v>800</v>
      </c>
      <c r="E204" s="403"/>
      <c r="F204" s="403"/>
      <c r="G204" s="403">
        <v>800</v>
      </c>
      <c r="H204" s="1062"/>
      <c r="I204" s="1067"/>
      <c r="J204" s="1062"/>
      <c r="K204" s="1062"/>
      <c r="L204" s="1062"/>
      <c r="M204" s="1062"/>
      <c r="N204" s="1062"/>
      <c r="O204" s="1062"/>
      <c r="P204" s="109"/>
    </row>
    <row r="205" spans="1:16" ht="27" customHeight="1">
      <c r="A205" s="112"/>
      <c r="B205" s="109"/>
      <c r="C205" s="109" t="s">
        <v>571</v>
      </c>
      <c r="D205" s="403">
        <v>180</v>
      </c>
      <c r="E205" s="403"/>
      <c r="F205" s="403"/>
      <c r="G205" s="403">
        <v>180</v>
      </c>
      <c r="H205" s="1062"/>
      <c r="I205" s="1067"/>
      <c r="J205" s="1062"/>
      <c r="K205" s="1062"/>
      <c r="L205" s="1062"/>
      <c r="M205" s="1062"/>
      <c r="N205" s="1062"/>
      <c r="O205" s="1062"/>
      <c r="P205" s="109"/>
    </row>
    <row r="206" spans="1:16" ht="27" customHeight="1">
      <c r="A206" s="116">
        <v>15</v>
      </c>
      <c r="B206" s="110" t="s">
        <v>331</v>
      </c>
      <c r="C206" s="110"/>
      <c r="D206" s="115">
        <f t="shared" ref="D206:O206" si="53">D207+D208</f>
        <v>500</v>
      </c>
      <c r="E206" s="115">
        <f t="shared" si="53"/>
        <v>0</v>
      </c>
      <c r="F206" s="115">
        <f t="shared" si="53"/>
        <v>200</v>
      </c>
      <c r="G206" s="115">
        <f t="shared" si="53"/>
        <v>300</v>
      </c>
      <c r="H206" s="115">
        <f t="shared" si="53"/>
        <v>500</v>
      </c>
      <c r="I206" s="115">
        <f t="shared" si="53"/>
        <v>20</v>
      </c>
      <c r="J206" s="115">
        <f t="shared" si="53"/>
        <v>30</v>
      </c>
      <c r="K206" s="115">
        <f t="shared" si="53"/>
        <v>450</v>
      </c>
      <c r="L206" s="115">
        <f t="shared" si="53"/>
        <v>380</v>
      </c>
      <c r="M206" s="115">
        <f t="shared" si="53"/>
        <v>26</v>
      </c>
      <c r="N206" s="115">
        <f t="shared" si="53"/>
        <v>20</v>
      </c>
      <c r="O206" s="115">
        <f t="shared" si="53"/>
        <v>24</v>
      </c>
      <c r="P206" s="189"/>
    </row>
    <row r="207" spans="1:16" ht="27" customHeight="1">
      <c r="A207" s="204" t="s">
        <v>3</v>
      </c>
      <c r="B207" s="109" t="s">
        <v>570</v>
      </c>
      <c r="C207" s="109" t="s">
        <v>569</v>
      </c>
      <c r="D207" s="115">
        <f>E207+F207+G207</f>
        <v>200</v>
      </c>
      <c r="E207" s="111"/>
      <c r="F207" s="111">
        <v>200</v>
      </c>
      <c r="G207" s="111"/>
      <c r="H207" s="115">
        <f>I207+J207+K207</f>
        <v>200</v>
      </c>
      <c r="I207" s="111">
        <f>D207*10%</f>
        <v>20</v>
      </c>
      <c r="J207" s="111"/>
      <c r="K207" s="111">
        <f>L207+M207+N207+O207</f>
        <v>180</v>
      </c>
      <c r="L207" s="111">
        <v>180</v>
      </c>
      <c r="M207" s="111"/>
      <c r="N207" s="111"/>
      <c r="O207" s="111"/>
      <c r="P207" s="109"/>
    </row>
    <row r="208" spans="1:16" ht="27" customHeight="1">
      <c r="A208" s="204" t="s">
        <v>3</v>
      </c>
      <c r="B208" s="109" t="s">
        <v>568</v>
      </c>
      <c r="C208" s="109" t="s">
        <v>567</v>
      </c>
      <c r="D208" s="115">
        <f>E208+F208+G208</f>
        <v>300</v>
      </c>
      <c r="E208" s="111"/>
      <c r="F208" s="111"/>
      <c r="G208" s="111">
        <v>300</v>
      </c>
      <c r="H208" s="115">
        <f>I208+J208+K208</f>
        <v>300</v>
      </c>
      <c r="I208" s="111"/>
      <c r="J208" s="111">
        <f>G208*10%</f>
        <v>30</v>
      </c>
      <c r="K208" s="111">
        <f>L208+M208+N208+O208</f>
        <v>270</v>
      </c>
      <c r="L208" s="111">
        <v>200</v>
      </c>
      <c r="M208" s="111">
        <v>26</v>
      </c>
      <c r="N208" s="111">
        <v>20</v>
      </c>
      <c r="O208" s="111">
        <v>24</v>
      </c>
      <c r="P208" s="109"/>
    </row>
    <row r="209" spans="1:16" s="124" customFormat="1" ht="27" customHeight="1">
      <c r="A209" s="116">
        <v>16</v>
      </c>
      <c r="B209" s="110" t="s">
        <v>321</v>
      </c>
      <c r="C209" s="109" t="s">
        <v>566</v>
      </c>
      <c r="D209" s="115">
        <f>E209+F209+G209</f>
        <v>50</v>
      </c>
      <c r="E209" s="111"/>
      <c r="F209" s="111">
        <v>50</v>
      </c>
      <c r="G209" s="111"/>
      <c r="H209" s="115">
        <f>I209+J209+K209</f>
        <v>50</v>
      </c>
      <c r="I209" s="111"/>
      <c r="J209" s="111">
        <f>D209*10%</f>
        <v>5</v>
      </c>
      <c r="K209" s="111">
        <f>L209+M209+N209+O209</f>
        <v>45</v>
      </c>
      <c r="L209" s="111">
        <v>45</v>
      </c>
      <c r="M209" s="111"/>
      <c r="N209" s="111"/>
      <c r="O209" s="111"/>
      <c r="P209" s="109"/>
    </row>
    <row r="210" spans="1:16" s="123" customFormat="1" ht="27" customHeight="1">
      <c r="A210" s="186">
        <v>17</v>
      </c>
      <c r="B210" s="110" t="s">
        <v>448</v>
      </c>
      <c r="C210" s="159"/>
      <c r="D210" s="115">
        <f t="shared" ref="D210:O210" si="54">SUM(D211+D212+D213+D214+D215)</f>
        <v>2992</v>
      </c>
      <c r="E210" s="115">
        <f t="shared" si="54"/>
        <v>0</v>
      </c>
      <c r="F210" s="115">
        <f t="shared" si="54"/>
        <v>92</v>
      </c>
      <c r="G210" s="115">
        <f t="shared" si="54"/>
        <v>2900</v>
      </c>
      <c r="H210" s="115">
        <f t="shared" si="54"/>
        <v>2992.04</v>
      </c>
      <c r="I210" s="115">
        <f t="shared" si="54"/>
        <v>13.4</v>
      </c>
      <c r="J210" s="115">
        <f t="shared" si="54"/>
        <v>0</v>
      </c>
      <c r="K210" s="115">
        <f t="shared" si="54"/>
        <v>2978.64</v>
      </c>
      <c r="L210" s="115">
        <f t="shared" si="54"/>
        <v>2947.2</v>
      </c>
      <c r="M210" s="115">
        <f t="shared" si="54"/>
        <v>31.44</v>
      </c>
      <c r="N210" s="115">
        <f t="shared" si="54"/>
        <v>0</v>
      </c>
      <c r="O210" s="115">
        <f t="shared" si="54"/>
        <v>0</v>
      </c>
      <c r="P210" s="187"/>
    </row>
    <row r="211" spans="1:16" ht="27" customHeight="1">
      <c r="A211" s="112" t="s">
        <v>3</v>
      </c>
      <c r="B211" s="109" t="s">
        <v>565</v>
      </c>
      <c r="C211" s="109" t="s">
        <v>564</v>
      </c>
      <c r="D211" s="111">
        <f>SUM(E211:G211)</f>
        <v>10</v>
      </c>
      <c r="E211" s="111"/>
      <c r="F211" s="111">
        <v>10</v>
      </c>
      <c r="G211" s="111"/>
      <c r="H211" s="111">
        <f>SUM(I211:K211)</f>
        <v>10</v>
      </c>
      <c r="I211" s="111">
        <v>1</v>
      </c>
      <c r="J211" s="111"/>
      <c r="K211" s="111">
        <v>9</v>
      </c>
      <c r="L211" s="111">
        <v>5.4</v>
      </c>
      <c r="M211" s="111">
        <v>3.6</v>
      </c>
      <c r="N211" s="111"/>
      <c r="O211" s="111"/>
      <c r="P211" s="188"/>
    </row>
    <row r="212" spans="1:16" ht="27" customHeight="1">
      <c r="A212" s="112" t="s">
        <v>3</v>
      </c>
      <c r="B212" s="109" t="s">
        <v>441</v>
      </c>
      <c r="C212" s="109" t="s">
        <v>563</v>
      </c>
      <c r="D212" s="111">
        <f>SUM(E212:G212)</f>
        <v>50</v>
      </c>
      <c r="E212" s="111"/>
      <c r="F212" s="111">
        <v>50</v>
      </c>
      <c r="G212" s="111"/>
      <c r="H212" s="111">
        <f>SUM(I212:K212)</f>
        <v>50</v>
      </c>
      <c r="I212" s="111">
        <v>5</v>
      </c>
      <c r="J212" s="111"/>
      <c r="K212" s="111">
        <v>45</v>
      </c>
      <c r="L212" s="111">
        <v>27</v>
      </c>
      <c r="M212" s="111">
        <f>K212*40%</f>
        <v>18</v>
      </c>
      <c r="N212" s="111"/>
      <c r="O212" s="111"/>
      <c r="P212" s="188"/>
    </row>
    <row r="213" spans="1:16" ht="27" customHeight="1">
      <c r="A213" s="112" t="s">
        <v>3</v>
      </c>
      <c r="B213" s="109" t="s">
        <v>562</v>
      </c>
      <c r="C213" s="109" t="s">
        <v>1075</v>
      </c>
      <c r="D213" s="111">
        <f>SUM(E213:G213)</f>
        <v>12</v>
      </c>
      <c r="E213" s="111"/>
      <c r="F213" s="111">
        <v>12</v>
      </c>
      <c r="G213" s="111"/>
      <c r="H213" s="111">
        <f>SUM(I213:K213)</f>
        <v>12.040000000000001</v>
      </c>
      <c r="I213" s="111">
        <v>2.4000000000000004</v>
      </c>
      <c r="J213" s="111"/>
      <c r="K213" s="111">
        <f>SUM(L213:M213)</f>
        <v>9.64</v>
      </c>
      <c r="L213" s="111">
        <v>5.8</v>
      </c>
      <c r="M213" s="111">
        <v>3.84</v>
      </c>
      <c r="N213" s="111"/>
      <c r="O213" s="111"/>
      <c r="P213" s="109"/>
    </row>
    <row r="214" spans="1:16" ht="27" customHeight="1">
      <c r="A214" s="112" t="s">
        <v>3</v>
      </c>
      <c r="B214" s="109" t="s">
        <v>561</v>
      </c>
      <c r="C214" s="109" t="s">
        <v>560</v>
      </c>
      <c r="D214" s="111">
        <f>SUM(E214:G214)</f>
        <v>20</v>
      </c>
      <c r="E214" s="111"/>
      <c r="F214" s="111">
        <v>20</v>
      </c>
      <c r="G214" s="111"/>
      <c r="H214" s="111">
        <f>SUM(I214:K214)</f>
        <v>20</v>
      </c>
      <c r="I214" s="111">
        <v>5</v>
      </c>
      <c r="J214" s="111"/>
      <c r="K214" s="111">
        <v>15</v>
      </c>
      <c r="L214" s="111">
        <v>9</v>
      </c>
      <c r="M214" s="111">
        <f>K214*40%</f>
        <v>6</v>
      </c>
      <c r="N214" s="111"/>
      <c r="O214" s="111"/>
      <c r="P214" s="109"/>
    </row>
    <row r="215" spans="1:16" ht="27" customHeight="1">
      <c r="A215" s="112" t="s">
        <v>3</v>
      </c>
      <c r="B215" s="109" t="s">
        <v>919</v>
      </c>
      <c r="C215" s="109"/>
      <c r="D215" s="111">
        <f t="shared" ref="D215:O215" si="55">SUM(D216:D217)</f>
        <v>2900</v>
      </c>
      <c r="E215" s="111">
        <f t="shared" si="55"/>
        <v>0</v>
      </c>
      <c r="F215" s="111">
        <f t="shared" si="55"/>
        <v>0</v>
      </c>
      <c r="G215" s="111">
        <f t="shared" si="55"/>
        <v>2900</v>
      </c>
      <c r="H215" s="111">
        <f t="shared" si="55"/>
        <v>2900</v>
      </c>
      <c r="I215" s="111">
        <f t="shared" si="55"/>
        <v>0</v>
      </c>
      <c r="J215" s="111">
        <f t="shared" si="55"/>
        <v>0</v>
      </c>
      <c r="K215" s="111">
        <f t="shared" si="55"/>
        <v>2900</v>
      </c>
      <c r="L215" s="111">
        <f t="shared" si="55"/>
        <v>2900</v>
      </c>
      <c r="M215" s="111">
        <f t="shared" si="55"/>
        <v>0</v>
      </c>
      <c r="N215" s="111">
        <f t="shared" si="55"/>
        <v>0</v>
      </c>
      <c r="O215" s="111">
        <f t="shared" si="55"/>
        <v>0</v>
      </c>
      <c r="P215" s="109"/>
    </row>
    <row r="216" spans="1:16" ht="27" customHeight="1">
      <c r="A216" s="112"/>
      <c r="B216" s="109"/>
      <c r="C216" s="405" t="s">
        <v>540</v>
      </c>
      <c r="D216" s="403">
        <f>G216</f>
        <v>2850</v>
      </c>
      <c r="E216" s="403"/>
      <c r="F216" s="403"/>
      <c r="G216" s="403">
        <v>2850</v>
      </c>
      <c r="H216" s="403">
        <f>SUM(I216:K216)</f>
        <v>2850</v>
      </c>
      <c r="I216" s="403"/>
      <c r="J216" s="403"/>
      <c r="K216" s="403">
        <f>G216</f>
        <v>2850</v>
      </c>
      <c r="L216" s="403">
        <f>K216</f>
        <v>2850</v>
      </c>
      <c r="M216" s="403"/>
      <c r="N216" s="403"/>
      <c r="O216" s="403"/>
      <c r="P216" s="109"/>
    </row>
    <row r="217" spans="1:16" ht="27" customHeight="1">
      <c r="A217" s="112"/>
      <c r="B217" s="109"/>
      <c r="C217" s="405" t="s">
        <v>539</v>
      </c>
      <c r="D217" s="403">
        <f>G217</f>
        <v>50</v>
      </c>
      <c r="E217" s="403"/>
      <c r="F217" s="403"/>
      <c r="G217" s="403">
        <v>50</v>
      </c>
      <c r="H217" s="403">
        <f>SUM(I217:K217)</f>
        <v>50</v>
      </c>
      <c r="I217" s="403"/>
      <c r="J217" s="403"/>
      <c r="K217" s="403">
        <f>G217</f>
        <v>50</v>
      </c>
      <c r="L217" s="403">
        <f>K217</f>
        <v>50</v>
      </c>
      <c r="M217" s="403"/>
      <c r="N217" s="403"/>
      <c r="O217" s="403"/>
      <c r="P217" s="109"/>
    </row>
    <row r="218" spans="1:16" s="120" customFormat="1" ht="27" customHeight="1">
      <c r="A218" s="116">
        <v>18</v>
      </c>
      <c r="B218" s="157" t="s">
        <v>366</v>
      </c>
      <c r="C218" s="110"/>
      <c r="D218" s="122">
        <f t="shared" ref="D218:P218" si="56">D219+D224+D230</f>
        <v>6605</v>
      </c>
      <c r="E218" s="122">
        <f t="shared" si="56"/>
        <v>1454</v>
      </c>
      <c r="F218" s="122">
        <f t="shared" si="56"/>
        <v>51</v>
      </c>
      <c r="G218" s="122">
        <f t="shared" si="56"/>
        <v>5100</v>
      </c>
      <c r="H218" s="122">
        <f t="shared" si="56"/>
        <v>6605.0003636363635</v>
      </c>
      <c r="I218" s="122">
        <f t="shared" si="56"/>
        <v>196.4</v>
      </c>
      <c r="J218" s="122">
        <f t="shared" si="56"/>
        <v>463.6373636363636</v>
      </c>
      <c r="K218" s="122">
        <f t="shared" si="56"/>
        <v>5944.9630000000006</v>
      </c>
      <c r="L218" s="122">
        <f t="shared" si="56"/>
        <v>5104.563000000001</v>
      </c>
      <c r="M218" s="122">
        <f t="shared" si="56"/>
        <v>263.39999999999998</v>
      </c>
      <c r="N218" s="122">
        <f t="shared" si="56"/>
        <v>0</v>
      </c>
      <c r="O218" s="122">
        <f t="shared" si="56"/>
        <v>577</v>
      </c>
      <c r="P218" s="121">
        <f t="shared" si="56"/>
        <v>0</v>
      </c>
    </row>
    <row r="219" spans="1:16" s="103" customFormat="1" ht="27" customHeight="1">
      <c r="A219" s="116" t="s">
        <v>3</v>
      </c>
      <c r="B219" s="110" t="s">
        <v>559</v>
      </c>
      <c r="C219" s="110"/>
      <c r="D219" s="115">
        <f t="shared" ref="D219:P219" si="57">SUM(D220:D223)</f>
        <v>1505</v>
      </c>
      <c r="E219" s="115">
        <f t="shared" si="57"/>
        <v>1454</v>
      </c>
      <c r="F219" s="115">
        <f t="shared" si="57"/>
        <v>51</v>
      </c>
      <c r="G219" s="115">
        <f t="shared" si="57"/>
        <v>0</v>
      </c>
      <c r="H219" s="115">
        <f t="shared" si="57"/>
        <v>1505</v>
      </c>
      <c r="I219" s="115">
        <f t="shared" si="57"/>
        <v>196.4</v>
      </c>
      <c r="J219" s="115">
        <f t="shared" si="57"/>
        <v>0</v>
      </c>
      <c r="K219" s="115">
        <f t="shared" si="57"/>
        <v>1308.5999999999999</v>
      </c>
      <c r="L219" s="115">
        <f t="shared" si="57"/>
        <v>650</v>
      </c>
      <c r="M219" s="115">
        <f t="shared" si="57"/>
        <v>263.39999999999998</v>
      </c>
      <c r="N219" s="115">
        <f t="shared" si="57"/>
        <v>0</v>
      </c>
      <c r="O219" s="115">
        <f t="shared" si="57"/>
        <v>395.2</v>
      </c>
      <c r="P219" s="110">
        <f t="shared" si="57"/>
        <v>0</v>
      </c>
    </row>
    <row r="220" spans="1:16" ht="27" customHeight="1">
      <c r="A220" s="112"/>
      <c r="B220" s="109"/>
      <c r="C220" s="109" t="s">
        <v>558</v>
      </c>
      <c r="D220" s="111">
        <f>SUM(E220:G220)</f>
        <v>1454</v>
      </c>
      <c r="E220" s="111">
        <v>1454</v>
      </c>
      <c r="F220" s="111"/>
      <c r="G220" s="111"/>
      <c r="H220" s="111">
        <f>I220+J220+K220</f>
        <v>1454</v>
      </c>
      <c r="I220" s="111">
        <f>E220*10%</f>
        <v>145.4</v>
      </c>
      <c r="J220" s="111"/>
      <c r="K220" s="111">
        <f>SUM(L220:O220)</f>
        <v>1308.5999999999999</v>
      </c>
      <c r="L220" s="111">
        <v>650</v>
      </c>
      <c r="M220" s="111">
        <v>263.39999999999998</v>
      </c>
      <c r="N220" s="111">
        <v>0</v>
      </c>
      <c r="O220" s="111">
        <v>395.2</v>
      </c>
      <c r="P220" s="109"/>
    </row>
    <row r="221" spans="1:16" ht="27" customHeight="1">
      <c r="A221" s="112"/>
      <c r="B221" s="109"/>
      <c r="C221" s="119" t="s">
        <v>557</v>
      </c>
      <c r="D221" s="111">
        <f>SUM(E221:G221)</f>
        <v>0.5</v>
      </c>
      <c r="E221" s="111"/>
      <c r="F221" s="111">
        <v>0.5</v>
      </c>
      <c r="G221" s="111"/>
      <c r="H221" s="111">
        <f>I221+J221+K221</f>
        <v>0.5</v>
      </c>
      <c r="I221" s="111">
        <f>F221*100%</f>
        <v>0.5</v>
      </c>
      <c r="J221" s="111"/>
      <c r="K221" s="111">
        <v>0</v>
      </c>
      <c r="L221" s="111"/>
      <c r="M221" s="111"/>
      <c r="N221" s="111"/>
      <c r="O221" s="111"/>
      <c r="P221" s="109"/>
    </row>
    <row r="222" spans="1:16" ht="27" customHeight="1">
      <c r="A222" s="112"/>
      <c r="B222" s="109"/>
      <c r="C222" s="119" t="s">
        <v>556</v>
      </c>
      <c r="D222" s="111">
        <f>SUM(E222:G222)</f>
        <v>50</v>
      </c>
      <c r="E222" s="111"/>
      <c r="F222" s="111">
        <v>50</v>
      </c>
      <c r="G222" s="111"/>
      <c r="H222" s="111">
        <f>I222+J222+K222</f>
        <v>50</v>
      </c>
      <c r="I222" s="111">
        <f>F222*100%</f>
        <v>50</v>
      </c>
      <c r="J222" s="111"/>
      <c r="K222" s="111">
        <v>0</v>
      </c>
      <c r="L222" s="111"/>
      <c r="M222" s="111"/>
      <c r="N222" s="111"/>
      <c r="O222" s="111"/>
      <c r="P222" s="109"/>
    </row>
    <row r="223" spans="1:16" ht="27" customHeight="1">
      <c r="A223" s="112"/>
      <c r="B223" s="109"/>
      <c r="C223" s="119" t="s">
        <v>555</v>
      </c>
      <c r="D223" s="111">
        <f>SUM(E223:G223)</f>
        <v>0.5</v>
      </c>
      <c r="E223" s="111"/>
      <c r="F223" s="111">
        <v>0.5</v>
      </c>
      <c r="G223" s="111"/>
      <c r="H223" s="111">
        <f>I223+J223+K223</f>
        <v>0.5</v>
      </c>
      <c r="I223" s="111">
        <f>F223*100%</f>
        <v>0.5</v>
      </c>
      <c r="J223" s="111"/>
      <c r="K223" s="111">
        <v>0</v>
      </c>
      <c r="L223" s="111"/>
      <c r="M223" s="111"/>
      <c r="N223" s="111"/>
      <c r="O223" s="111"/>
      <c r="P223" s="109"/>
    </row>
    <row r="224" spans="1:16" s="103" customFormat="1" ht="27" customHeight="1">
      <c r="A224" s="116" t="s">
        <v>3</v>
      </c>
      <c r="B224" s="110" t="s">
        <v>554</v>
      </c>
      <c r="C224" s="110"/>
      <c r="D224" s="115">
        <f>SUM(D225:D229)</f>
        <v>4100</v>
      </c>
      <c r="E224" s="115">
        <f>SUM(E225:E229)</f>
        <v>0</v>
      </c>
      <c r="F224" s="115">
        <f>SUM(F225:F229)</f>
        <v>0</v>
      </c>
      <c r="G224" s="115">
        <f>SUM(G225:G229)</f>
        <v>4100</v>
      </c>
      <c r="H224" s="115">
        <f>SUM(H225:H229)+0.001</f>
        <v>4100.0002727272731</v>
      </c>
      <c r="I224" s="115">
        <f>SUM(I225:I229)</f>
        <v>0</v>
      </c>
      <c r="J224" s="115">
        <f>SUM(J225:J229)+0.001</f>
        <v>372.72827272727267</v>
      </c>
      <c r="K224" s="115">
        <f t="shared" ref="K224:P224" si="58">SUM(K225:K229)</f>
        <v>3727.2720000000004</v>
      </c>
      <c r="L224" s="115">
        <f t="shared" si="58"/>
        <v>3545.4720000000007</v>
      </c>
      <c r="M224" s="115">
        <f t="shared" si="58"/>
        <v>0</v>
      </c>
      <c r="N224" s="115">
        <f t="shared" si="58"/>
        <v>0</v>
      </c>
      <c r="O224" s="115">
        <f t="shared" si="58"/>
        <v>181.8</v>
      </c>
      <c r="P224" s="114">
        <f t="shared" si="58"/>
        <v>0</v>
      </c>
    </row>
    <row r="225" spans="1:16" ht="27" customHeight="1">
      <c r="A225" s="112"/>
      <c r="B225" s="118"/>
      <c r="C225" s="118" t="s">
        <v>553</v>
      </c>
      <c r="D225" s="111">
        <f>SUM(E225:G225)</f>
        <v>600</v>
      </c>
      <c r="E225" s="111"/>
      <c r="F225" s="111"/>
      <c r="G225" s="111">
        <v>600</v>
      </c>
      <c r="H225" s="111">
        <f>I225+J225+K225</f>
        <v>600.00045454545455</v>
      </c>
      <c r="I225" s="111"/>
      <c r="J225" s="111">
        <f>G225/11</f>
        <v>54.545454545454547</v>
      </c>
      <c r="K225" s="111">
        <f>SUM(L225:O225)</f>
        <v>545.45500000000004</v>
      </c>
      <c r="L225" s="111">
        <v>545.45500000000004</v>
      </c>
      <c r="M225" s="111"/>
      <c r="N225" s="111"/>
      <c r="O225" s="111"/>
      <c r="P225" s="109"/>
    </row>
    <row r="226" spans="1:16" ht="27" customHeight="1">
      <c r="A226" s="112"/>
      <c r="B226" s="117"/>
      <c r="C226" s="109" t="s">
        <v>552</v>
      </c>
      <c r="D226" s="111">
        <f>SUM(E226:G226)</f>
        <v>1950</v>
      </c>
      <c r="E226" s="111"/>
      <c r="F226" s="111"/>
      <c r="G226" s="111">
        <v>1950</v>
      </c>
      <c r="H226" s="111">
        <f>I226+J226+K226</f>
        <v>1949.9997272727273</v>
      </c>
      <c r="I226" s="111"/>
      <c r="J226" s="111">
        <f>G226/11</f>
        <v>177.27272727272728</v>
      </c>
      <c r="K226" s="111">
        <f>SUM(L226:O226)</f>
        <v>1772.7270000000001</v>
      </c>
      <c r="L226" s="111">
        <v>1672.7270000000001</v>
      </c>
      <c r="M226" s="111"/>
      <c r="N226" s="111"/>
      <c r="O226" s="111">
        <v>100</v>
      </c>
      <c r="P226" s="109"/>
    </row>
    <row r="227" spans="1:16" ht="27" customHeight="1">
      <c r="A227" s="112"/>
      <c r="B227" s="117"/>
      <c r="C227" s="109" t="s">
        <v>551</v>
      </c>
      <c r="D227" s="111">
        <f>SUM(E227:G227)</f>
        <v>445</v>
      </c>
      <c r="E227" s="111"/>
      <c r="F227" s="111"/>
      <c r="G227" s="111">
        <v>445</v>
      </c>
      <c r="H227" s="111">
        <f>I227+J227+K227</f>
        <v>444.99954545454545</v>
      </c>
      <c r="I227" s="111"/>
      <c r="J227" s="111">
        <f>G227/11</f>
        <v>40.454545454545453</v>
      </c>
      <c r="K227" s="111">
        <f>SUM(L227:O227)</f>
        <v>404.54500000000002</v>
      </c>
      <c r="L227" s="111">
        <v>404.54500000000002</v>
      </c>
      <c r="M227" s="111"/>
      <c r="N227" s="111"/>
      <c r="O227" s="111"/>
      <c r="P227" s="109"/>
    </row>
    <row r="228" spans="1:16" ht="27" customHeight="1">
      <c r="A228" s="112"/>
      <c r="B228" s="117"/>
      <c r="C228" s="109" t="s">
        <v>550</v>
      </c>
      <c r="D228" s="111">
        <f>SUM(E228:G228)</f>
        <v>1100</v>
      </c>
      <c r="E228" s="111"/>
      <c r="F228" s="111"/>
      <c r="G228" s="111">
        <v>1100</v>
      </c>
      <c r="H228" s="111">
        <f>I228+J228+K228</f>
        <v>1100</v>
      </c>
      <c r="I228" s="111"/>
      <c r="J228" s="111">
        <f>G228/11</f>
        <v>100</v>
      </c>
      <c r="K228" s="111">
        <f>SUM(L228:O228)</f>
        <v>1000</v>
      </c>
      <c r="L228" s="111">
        <v>918.2</v>
      </c>
      <c r="M228" s="111"/>
      <c r="N228" s="111"/>
      <c r="O228" s="111">
        <v>81.8</v>
      </c>
      <c r="P228" s="109"/>
    </row>
    <row r="229" spans="1:16" ht="27" customHeight="1">
      <c r="A229" s="112"/>
      <c r="B229" s="117"/>
      <c r="C229" s="109" t="s">
        <v>38</v>
      </c>
      <c r="D229" s="111">
        <f>SUM(E229:G229)</f>
        <v>5</v>
      </c>
      <c r="E229" s="111"/>
      <c r="F229" s="111"/>
      <c r="G229" s="111">
        <v>5</v>
      </c>
      <c r="H229" s="111">
        <f>I229+J229+K229</f>
        <v>4.9995454545454541</v>
      </c>
      <c r="I229" s="111"/>
      <c r="J229" s="111">
        <f>G229/11</f>
        <v>0.45454545454545453</v>
      </c>
      <c r="K229" s="111">
        <f>SUM(L229:O229)</f>
        <v>4.5449999999999999</v>
      </c>
      <c r="L229" s="111">
        <v>4.5449999999999999</v>
      </c>
      <c r="M229" s="111"/>
      <c r="N229" s="111"/>
      <c r="O229" s="111"/>
      <c r="P229" s="109"/>
    </row>
    <row r="230" spans="1:16" s="103" customFormat="1" ht="27" customHeight="1">
      <c r="A230" s="116" t="s">
        <v>3</v>
      </c>
      <c r="B230" s="110" t="s">
        <v>525</v>
      </c>
      <c r="C230" s="110"/>
      <c r="D230" s="115">
        <f t="shared" ref="D230:P230" si="59">SUM(D231:D232)</f>
        <v>1000</v>
      </c>
      <c r="E230" s="115">
        <f t="shared" si="59"/>
        <v>0</v>
      </c>
      <c r="F230" s="115">
        <f t="shared" si="59"/>
        <v>0</v>
      </c>
      <c r="G230" s="115">
        <f t="shared" si="59"/>
        <v>1000</v>
      </c>
      <c r="H230" s="115">
        <f t="shared" si="59"/>
        <v>1000.0000909090909</v>
      </c>
      <c r="I230" s="115">
        <f t="shared" si="59"/>
        <v>0</v>
      </c>
      <c r="J230" s="115">
        <f t="shared" si="59"/>
        <v>90.909090909090907</v>
      </c>
      <c r="K230" s="115">
        <f t="shared" si="59"/>
        <v>909.09100000000001</v>
      </c>
      <c r="L230" s="115">
        <f t="shared" si="59"/>
        <v>909.09100000000001</v>
      </c>
      <c r="M230" s="115">
        <f t="shared" si="59"/>
        <v>0</v>
      </c>
      <c r="N230" s="115">
        <f t="shared" si="59"/>
        <v>0</v>
      </c>
      <c r="O230" s="115">
        <f t="shared" si="59"/>
        <v>0</v>
      </c>
      <c r="P230" s="114">
        <f t="shared" si="59"/>
        <v>0</v>
      </c>
    </row>
    <row r="231" spans="1:16" ht="27" customHeight="1">
      <c r="A231" s="112"/>
      <c r="B231" s="109"/>
      <c r="C231" s="113" t="s">
        <v>549</v>
      </c>
      <c r="D231" s="111">
        <f>SUM(E231:G231)</f>
        <v>300</v>
      </c>
      <c r="E231" s="111"/>
      <c r="F231" s="111"/>
      <c r="G231" s="111">
        <v>300</v>
      </c>
      <c r="H231" s="111">
        <f>I231+J231+K231</f>
        <v>299.99972727272723</v>
      </c>
      <c r="I231" s="111"/>
      <c r="J231" s="111">
        <f>G231/11</f>
        <v>27.272727272727273</v>
      </c>
      <c r="K231" s="111">
        <v>272.72699999999998</v>
      </c>
      <c r="L231" s="111">
        <v>272.72699999999998</v>
      </c>
      <c r="M231" s="111"/>
      <c r="N231" s="111"/>
      <c r="O231" s="111"/>
      <c r="P231" s="109"/>
    </row>
    <row r="232" spans="1:16" ht="27" customHeight="1">
      <c r="A232" s="112"/>
      <c r="B232" s="109"/>
      <c r="C232" s="405" t="s">
        <v>548</v>
      </c>
      <c r="D232" s="111">
        <f>SUM(E232:G232)</f>
        <v>700</v>
      </c>
      <c r="E232" s="111"/>
      <c r="F232" s="111"/>
      <c r="G232" s="111">
        <v>700</v>
      </c>
      <c r="H232" s="111">
        <f>I232+J232+K232</f>
        <v>700.00036363636366</v>
      </c>
      <c r="I232" s="111"/>
      <c r="J232" s="111">
        <f>G232/11</f>
        <v>63.636363636363633</v>
      </c>
      <c r="K232" s="111">
        <v>636.36400000000003</v>
      </c>
      <c r="L232" s="111">
        <v>636.36400000000003</v>
      </c>
      <c r="M232" s="111"/>
      <c r="N232" s="111"/>
      <c r="O232" s="111"/>
      <c r="P232" s="109"/>
    </row>
    <row r="233" spans="1:16" s="103" customFormat="1" ht="27" customHeight="1">
      <c r="A233" s="116">
        <v>19</v>
      </c>
      <c r="B233" s="110" t="s">
        <v>920</v>
      </c>
      <c r="C233" s="405"/>
      <c r="D233" s="122">
        <v>4095</v>
      </c>
      <c r="E233" s="122"/>
      <c r="F233" s="122"/>
      <c r="G233" s="122">
        <v>4095</v>
      </c>
      <c r="H233" s="122">
        <v>4095</v>
      </c>
      <c r="I233" s="122"/>
      <c r="J233" s="122"/>
      <c r="K233" s="122">
        <v>4095</v>
      </c>
      <c r="L233" s="122">
        <f>SUM(L234:L235)</f>
        <v>2582.8000000000002</v>
      </c>
      <c r="M233" s="122">
        <f>SUM(M234:M235)</f>
        <v>381.1</v>
      </c>
      <c r="N233" s="122">
        <f>SUM(N234:N235)</f>
        <v>361.5</v>
      </c>
      <c r="O233" s="122">
        <f>SUM(O234:O235)</f>
        <v>769.6</v>
      </c>
      <c r="P233" s="110"/>
    </row>
    <row r="234" spans="1:16" ht="27" customHeight="1">
      <c r="A234" s="112"/>
      <c r="B234" s="109"/>
      <c r="C234" s="405" t="s">
        <v>547</v>
      </c>
      <c r="D234" s="403">
        <v>3920</v>
      </c>
      <c r="E234" s="403"/>
      <c r="F234" s="403"/>
      <c r="G234" s="403">
        <v>3920</v>
      </c>
      <c r="H234" s="403">
        <v>3920</v>
      </c>
      <c r="I234" s="403"/>
      <c r="J234" s="403"/>
      <c r="K234" s="403">
        <v>3920</v>
      </c>
      <c r="L234" s="403">
        <f>K234-M234-N234-O234</f>
        <v>2507.8000000000002</v>
      </c>
      <c r="M234" s="403">
        <v>311.10000000000002</v>
      </c>
      <c r="N234" s="403">
        <v>331.5</v>
      </c>
      <c r="O234" s="403">
        <v>769.6</v>
      </c>
      <c r="P234" s="109"/>
    </row>
    <row r="235" spans="1:16" ht="27" customHeight="1">
      <c r="A235" s="112"/>
      <c r="B235" s="109"/>
      <c r="C235" s="205" t="s">
        <v>546</v>
      </c>
      <c r="D235" s="403">
        <v>175</v>
      </c>
      <c r="E235" s="403"/>
      <c r="F235" s="403"/>
      <c r="G235" s="403">
        <v>175</v>
      </c>
      <c r="H235" s="403">
        <v>175</v>
      </c>
      <c r="I235" s="403"/>
      <c r="J235" s="403"/>
      <c r="K235" s="403">
        <v>175</v>
      </c>
      <c r="L235" s="403">
        <f>K235-M235-N235-O235</f>
        <v>75</v>
      </c>
      <c r="M235" s="403">
        <f>G235*40%</f>
        <v>70</v>
      </c>
      <c r="N235" s="403">
        <v>30</v>
      </c>
      <c r="O235" s="403"/>
      <c r="P235" s="109"/>
    </row>
    <row r="236" spans="1:16" ht="27" customHeight="1">
      <c r="A236" s="116">
        <v>20</v>
      </c>
      <c r="B236" s="110" t="s">
        <v>545</v>
      </c>
      <c r="C236" s="109"/>
      <c r="D236" s="115">
        <f t="shared" ref="D236:O236" si="60">D237</f>
        <v>47178.5</v>
      </c>
      <c r="E236" s="115">
        <f t="shared" si="60"/>
        <v>0</v>
      </c>
      <c r="F236" s="115">
        <f t="shared" si="60"/>
        <v>45000</v>
      </c>
      <c r="G236" s="115">
        <f t="shared" si="60"/>
        <v>2178.5</v>
      </c>
      <c r="H236" s="115">
        <f t="shared" si="60"/>
        <v>47178.5</v>
      </c>
      <c r="I236" s="115">
        <f t="shared" si="60"/>
        <v>18217.849999999999</v>
      </c>
      <c r="J236" s="115">
        <f t="shared" si="60"/>
        <v>0</v>
      </c>
      <c r="K236" s="115">
        <f t="shared" si="60"/>
        <v>28960.65</v>
      </c>
      <c r="L236" s="115">
        <f t="shared" si="60"/>
        <v>28960.65</v>
      </c>
      <c r="M236" s="115">
        <f t="shared" si="60"/>
        <v>0</v>
      </c>
      <c r="N236" s="115">
        <f t="shared" si="60"/>
        <v>0</v>
      </c>
      <c r="O236" s="115">
        <f t="shared" si="60"/>
        <v>0</v>
      </c>
      <c r="P236" s="109"/>
    </row>
    <row r="237" spans="1:16" ht="27" customHeight="1">
      <c r="A237" s="112"/>
      <c r="B237" s="109" t="s">
        <v>1076</v>
      </c>
      <c r="C237" s="109"/>
      <c r="D237" s="111">
        <f t="shared" ref="D237:P237" si="61">D238+D239+D240+D241</f>
        <v>47178.5</v>
      </c>
      <c r="E237" s="111">
        <f t="shared" si="61"/>
        <v>0</v>
      </c>
      <c r="F237" s="111">
        <f t="shared" si="61"/>
        <v>45000</v>
      </c>
      <c r="G237" s="111">
        <f t="shared" si="61"/>
        <v>2178.5</v>
      </c>
      <c r="H237" s="111">
        <f t="shared" si="61"/>
        <v>47178.5</v>
      </c>
      <c r="I237" s="111">
        <f t="shared" si="61"/>
        <v>18217.849999999999</v>
      </c>
      <c r="J237" s="111">
        <f t="shared" si="61"/>
        <v>0</v>
      </c>
      <c r="K237" s="111">
        <f t="shared" si="61"/>
        <v>28960.65</v>
      </c>
      <c r="L237" s="111">
        <f t="shared" si="61"/>
        <v>28960.65</v>
      </c>
      <c r="M237" s="111">
        <f t="shared" si="61"/>
        <v>0</v>
      </c>
      <c r="N237" s="111">
        <f t="shared" si="61"/>
        <v>0</v>
      </c>
      <c r="O237" s="111">
        <f t="shared" si="61"/>
        <v>0</v>
      </c>
      <c r="P237" s="206">
        <f t="shared" si="61"/>
        <v>0</v>
      </c>
    </row>
    <row r="238" spans="1:16" ht="27" customHeight="1">
      <c r="A238" s="112"/>
      <c r="B238" s="109"/>
      <c r="C238" s="109" t="s">
        <v>544</v>
      </c>
      <c r="D238" s="111">
        <f>E238+F238+G238</f>
        <v>45000</v>
      </c>
      <c r="E238" s="111"/>
      <c r="F238" s="111">
        <v>45000</v>
      </c>
      <c r="G238" s="111"/>
      <c r="H238" s="111">
        <f>I238+J238+K238</f>
        <v>45000</v>
      </c>
      <c r="I238" s="111">
        <v>18000</v>
      </c>
      <c r="J238" s="111"/>
      <c r="K238" s="111">
        <v>27000</v>
      </c>
      <c r="L238" s="111">
        <v>27000</v>
      </c>
      <c r="M238" s="111"/>
      <c r="N238" s="111"/>
      <c r="O238" s="111"/>
      <c r="P238" s="109"/>
    </row>
    <row r="239" spans="1:16" ht="27" customHeight="1">
      <c r="A239" s="112"/>
      <c r="B239" s="109"/>
      <c r="C239" s="109" t="s">
        <v>543</v>
      </c>
      <c r="D239" s="111">
        <f>E239+F239+G239</f>
        <v>919.6</v>
      </c>
      <c r="E239" s="111"/>
      <c r="F239" s="111"/>
      <c r="G239" s="111">
        <v>919.6</v>
      </c>
      <c r="H239" s="111">
        <f>I239+J239+K239</f>
        <v>919.6</v>
      </c>
      <c r="I239" s="111">
        <f>G239*10%</f>
        <v>91.960000000000008</v>
      </c>
      <c r="J239" s="111"/>
      <c r="K239" s="111">
        <f>G239*90%</f>
        <v>827.64</v>
      </c>
      <c r="L239" s="111">
        <f>K239</f>
        <v>827.64</v>
      </c>
      <c r="M239" s="111"/>
      <c r="N239" s="111"/>
      <c r="O239" s="111"/>
      <c r="P239" s="109"/>
    </row>
    <row r="240" spans="1:16" ht="27" customHeight="1">
      <c r="A240" s="112"/>
      <c r="B240" s="109"/>
      <c r="C240" s="109" t="s">
        <v>542</v>
      </c>
      <c r="D240" s="111">
        <f>E240+F240+G240</f>
        <v>682.9</v>
      </c>
      <c r="E240" s="111"/>
      <c r="F240" s="111"/>
      <c r="G240" s="111">
        <v>682.9</v>
      </c>
      <c r="H240" s="111">
        <f>I240+J240+K240</f>
        <v>682.9</v>
      </c>
      <c r="I240" s="111">
        <f>G240*10%</f>
        <v>68.290000000000006</v>
      </c>
      <c r="J240" s="111"/>
      <c r="K240" s="111">
        <f>G240*90%</f>
        <v>614.61</v>
      </c>
      <c r="L240" s="111">
        <f>K240</f>
        <v>614.61</v>
      </c>
      <c r="M240" s="111"/>
      <c r="N240" s="111"/>
      <c r="O240" s="111"/>
      <c r="P240" s="109"/>
    </row>
    <row r="241" spans="1:16" ht="27" customHeight="1">
      <c r="A241" s="112"/>
      <c r="B241" s="109"/>
      <c r="C241" s="109" t="s">
        <v>541</v>
      </c>
      <c r="D241" s="111">
        <f>E241+F241+G241</f>
        <v>576</v>
      </c>
      <c r="E241" s="111"/>
      <c r="F241" s="111"/>
      <c r="G241" s="111">
        <v>576</v>
      </c>
      <c r="H241" s="111">
        <f>I241+J241+K241</f>
        <v>576</v>
      </c>
      <c r="I241" s="111">
        <f>G241*10%</f>
        <v>57.6</v>
      </c>
      <c r="J241" s="111"/>
      <c r="K241" s="111">
        <f>G241*90%</f>
        <v>518.4</v>
      </c>
      <c r="L241" s="111">
        <f>K241</f>
        <v>518.4</v>
      </c>
      <c r="M241" s="111"/>
      <c r="N241" s="111"/>
      <c r="O241" s="111"/>
      <c r="P241" s="109"/>
    </row>
    <row r="242" spans="1:16" s="103" customFormat="1" ht="27" customHeight="1">
      <c r="A242" s="116">
        <v>21</v>
      </c>
      <c r="B242" s="110" t="s">
        <v>901</v>
      </c>
      <c r="C242" s="109"/>
      <c r="D242" s="122">
        <f>SUM(D243:D245)</f>
        <v>17850</v>
      </c>
      <c r="E242" s="122"/>
      <c r="F242" s="122"/>
      <c r="G242" s="122">
        <f>SUM(G243:G245)</f>
        <v>17850</v>
      </c>
      <c r="H242" s="122">
        <f>SUM(H243:H245)</f>
        <v>17850</v>
      </c>
      <c r="I242" s="122"/>
      <c r="J242" s="122"/>
      <c r="K242" s="122">
        <f>K243+K244+K245</f>
        <v>17850</v>
      </c>
      <c r="L242" s="122">
        <f>L243+L244+L245</f>
        <v>17850</v>
      </c>
      <c r="M242" s="122">
        <f>M243+M244+M245</f>
        <v>0</v>
      </c>
      <c r="N242" s="122">
        <f>N243+N244+N245</f>
        <v>0</v>
      </c>
      <c r="O242" s="122">
        <f>O243+O244+O245</f>
        <v>0</v>
      </c>
      <c r="P242" s="110"/>
    </row>
    <row r="243" spans="1:16" ht="27" customHeight="1">
      <c r="A243" s="112"/>
      <c r="B243" s="109"/>
      <c r="C243" s="109" t="s">
        <v>540</v>
      </c>
      <c r="D243" s="403">
        <f>E243+F243+G243</f>
        <v>16820</v>
      </c>
      <c r="E243" s="403"/>
      <c r="F243" s="403"/>
      <c r="G243" s="403">
        <v>16820</v>
      </c>
      <c r="H243" s="403">
        <f>I243+J243+K243</f>
        <v>16820</v>
      </c>
      <c r="I243" s="403"/>
      <c r="J243" s="403"/>
      <c r="K243" s="403">
        <v>16820</v>
      </c>
      <c r="L243" s="403">
        <v>16820</v>
      </c>
      <c r="M243" s="403"/>
      <c r="N243" s="403"/>
      <c r="O243" s="403"/>
      <c r="P243" s="109"/>
    </row>
    <row r="244" spans="1:16" ht="27" customHeight="1">
      <c r="A244" s="112"/>
      <c r="B244" s="109"/>
      <c r="C244" s="109" t="s">
        <v>539</v>
      </c>
      <c r="D244" s="403">
        <f>E244+F244+G244</f>
        <v>1000</v>
      </c>
      <c r="E244" s="403"/>
      <c r="F244" s="403"/>
      <c r="G244" s="403">
        <v>1000</v>
      </c>
      <c r="H244" s="403">
        <f>I244+J244+K244</f>
        <v>1000</v>
      </c>
      <c r="I244" s="403"/>
      <c r="J244" s="403"/>
      <c r="K244" s="403">
        <v>1000</v>
      </c>
      <c r="L244" s="403">
        <v>1000</v>
      </c>
      <c r="M244" s="403"/>
      <c r="N244" s="403"/>
      <c r="O244" s="403"/>
      <c r="P244" s="109"/>
    </row>
    <row r="245" spans="1:16" ht="27" customHeight="1">
      <c r="A245" s="207"/>
      <c r="B245" s="208"/>
      <c r="C245" s="209" t="s">
        <v>538</v>
      </c>
      <c r="D245" s="210">
        <f>E245+F245+G245</f>
        <v>30</v>
      </c>
      <c r="E245" s="210"/>
      <c r="F245" s="210"/>
      <c r="G245" s="210">
        <v>30</v>
      </c>
      <c r="H245" s="210">
        <f>I245+J245+K245</f>
        <v>30</v>
      </c>
      <c r="I245" s="210"/>
      <c r="J245" s="210"/>
      <c r="K245" s="210">
        <v>30</v>
      </c>
      <c r="L245" s="210">
        <v>30</v>
      </c>
      <c r="M245" s="210"/>
      <c r="N245" s="210"/>
      <c r="O245" s="210"/>
      <c r="P245" s="208"/>
    </row>
    <row r="246" spans="1:16" ht="27" customHeight="1">
      <c r="B246" s="103" t="s">
        <v>537</v>
      </c>
      <c r="D246" s="107"/>
      <c r="E246" s="107"/>
      <c r="F246" s="107"/>
      <c r="G246" s="107"/>
      <c r="H246" s="107"/>
      <c r="I246" s="107"/>
      <c r="J246" s="107"/>
      <c r="K246" s="107"/>
      <c r="L246" s="107"/>
      <c r="M246" s="108"/>
      <c r="N246" s="108"/>
      <c r="O246" s="107"/>
    </row>
    <row r="247" spans="1:16" s="103" customFormat="1" ht="27" customHeight="1">
      <c r="A247" s="106"/>
      <c r="B247" s="103" t="s">
        <v>536</v>
      </c>
      <c r="D247" s="104"/>
      <c r="E247" s="104"/>
      <c r="F247" s="104"/>
      <c r="G247" s="104"/>
      <c r="H247" s="104"/>
      <c r="I247" s="104"/>
      <c r="J247" s="104"/>
      <c r="K247" s="104"/>
      <c r="L247" s="104"/>
      <c r="M247" s="105"/>
      <c r="N247" s="105"/>
      <c r="O247" s="104"/>
    </row>
    <row r="248" spans="1:16" ht="27" customHeight="1">
      <c r="B248" s="1063" t="s">
        <v>898</v>
      </c>
      <c r="C248" s="1063"/>
      <c r="D248" s="1063"/>
      <c r="E248" s="1063"/>
      <c r="F248" s="1063"/>
      <c r="G248" s="1063"/>
      <c r="H248" s="1063"/>
      <c r="I248" s="1063"/>
      <c r="J248" s="1063"/>
      <c r="K248" s="1063"/>
      <c r="L248" s="1063"/>
      <c r="M248" s="1063"/>
      <c r="N248" s="1063"/>
      <c r="O248" s="1063"/>
      <c r="P248" s="1063"/>
    </row>
    <row r="249" spans="1:16" ht="27" customHeight="1">
      <c r="B249" s="1064" t="s">
        <v>899</v>
      </c>
      <c r="C249" s="1064"/>
      <c r="D249" s="1064"/>
      <c r="E249" s="1064"/>
      <c r="F249" s="1064"/>
      <c r="G249" s="1064"/>
      <c r="H249" s="1064"/>
      <c r="I249" s="1064"/>
      <c r="J249" s="1064"/>
      <c r="K249" s="1064"/>
      <c r="L249" s="1064"/>
      <c r="M249" s="1064"/>
      <c r="N249" s="1064"/>
      <c r="O249" s="1064"/>
      <c r="P249" s="1064"/>
    </row>
  </sheetData>
  <mergeCells count="45">
    <mergeCell ref="P155:P158"/>
    <mergeCell ref="A1:P1"/>
    <mergeCell ref="A2:P2"/>
    <mergeCell ref="N3:P3"/>
    <mergeCell ref="A4:A5"/>
    <mergeCell ref="B4:B5"/>
    <mergeCell ref="C4:C5"/>
    <mergeCell ref="D4:D5"/>
    <mergeCell ref="E4:G4"/>
    <mergeCell ref="H4:H5"/>
    <mergeCell ref="I4:I5"/>
    <mergeCell ref="J4:J5"/>
    <mergeCell ref="K4:K5"/>
    <mergeCell ref="L4:O4"/>
    <mergeCell ref="P4:P5"/>
    <mergeCell ref="N187:N188"/>
    <mergeCell ref="O187:O188"/>
    <mergeCell ref="I138:I139"/>
    <mergeCell ref="L138:L139"/>
    <mergeCell ref="N138:N139"/>
    <mergeCell ref="O138:O139"/>
    <mergeCell ref="K194:K196"/>
    <mergeCell ref="L194:L196"/>
    <mergeCell ref="M194:M196"/>
    <mergeCell ref="I141:I142"/>
    <mergeCell ref="L141:L142"/>
    <mergeCell ref="K187:K188"/>
    <mergeCell ref="L187:L188"/>
    <mergeCell ref="M187:M188"/>
    <mergeCell ref="O203:O205"/>
    <mergeCell ref="B248:P248"/>
    <mergeCell ref="B249:P249"/>
    <mergeCell ref="N194:N196"/>
    <mergeCell ref="O194:O196"/>
    <mergeCell ref="P194:P196"/>
    <mergeCell ref="H203:H205"/>
    <mergeCell ref="I203:I205"/>
    <mergeCell ref="J203:J205"/>
    <mergeCell ref="K203:K205"/>
    <mergeCell ref="L203:L205"/>
    <mergeCell ref="M203:M205"/>
    <mergeCell ref="N203:N205"/>
    <mergeCell ref="H194:H196"/>
    <mergeCell ref="I194:I196"/>
    <mergeCell ref="J194:J196"/>
  </mergeCells>
  <printOptions horizontalCentered="1"/>
  <pageMargins left="0.5" right="0.2" top="0.7" bottom="0.5" header="0.3" footer="0.3"/>
  <pageSetup paperSize="9" scale="57" orientation="landscape" r:id="rId1"/>
  <headerFooter>
    <oddFooter>&amp;CTrang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C304"/>
  <sheetViews>
    <sheetView topLeftCell="A71" zoomScale="40" zoomScaleNormal="40" workbookViewId="0">
      <selection activeCell="AK224" sqref="AJ224:AK224"/>
    </sheetView>
  </sheetViews>
  <sheetFormatPr defaultColWidth="8.875" defaultRowHeight="74.25" customHeight="1"/>
  <cols>
    <col min="1" max="1" width="7.625" style="623" customWidth="1"/>
    <col min="2" max="2" width="29.25" style="619" customWidth="1"/>
    <col min="3" max="4" width="9.75" style="622" customWidth="1"/>
    <col min="5" max="5" width="8.75" style="622" customWidth="1"/>
    <col min="6" max="6" width="15.25" style="621" customWidth="1"/>
    <col min="7" max="7" width="17.125" style="620" customWidth="1"/>
    <col min="8" max="8" width="14" style="620" customWidth="1"/>
    <col min="9" max="9" width="14.875" style="620" customWidth="1"/>
    <col min="10" max="10" width="13.625" style="620" customWidth="1"/>
    <col min="11" max="12" width="14.875" style="620" customWidth="1"/>
    <col min="13" max="13" width="20.25" style="620" customWidth="1"/>
    <col min="14" max="14" width="20.75" style="620" customWidth="1"/>
    <col min="15" max="15" width="148.25" style="619" customWidth="1"/>
    <col min="16" max="16" width="18.75" style="617" hidden="1" customWidth="1"/>
    <col min="17" max="17" width="7.25" style="617" hidden="1" customWidth="1"/>
    <col min="18" max="18" width="20.25" style="617" hidden="1" customWidth="1"/>
    <col min="19" max="19" width="2" style="617" hidden="1" customWidth="1"/>
    <col min="20" max="20" width="0" style="617" hidden="1" customWidth="1"/>
    <col min="21" max="21" width="17.75" style="618" hidden="1" customWidth="1"/>
    <col min="22" max="22" width="16.75" style="617" hidden="1" customWidth="1"/>
    <col min="23" max="23" width="13.75" style="617" hidden="1" customWidth="1"/>
    <col min="24" max="16384" width="8.875" style="617"/>
  </cols>
  <sheetData>
    <row r="1" spans="1:24" s="737" customFormat="1" ht="27.75" customHeight="1">
      <c r="A1" s="1088" t="s">
        <v>1787</v>
      </c>
      <c r="B1" s="1088"/>
      <c r="C1" s="1088"/>
      <c r="D1" s="1088"/>
      <c r="E1" s="1088"/>
      <c r="F1" s="1088"/>
      <c r="G1" s="1088"/>
      <c r="H1" s="1088"/>
      <c r="I1" s="1088"/>
      <c r="J1" s="1088"/>
      <c r="K1" s="1088"/>
      <c r="L1" s="1088"/>
      <c r="M1" s="1088"/>
      <c r="N1" s="1088"/>
      <c r="O1" s="1088"/>
      <c r="U1" s="738"/>
    </row>
    <row r="2" spans="1:24" ht="27.75" customHeight="1">
      <c r="A2" s="1089" t="str">
        <f>'B 4'!A2:E2</f>
        <v>(Kèm theo Quyết định số: 2255/QĐ-UBND ngày 15 tháng 12 năm 2024 của UBND tỉnh Lạng Sơn)</v>
      </c>
      <c r="B2" s="1089"/>
      <c r="C2" s="1089"/>
      <c r="D2" s="1089"/>
      <c r="E2" s="1089"/>
      <c r="F2" s="1089"/>
      <c r="G2" s="1089"/>
      <c r="H2" s="1089"/>
      <c r="I2" s="1089"/>
      <c r="J2" s="1089"/>
      <c r="K2" s="1089"/>
      <c r="L2" s="1089"/>
      <c r="M2" s="1089"/>
      <c r="N2" s="1089"/>
      <c r="O2" s="1089"/>
    </row>
    <row r="3" spans="1:24" s="730" customFormat="1" ht="19.5">
      <c r="C3" s="736"/>
      <c r="D3" s="736"/>
      <c r="E3" s="736"/>
      <c r="F3" s="735"/>
      <c r="G3" s="733"/>
      <c r="H3" s="733"/>
      <c r="I3" s="733"/>
      <c r="J3" s="733"/>
      <c r="K3" s="733"/>
      <c r="L3" s="733"/>
      <c r="M3" s="734"/>
      <c r="N3" s="733"/>
      <c r="O3" s="732" t="s">
        <v>1702</v>
      </c>
      <c r="U3" s="731"/>
      <c r="V3" s="731">
        <v>2244986.0000817003</v>
      </c>
    </row>
    <row r="4" spans="1:24" ht="80.25" customHeight="1">
      <c r="A4" s="1090" t="s">
        <v>519</v>
      </c>
      <c r="B4" s="1090" t="s">
        <v>518</v>
      </c>
      <c r="C4" s="1091" t="s">
        <v>1701</v>
      </c>
      <c r="D4" s="1091" t="s">
        <v>1700</v>
      </c>
      <c r="E4" s="1091" t="s">
        <v>1699</v>
      </c>
      <c r="F4" s="1093" t="s">
        <v>515</v>
      </c>
      <c r="G4" s="1092" t="s">
        <v>514</v>
      </c>
      <c r="H4" s="1092" t="s">
        <v>513</v>
      </c>
      <c r="I4" s="1083"/>
      <c r="J4" s="1083"/>
      <c r="K4" s="1083"/>
      <c r="L4" s="1092" t="s">
        <v>1698</v>
      </c>
      <c r="M4" s="1092" t="s">
        <v>1697</v>
      </c>
      <c r="N4" s="1092" t="s">
        <v>1696</v>
      </c>
      <c r="O4" s="1090" t="s">
        <v>1695</v>
      </c>
      <c r="V4" s="1102" t="s">
        <v>1694</v>
      </c>
    </row>
    <row r="5" spans="1:24" ht="41.25" customHeight="1">
      <c r="A5" s="1090"/>
      <c r="B5" s="1090"/>
      <c r="C5" s="1091"/>
      <c r="D5" s="1091"/>
      <c r="E5" s="1091"/>
      <c r="F5" s="1093"/>
      <c r="G5" s="1092"/>
      <c r="H5" s="1092" t="s">
        <v>510</v>
      </c>
      <c r="I5" s="1092" t="s">
        <v>1693</v>
      </c>
      <c r="J5" s="1092" t="s">
        <v>509</v>
      </c>
      <c r="K5" s="1092" t="s">
        <v>508</v>
      </c>
      <c r="L5" s="1083"/>
      <c r="M5" s="1083"/>
      <c r="N5" s="1092"/>
      <c r="O5" s="1090"/>
      <c r="V5" s="1104"/>
    </row>
    <row r="6" spans="1:24" ht="140.25" customHeight="1">
      <c r="A6" s="1090"/>
      <c r="B6" s="1090"/>
      <c r="C6" s="1091"/>
      <c r="D6" s="1091"/>
      <c r="E6" s="1091"/>
      <c r="F6" s="1093"/>
      <c r="G6" s="1092"/>
      <c r="H6" s="1092"/>
      <c r="I6" s="1083"/>
      <c r="J6" s="1083"/>
      <c r="K6" s="1083"/>
      <c r="L6" s="1083"/>
      <c r="M6" s="1083"/>
      <c r="N6" s="1092"/>
      <c r="O6" s="1090"/>
      <c r="V6" s="1103"/>
    </row>
    <row r="7" spans="1:24" s="623" customFormat="1" ht="46.5" customHeight="1">
      <c r="A7" s="729" t="s">
        <v>27</v>
      </c>
      <c r="B7" s="729" t="s">
        <v>28</v>
      </c>
      <c r="C7" s="728">
        <v>1</v>
      </c>
      <c r="D7" s="728">
        <v>2</v>
      </c>
      <c r="E7" s="728">
        <v>3</v>
      </c>
      <c r="F7" s="728">
        <v>4</v>
      </c>
      <c r="G7" s="724">
        <v>5</v>
      </c>
      <c r="H7" s="727" t="s">
        <v>1692</v>
      </c>
      <c r="I7" s="724">
        <v>7</v>
      </c>
      <c r="J7" s="724" t="s">
        <v>503</v>
      </c>
      <c r="K7" s="724">
        <v>8</v>
      </c>
      <c r="L7" s="724">
        <v>9</v>
      </c>
      <c r="M7" s="724">
        <v>10</v>
      </c>
      <c r="N7" s="724" t="s">
        <v>1691</v>
      </c>
      <c r="O7" s="678">
        <v>12</v>
      </c>
      <c r="P7" s="726">
        <v>-4453.5599999999995</v>
      </c>
      <c r="U7" s="725"/>
      <c r="V7" s="724"/>
    </row>
    <row r="8" spans="1:24" ht="36" customHeight="1">
      <c r="A8" s="629"/>
      <c r="B8" s="634" t="s">
        <v>498</v>
      </c>
      <c r="C8" s="633">
        <f t="shared" ref="C8:N8" si="0">C9+C257+C275+C290+C303</f>
        <v>4982</v>
      </c>
      <c r="D8" s="633">
        <f t="shared" si="0"/>
        <v>4622</v>
      </c>
      <c r="E8" s="633">
        <f t="shared" si="0"/>
        <v>421</v>
      </c>
      <c r="F8" s="632">
        <f t="shared" si="0"/>
        <v>11886</v>
      </c>
      <c r="G8" s="630">
        <f t="shared" si="0"/>
        <v>1227911.5399999998</v>
      </c>
      <c r="H8" s="630">
        <f t="shared" si="0"/>
        <v>26648.339999999997</v>
      </c>
      <c r="I8" s="630">
        <f t="shared" si="0"/>
        <v>14013.340000000002</v>
      </c>
      <c r="J8" s="630">
        <f t="shared" si="0"/>
        <v>0</v>
      </c>
      <c r="K8" s="630">
        <f t="shared" si="0"/>
        <v>12635</v>
      </c>
      <c r="L8" s="630">
        <f t="shared" si="0"/>
        <v>1090</v>
      </c>
      <c r="M8" s="630">
        <f t="shared" si="0"/>
        <v>1044812.8000817001</v>
      </c>
      <c r="N8" s="630">
        <f t="shared" si="0"/>
        <v>2244986.0000817003</v>
      </c>
      <c r="O8" s="723"/>
      <c r="P8" s="640">
        <f>G8+M8-H8-L8-N8</f>
        <v>0</v>
      </c>
      <c r="R8" s="722">
        <f>G8+M8-H8-L8</f>
        <v>2244986.0000817003</v>
      </c>
      <c r="S8" s="721">
        <v>0</v>
      </c>
      <c r="V8" s="630">
        <f>SUM(V9:V304)</f>
        <v>260450.00008169998</v>
      </c>
      <c r="W8" s="640">
        <v>260450.00008169998</v>
      </c>
      <c r="X8" s="640">
        <f>W8-V8</f>
        <v>0</v>
      </c>
    </row>
    <row r="9" spans="1:24" s="644" customFormat="1" ht="75.75" customHeight="1">
      <c r="A9" s="635" t="s">
        <v>27</v>
      </c>
      <c r="B9" s="634" t="s">
        <v>497</v>
      </c>
      <c r="C9" s="633">
        <f t="shared" ref="C9:N9" si="1">C10+C17+C61</f>
        <v>4724</v>
      </c>
      <c r="D9" s="633">
        <f t="shared" si="1"/>
        <v>4414</v>
      </c>
      <c r="E9" s="633">
        <f t="shared" si="1"/>
        <v>421</v>
      </c>
      <c r="F9" s="632">
        <f t="shared" si="1"/>
        <v>11886</v>
      </c>
      <c r="G9" s="630">
        <f t="shared" si="1"/>
        <v>1181957.9999999998</v>
      </c>
      <c r="H9" s="630">
        <f t="shared" si="1"/>
        <v>24960.799999999996</v>
      </c>
      <c r="I9" s="630">
        <f t="shared" si="1"/>
        <v>13314.800000000001</v>
      </c>
      <c r="J9" s="630">
        <f t="shared" si="1"/>
        <v>0</v>
      </c>
      <c r="K9" s="630">
        <f t="shared" si="1"/>
        <v>11646</v>
      </c>
      <c r="L9" s="630">
        <f t="shared" si="1"/>
        <v>654</v>
      </c>
      <c r="M9" s="630">
        <f t="shared" si="1"/>
        <v>848078.80008170009</v>
      </c>
      <c r="N9" s="630">
        <f t="shared" si="1"/>
        <v>2004422.0000817</v>
      </c>
      <c r="O9" s="720"/>
      <c r="P9" s="640">
        <f>H9-I9-J9-K9</f>
        <v>0</v>
      </c>
      <c r="U9" s="618"/>
      <c r="V9" s="630"/>
      <c r="W9" s="715"/>
    </row>
    <row r="10" spans="1:24" s="644" customFormat="1" ht="36" customHeight="1">
      <c r="A10" s="635" t="s">
        <v>1</v>
      </c>
      <c r="B10" s="634" t="s">
        <v>496</v>
      </c>
      <c r="C10" s="633">
        <f t="shared" ref="C10:N10" si="2">C11</f>
        <v>201</v>
      </c>
      <c r="D10" s="633">
        <f t="shared" si="2"/>
        <v>201</v>
      </c>
      <c r="E10" s="633">
        <f t="shared" si="2"/>
        <v>35</v>
      </c>
      <c r="F10" s="632">
        <f t="shared" si="2"/>
        <v>0</v>
      </c>
      <c r="G10" s="630">
        <f t="shared" si="2"/>
        <v>59517.200000000004</v>
      </c>
      <c r="H10" s="630">
        <f t="shared" si="2"/>
        <v>963</v>
      </c>
      <c r="I10" s="630">
        <f t="shared" si="2"/>
        <v>804</v>
      </c>
      <c r="J10" s="630">
        <f t="shared" si="2"/>
        <v>0</v>
      </c>
      <c r="K10" s="630">
        <f t="shared" si="2"/>
        <v>159</v>
      </c>
      <c r="L10" s="630">
        <f t="shared" si="2"/>
        <v>71</v>
      </c>
      <c r="M10" s="630">
        <f t="shared" si="2"/>
        <v>103842.79999999999</v>
      </c>
      <c r="N10" s="630">
        <f t="shared" si="2"/>
        <v>162326</v>
      </c>
      <c r="O10" s="719"/>
      <c r="P10" s="640">
        <f>H10-I10-J10-K10</f>
        <v>0</v>
      </c>
      <c r="U10" s="618"/>
      <c r="V10" s="630"/>
      <c r="W10" s="718"/>
    </row>
    <row r="11" spans="1:24" s="644" customFormat="1" ht="36" customHeight="1">
      <c r="A11" s="635">
        <v>1</v>
      </c>
      <c r="B11" s="634" t="s">
        <v>495</v>
      </c>
      <c r="C11" s="633">
        <f t="shared" ref="C11:N11" si="3">SUM(C12:C16)</f>
        <v>201</v>
      </c>
      <c r="D11" s="633">
        <f t="shared" si="3"/>
        <v>201</v>
      </c>
      <c r="E11" s="633">
        <f t="shared" si="3"/>
        <v>35</v>
      </c>
      <c r="F11" s="632">
        <f t="shared" si="3"/>
        <v>0</v>
      </c>
      <c r="G11" s="630">
        <f t="shared" si="3"/>
        <v>59517.200000000004</v>
      </c>
      <c r="H11" s="630">
        <f t="shared" si="3"/>
        <v>963</v>
      </c>
      <c r="I11" s="630">
        <f t="shared" si="3"/>
        <v>804</v>
      </c>
      <c r="J11" s="630">
        <f t="shared" si="3"/>
        <v>0</v>
      </c>
      <c r="K11" s="630">
        <f t="shared" si="3"/>
        <v>159</v>
      </c>
      <c r="L11" s="630">
        <f t="shared" si="3"/>
        <v>71</v>
      </c>
      <c r="M11" s="630">
        <f t="shared" si="3"/>
        <v>103842.79999999999</v>
      </c>
      <c r="N11" s="630">
        <f t="shared" si="3"/>
        <v>162326</v>
      </c>
      <c r="O11" s="625"/>
      <c r="P11" s="715">
        <f>H11-I11-J11-K11</f>
        <v>0</v>
      </c>
      <c r="U11" s="618"/>
      <c r="V11" s="630"/>
    </row>
    <row r="12" spans="1:24" s="644" customFormat="1" ht="296.25" customHeight="1">
      <c r="A12" s="671" t="s">
        <v>119</v>
      </c>
      <c r="B12" s="628" t="s">
        <v>494</v>
      </c>
      <c r="C12" s="717">
        <v>201</v>
      </c>
      <c r="D12" s="717">
        <v>201</v>
      </c>
      <c r="E12" s="717">
        <v>35</v>
      </c>
      <c r="F12" s="626">
        <v>0</v>
      </c>
      <c r="G12" s="624">
        <v>59517.200000000004</v>
      </c>
      <c r="H12" s="624">
        <f>SUM(I12:K12)</f>
        <v>963</v>
      </c>
      <c r="I12" s="624">
        <v>804</v>
      </c>
      <c r="J12" s="624"/>
      <c r="K12" s="624">
        <v>159</v>
      </c>
      <c r="L12" s="624">
        <v>71</v>
      </c>
      <c r="M12" s="624">
        <v>76627.799999999988</v>
      </c>
      <c r="N12" s="624">
        <f>G12+M12-H12-L12</f>
        <v>135111</v>
      </c>
      <c r="O12" s="642" t="s">
        <v>1690</v>
      </c>
      <c r="P12" s="640">
        <f>3058+400+675+588+7424+1306+610+9732+4455+702+1207+1158+3377+6500+3000</f>
        <v>44192</v>
      </c>
      <c r="U12" s="618">
        <f>5650.9+615.5+729+7844+15000+1626.4+1390+640+6568+788+1400+4709+4525+7900+3000+10000+3042+1200</f>
        <v>76627.8</v>
      </c>
      <c r="V12" s="624"/>
    </row>
    <row r="13" spans="1:24" s="644" customFormat="1" ht="93" customHeight="1">
      <c r="A13" s="671" t="s">
        <v>122</v>
      </c>
      <c r="B13" s="628" t="s">
        <v>1562</v>
      </c>
      <c r="C13" s="656"/>
      <c r="D13" s="656"/>
      <c r="E13" s="656"/>
      <c r="F13" s="632"/>
      <c r="G13" s="630"/>
      <c r="H13" s="624">
        <f>SUM(I13:K13)</f>
        <v>0</v>
      </c>
      <c r="I13" s="630"/>
      <c r="J13" s="630"/>
      <c r="K13" s="630"/>
      <c r="L13" s="630"/>
      <c r="M13" s="624">
        <v>10700</v>
      </c>
      <c r="N13" s="624">
        <f>G13+M13-H13-L13</f>
        <v>10700</v>
      </c>
      <c r="O13" s="625" t="s">
        <v>1689</v>
      </c>
      <c r="P13" s="715"/>
      <c r="U13" s="618">
        <v>10700</v>
      </c>
      <c r="V13" s="624"/>
    </row>
    <row r="14" spans="1:24" s="644" customFormat="1" ht="75.75" customHeight="1">
      <c r="A14" s="671" t="s">
        <v>124</v>
      </c>
      <c r="B14" s="636" t="s">
        <v>403</v>
      </c>
      <c r="C14" s="656"/>
      <c r="D14" s="656"/>
      <c r="E14" s="656"/>
      <c r="F14" s="632"/>
      <c r="G14" s="716"/>
      <c r="H14" s="624">
        <f>SUM(I14:K14)</f>
        <v>0</v>
      </c>
      <c r="I14" s="716"/>
      <c r="J14" s="716"/>
      <c r="K14" s="716"/>
      <c r="L14" s="716"/>
      <c r="M14" s="710">
        <v>888</v>
      </c>
      <c r="N14" s="624">
        <f>G14+M14-H14-L14</f>
        <v>888</v>
      </c>
      <c r="O14" s="625" t="s">
        <v>1499</v>
      </c>
      <c r="P14" s="715"/>
      <c r="U14" s="618">
        <v>888</v>
      </c>
      <c r="V14" s="710"/>
    </row>
    <row r="15" spans="1:24" s="644" customFormat="1" ht="53.25" customHeight="1">
      <c r="A15" s="671" t="s">
        <v>126</v>
      </c>
      <c r="B15" s="636" t="s">
        <v>358</v>
      </c>
      <c r="C15" s="627"/>
      <c r="D15" s="627"/>
      <c r="E15" s="627"/>
      <c r="F15" s="626"/>
      <c r="G15" s="624"/>
      <c r="H15" s="624">
        <f>SUM(I15:K15)</f>
        <v>0</v>
      </c>
      <c r="I15" s="624"/>
      <c r="J15" s="624"/>
      <c r="K15" s="624"/>
      <c r="L15" s="624"/>
      <c r="M15" s="624">
        <v>15127</v>
      </c>
      <c r="N15" s="624">
        <f>G15+M15-H15-L15</f>
        <v>15127</v>
      </c>
      <c r="O15" s="631" t="s">
        <v>1688</v>
      </c>
      <c r="U15" s="618">
        <v>15127</v>
      </c>
      <c r="V15" s="624"/>
    </row>
    <row r="16" spans="1:24" s="644" customFormat="1" ht="33" customHeight="1">
      <c r="A16" s="671" t="s">
        <v>486</v>
      </c>
      <c r="B16" s="636" t="s">
        <v>491</v>
      </c>
      <c r="C16" s="627"/>
      <c r="D16" s="627"/>
      <c r="E16" s="627"/>
      <c r="F16" s="626"/>
      <c r="G16" s="624"/>
      <c r="H16" s="624">
        <f>SUM(I16:K16)</f>
        <v>0</v>
      </c>
      <c r="I16" s="624"/>
      <c r="J16" s="624"/>
      <c r="K16" s="624"/>
      <c r="L16" s="624"/>
      <c r="M16" s="624">
        <v>500</v>
      </c>
      <c r="N16" s="624">
        <f>G16+M16-H16-L16</f>
        <v>500</v>
      </c>
      <c r="O16" s="631" t="s">
        <v>1687</v>
      </c>
      <c r="U16" s="618">
        <v>500</v>
      </c>
      <c r="V16" s="624"/>
    </row>
    <row r="17" spans="1:22" s="644" customFormat="1" ht="33" customHeight="1">
      <c r="A17" s="635" t="s">
        <v>2</v>
      </c>
      <c r="B17" s="634" t="s">
        <v>489</v>
      </c>
      <c r="C17" s="633">
        <f t="shared" ref="C17:N17" si="4">C18+C37+C50</f>
        <v>154</v>
      </c>
      <c r="D17" s="633">
        <f t="shared" si="4"/>
        <v>154</v>
      </c>
      <c r="E17" s="633">
        <f t="shared" si="4"/>
        <v>28</v>
      </c>
      <c r="F17" s="632">
        <f t="shared" si="4"/>
        <v>0</v>
      </c>
      <c r="G17" s="630">
        <f t="shared" si="4"/>
        <v>36701.599999999999</v>
      </c>
      <c r="H17" s="630">
        <f t="shared" si="4"/>
        <v>485.6</v>
      </c>
      <c r="I17" s="630">
        <f t="shared" si="4"/>
        <v>477.6</v>
      </c>
      <c r="J17" s="630">
        <f t="shared" si="4"/>
        <v>0</v>
      </c>
      <c r="K17" s="630">
        <f t="shared" si="4"/>
        <v>8</v>
      </c>
      <c r="L17" s="630">
        <f t="shared" si="4"/>
        <v>3</v>
      </c>
      <c r="M17" s="630">
        <f t="shared" si="4"/>
        <v>27219</v>
      </c>
      <c r="N17" s="630">
        <f t="shared" si="4"/>
        <v>63432</v>
      </c>
      <c r="O17" s="646"/>
      <c r="P17" s="640">
        <f>H17-I17-J17-K17</f>
        <v>0</v>
      </c>
      <c r="U17" s="618"/>
      <c r="V17" s="630"/>
    </row>
    <row r="18" spans="1:22" s="644" customFormat="1" ht="90.75" customHeight="1">
      <c r="A18" s="635">
        <v>1</v>
      </c>
      <c r="B18" s="634" t="s">
        <v>1686</v>
      </c>
      <c r="C18" s="633">
        <f t="shared" ref="C18:N18" si="5">C19+C22+C26+C31+C34</f>
        <v>104</v>
      </c>
      <c r="D18" s="633">
        <f t="shared" si="5"/>
        <v>104</v>
      </c>
      <c r="E18" s="633">
        <f t="shared" si="5"/>
        <v>15</v>
      </c>
      <c r="F18" s="632">
        <f t="shared" si="5"/>
        <v>0</v>
      </c>
      <c r="G18" s="630">
        <f t="shared" si="5"/>
        <v>25928.6</v>
      </c>
      <c r="H18" s="630">
        <f t="shared" si="5"/>
        <v>370.6</v>
      </c>
      <c r="I18" s="630">
        <f t="shared" si="5"/>
        <v>362.6</v>
      </c>
      <c r="J18" s="630">
        <f t="shared" si="5"/>
        <v>0</v>
      </c>
      <c r="K18" s="630">
        <f t="shared" si="5"/>
        <v>8</v>
      </c>
      <c r="L18" s="630">
        <f t="shared" si="5"/>
        <v>3</v>
      </c>
      <c r="M18" s="630">
        <f t="shared" si="5"/>
        <v>15034</v>
      </c>
      <c r="N18" s="630">
        <f t="shared" si="5"/>
        <v>40589</v>
      </c>
      <c r="O18" s="646"/>
      <c r="P18" s="640">
        <f>G18+M18-H18-L18-N18</f>
        <v>0</v>
      </c>
      <c r="U18" s="618"/>
      <c r="V18" s="630"/>
    </row>
    <row r="19" spans="1:22" ht="75.75" customHeight="1">
      <c r="A19" s="629" t="s">
        <v>119</v>
      </c>
      <c r="B19" s="636" t="s">
        <v>1685</v>
      </c>
      <c r="C19" s="627">
        <f t="shared" ref="C19:N19" si="6">SUM(C20:C21)</f>
        <v>22</v>
      </c>
      <c r="D19" s="627">
        <f t="shared" si="6"/>
        <v>22</v>
      </c>
      <c r="E19" s="627">
        <f t="shared" si="6"/>
        <v>3</v>
      </c>
      <c r="F19" s="627">
        <f t="shared" si="6"/>
        <v>0</v>
      </c>
      <c r="G19" s="627">
        <f t="shared" si="6"/>
        <v>6425.8</v>
      </c>
      <c r="H19" s="627">
        <f t="shared" si="6"/>
        <v>78.800000000000011</v>
      </c>
      <c r="I19" s="627">
        <f t="shared" si="6"/>
        <v>78.800000000000011</v>
      </c>
      <c r="J19" s="627">
        <f t="shared" si="6"/>
        <v>0</v>
      </c>
      <c r="K19" s="627">
        <f t="shared" si="6"/>
        <v>0</v>
      </c>
      <c r="L19" s="627">
        <f t="shared" si="6"/>
        <v>0</v>
      </c>
      <c r="M19" s="627">
        <f t="shared" si="6"/>
        <v>3411</v>
      </c>
      <c r="N19" s="627">
        <f t="shared" si="6"/>
        <v>9758</v>
      </c>
      <c r="O19" s="697"/>
      <c r="P19" s="640">
        <f>278+36+100+50+60+152+91+50+220+50+150+250+80+500+150+100+15</f>
        <v>2332</v>
      </c>
      <c r="V19" s="627"/>
    </row>
    <row r="20" spans="1:22" ht="294.75" customHeight="1">
      <c r="A20" s="629" t="s">
        <v>3</v>
      </c>
      <c r="B20" s="636" t="s">
        <v>419</v>
      </c>
      <c r="C20" s="627">
        <v>22</v>
      </c>
      <c r="D20" s="627">
        <v>22</v>
      </c>
      <c r="E20" s="627">
        <v>3</v>
      </c>
      <c r="F20" s="626"/>
      <c r="G20" s="624">
        <v>6425.8</v>
      </c>
      <c r="H20" s="624">
        <f>SUM(I20:K20)</f>
        <v>78.800000000000011</v>
      </c>
      <c r="I20" s="624">
        <v>78.800000000000011</v>
      </c>
      <c r="J20" s="624"/>
      <c r="K20" s="624"/>
      <c r="L20" s="624"/>
      <c r="M20" s="624">
        <v>3327</v>
      </c>
      <c r="N20" s="680">
        <f>G20+M20-H20-L20</f>
        <v>9674</v>
      </c>
      <c r="O20" s="631" t="s">
        <v>1684</v>
      </c>
      <c r="P20" s="640"/>
      <c r="U20" s="618">
        <f>447+66+105+60+345+91+270+89+50+226+333+80+150+500+20+317+78+100</f>
        <v>3327</v>
      </c>
      <c r="V20" s="624"/>
    </row>
    <row r="21" spans="1:22" ht="53.25" customHeight="1">
      <c r="A21" s="629" t="s">
        <v>3</v>
      </c>
      <c r="B21" s="636" t="s">
        <v>403</v>
      </c>
      <c r="C21" s="627"/>
      <c r="D21" s="627"/>
      <c r="E21" s="627"/>
      <c r="F21" s="626"/>
      <c r="G21" s="624"/>
      <c r="H21" s="624"/>
      <c r="I21" s="624"/>
      <c r="J21" s="624"/>
      <c r="K21" s="624"/>
      <c r="L21" s="624"/>
      <c r="M21" s="714">
        <v>84</v>
      </c>
      <c r="N21" s="624">
        <f>G21+M21-H21-L21</f>
        <v>84</v>
      </c>
      <c r="O21" s="679" t="s">
        <v>1683</v>
      </c>
      <c r="P21" s="640"/>
      <c r="U21" s="618">
        <v>84</v>
      </c>
      <c r="V21" s="624"/>
    </row>
    <row r="22" spans="1:22" ht="53.25" customHeight="1">
      <c r="A22" s="629" t="s">
        <v>122</v>
      </c>
      <c r="B22" s="636" t="s">
        <v>1682</v>
      </c>
      <c r="C22" s="627">
        <f t="shared" ref="C22:N22" si="7">SUM(C23:C25)</f>
        <v>20</v>
      </c>
      <c r="D22" s="627">
        <f t="shared" si="7"/>
        <v>20</v>
      </c>
      <c r="E22" s="627">
        <f t="shared" si="7"/>
        <v>4</v>
      </c>
      <c r="F22" s="627">
        <f t="shared" si="7"/>
        <v>0</v>
      </c>
      <c r="G22" s="627">
        <f t="shared" si="7"/>
        <v>5466</v>
      </c>
      <c r="H22" s="627">
        <f t="shared" si="7"/>
        <v>72</v>
      </c>
      <c r="I22" s="627">
        <f t="shared" si="7"/>
        <v>72</v>
      </c>
      <c r="J22" s="627">
        <f t="shared" si="7"/>
        <v>0</v>
      </c>
      <c r="K22" s="627">
        <f t="shared" si="7"/>
        <v>0</v>
      </c>
      <c r="L22" s="627">
        <f t="shared" si="7"/>
        <v>0</v>
      </c>
      <c r="M22" s="627">
        <f t="shared" si="7"/>
        <v>3341</v>
      </c>
      <c r="N22" s="627">
        <f t="shared" si="7"/>
        <v>8735</v>
      </c>
      <c r="O22" s="697"/>
      <c r="P22" s="640">
        <f>316+25+20+50+50+130+200+15+67+50+50+37+35</f>
        <v>1045</v>
      </c>
      <c r="V22" s="627"/>
    </row>
    <row r="23" spans="1:22" ht="409.5" customHeight="1">
      <c r="A23" s="629" t="s">
        <v>3</v>
      </c>
      <c r="B23" s="636" t="s">
        <v>419</v>
      </c>
      <c r="C23" s="627">
        <v>20</v>
      </c>
      <c r="D23" s="627">
        <v>20</v>
      </c>
      <c r="E23" s="627">
        <v>4</v>
      </c>
      <c r="F23" s="626"/>
      <c r="G23" s="624">
        <v>5466</v>
      </c>
      <c r="H23" s="624">
        <f>SUM(I23:K23)</f>
        <v>72</v>
      </c>
      <c r="I23" s="624">
        <v>72</v>
      </c>
      <c r="J23" s="624"/>
      <c r="K23" s="624"/>
      <c r="L23" s="624"/>
      <c r="M23" s="624">
        <v>2389</v>
      </c>
      <c r="N23" s="680">
        <f>G23+M23-H23-L23</f>
        <v>7783</v>
      </c>
      <c r="O23" s="631" t="s">
        <v>1681</v>
      </c>
      <c r="P23" s="640"/>
      <c r="U23" s="618">
        <f>610+40+100+83+50+130+277+20+67+50+50+261+35+76+48+122+78+292</f>
        <v>2389</v>
      </c>
      <c r="V23" s="624"/>
    </row>
    <row r="24" spans="1:22" ht="96.75" customHeight="1">
      <c r="A24" s="629" t="s">
        <v>3</v>
      </c>
      <c r="B24" s="636" t="s">
        <v>403</v>
      </c>
      <c r="C24" s="627"/>
      <c r="D24" s="627"/>
      <c r="E24" s="627"/>
      <c r="F24" s="626"/>
      <c r="G24" s="624"/>
      <c r="H24" s="624"/>
      <c r="I24" s="624"/>
      <c r="J24" s="624"/>
      <c r="K24" s="624"/>
      <c r="L24" s="624"/>
      <c r="M24" s="624">
        <v>632</v>
      </c>
      <c r="N24" s="624">
        <f>G24+M24-H24-L24</f>
        <v>632</v>
      </c>
      <c r="O24" s="679" t="s">
        <v>1680</v>
      </c>
      <c r="P24" s="640"/>
      <c r="U24" s="618">
        <f>167+129+320+16</f>
        <v>632</v>
      </c>
      <c r="V24" s="624"/>
    </row>
    <row r="25" spans="1:22" ht="53.25" customHeight="1">
      <c r="A25" s="629" t="s">
        <v>3</v>
      </c>
      <c r="B25" s="636" t="s">
        <v>1518</v>
      </c>
      <c r="C25" s="627"/>
      <c r="D25" s="627"/>
      <c r="E25" s="627"/>
      <c r="F25" s="626"/>
      <c r="G25" s="624"/>
      <c r="H25" s="624">
        <f>SUM(I25:K25)</f>
        <v>0</v>
      </c>
      <c r="I25" s="624"/>
      <c r="J25" s="624"/>
      <c r="K25" s="624"/>
      <c r="L25" s="624"/>
      <c r="M25" s="624">
        <v>320</v>
      </c>
      <c r="N25" s="624">
        <f>G25+M25-H25-L25</f>
        <v>320</v>
      </c>
      <c r="O25" s="631" t="s">
        <v>1679</v>
      </c>
      <c r="P25" s="640"/>
      <c r="U25" s="618">
        <v>320</v>
      </c>
      <c r="V25" s="624">
        <v>320</v>
      </c>
    </row>
    <row r="26" spans="1:22" ht="36" customHeight="1">
      <c r="A26" s="629" t="s">
        <v>124</v>
      </c>
      <c r="B26" s="636" t="s">
        <v>488</v>
      </c>
      <c r="C26" s="713">
        <f t="shared" ref="C26:N26" si="8">C27+C30</f>
        <v>33</v>
      </c>
      <c r="D26" s="713">
        <f t="shared" si="8"/>
        <v>33</v>
      </c>
      <c r="E26" s="713">
        <f t="shared" si="8"/>
        <v>4</v>
      </c>
      <c r="F26" s="626">
        <f t="shared" si="8"/>
        <v>0</v>
      </c>
      <c r="G26" s="624">
        <f t="shared" si="8"/>
        <v>6416.4</v>
      </c>
      <c r="H26" s="624">
        <f t="shared" si="8"/>
        <v>115.4</v>
      </c>
      <c r="I26" s="624">
        <f t="shared" si="8"/>
        <v>107.4</v>
      </c>
      <c r="J26" s="624">
        <f t="shared" si="8"/>
        <v>0</v>
      </c>
      <c r="K26" s="624">
        <f t="shared" si="8"/>
        <v>8</v>
      </c>
      <c r="L26" s="624">
        <f t="shared" si="8"/>
        <v>3</v>
      </c>
      <c r="M26" s="624">
        <f t="shared" si="8"/>
        <v>5121</v>
      </c>
      <c r="N26" s="624">
        <f t="shared" si="8"/>
        <v>11419</v>
      </c>
      <c r="O26" s="631"/>
      <c r="P26" s="640">
        <f>H26-I26-J26-K26</f>
        <v>0</v>
      </c>
      <c r="V26" s="624"/>
    </row>
    <row r="27" spans="1:22" ht="36" customHeight="1">
      <c r="A27" s="629" t="s">
        <v>299</v>
      </c>
      <c r="B27" s="636" t="s">
        <v>488</v>
      </c>
      <c r="C27" s="627">
        <f t="shared" ref="C27:N27" si="9">SUM(C28:C29)</f>
        <v>25</v>
      </c>
      <c r="D27" s="627">
        <f t="shared" si="9"/>
        <v>25</v>
      </c>
      <c r="E27" s="627">
        <f t="shared" si="9"/>
        <v>4</v>
      </c>
      <c r="F27" s="627">
        <f t="shared" si="9"/>
        <v>0</v>
      </c>
      <c r="G27" s="627">
        <f t="shared" si="9"/>
        <v>4943</v>
      </c>
      <c r="H27" s="627">
        <f t="shared" si="9"/>
        <v>89</v>
      </c>
      <c r="I27" s="627">
        <f t="shared" si="9"/>
        <v>89</v>
      </c>
      <c r="J27" s="627">
        <f t="shared" si="9"/>
        <v>0</v>
      </c>
      <c r="K27" s="627">
        <f t="shared" si="9"/>
        <v>0</v>
      </c>
      <c r="L27" s="627">
        <f t="shared" si="9"/>
        <v>0</v>
      </c>
      <c r="M27" s="627">
        <f t="shared" si="9"/>
        <v>4141</v>
      </c>
      <c r="N27" s="627">
        <f t="shared" si="9"/>
        <v>8995</v>
      </c>
      <c r="O27" s="631"/>
      <c r="P27" s="617">
        <f>336+32+50+100+86+100+14+700+500+70+70+15</f>
        <v>2073</v>
      </c>
      <c r="V27" s="627"/>
    </row>
    <row r="28" spans="1:22" ht="409.5" customHeight="1">
      <c r="A28" s="629" t="s">
        <v>3</v>
      </c>
      <c r="B28" s="636" t="s">
        <v>419</v>
      </c>
      <c r="C28" s="627">
        <v>25</v>
      </c>
      <c r="D28" s="627">
        <v>25</v>
      </c>
      <c r="E28" s="627">
        <v>4</v>
      </c>
      <c r="F28" s="626"/>
      <c r="G28" s="624">
        <v>4943</v>
      </c>
      <c r="H28" s="624">
        <f>SUM(I28:K28)</f>
        <v>89</v>
      </c>
      <c r="I28" s="624">
        <v>89</v>
      </c>
      <c r="J28" s="624"/>
      <c r="K28" s="624"/>
      <c r="L28" s="624"/>
      <c r="M28" s="624">
        <v>4004</v>
      </c>
      <c r="N28" s="624">
        <f>G28+M28-H28-L28</f>
        <v>8858</v>
      </c>
      <c r="O28" s="631" t="s">
        <v>1800</v>
      </c>
      <c r="P28" s="640"/>
      <c r="U28" s="618">
        <f>598+40+80+100+15+250+20+80+800+100+35+120+500+600+99+270+50+227+20</f>
        <v>4004</v>
      </c>
      <c r="V28" s="624"/>
    </row>
    <row r="29" spans="1:22" ht="53.25" customHeight="1">
      <c r="A29" s="629" t="s">
        <v>3</v>
      </c>
      <c r="B29" s="636" t="s">
        <v>403</v>
      </c>
      <c r="C29" s="627"/>
      <c r="D29" s="627"/>
      <c r="E29" s="627"/>
      <c r="F29" s="626"/>
      <c r="G29" s="624"/>
      <c r="H29" s="624"/>
      <c r="I29" s="624"/>
      <c r="J29" s="624"/>
      <c r="K29" s="624"/>
      <c r="L29" s="624"/>
      <c r="M29" s="624">
        <v>137</v>
      </c>
      <c r="N29" s="624">
        <f>G29+M29-H29-L29</f>
        <v>137</v>
      </c>
      <c r="O29" s="631" t="s">
        <v>1678</v>
      </c>
      <c r="P29" s="640"/>
      <c r="U29" s="618">
        <v>137</v>
      </c>
      <c r="V29" s="624"/>
    </row>
    <row r="30" spans="1:22" ht="219" customHeight="1">
      <c r="A30" s="629" t="s">
        <v>297</v>
      </c>
      <c r="B30" s="636" t="s">
        <v>487</v>
      </c>
      <c r="C30" s="627">
        <v>8</v>
      </c>
      <c r="D30" s="627">
        <v>8</v>
      </c>
      <c r="E30" s="627">
        <v>0</v>
      </c>
      <c r="F30" s="626"/>
      <c r="G30" s="624">
        <v>1473.4</v>
      </c>
      <c r="H30" s="624">
        <f>SUM(I30:K30)</f>
        <v>26.400000000000002</v>
      </c>
      <c r="I30" s="624">
        <v>18.400000000000002</v>
      </c>
      <c r="J30" s="624"/>
      <c r="K30" s="624">
        <v>8</v>
      </c>
      <c r="L30" s="624">
        <v>3</v>
      </c>
      <c r="M30" s="624">
        <v>980</v>
      </c>
      <c r="N30" s="624">
        <f>G30+M30-H30-L30</f>
        <v>2424</v>
      </c>
      <c r="O30" s="631" t="s">
        <v>1677</v>
      </c>
      <c r="P30" s="617">
        <f>12+90+110+110+70+50+60+90</f>
        <v>592</v>
      </c>
      <c r="U30" s="618">
        <f>13+150+130+130+100+60+85+70+70+80+92</f>
        <v>980</v>
      </c>
      <c r="V30" s="624"/>
    </row>
    <row r="31" spans="1:22" ht="36" customHeight="1">
      <c r="A31" s="629" t="s">
        <v>126</v>
      </c>
      <c r="B31" s="636" t="s">
        <v>814</v>
      </c>
      <c r="C31" s="627">
        <f t="shared" ref="C31:N31" si="10">SUM(C32:C33)</f>
        <v>17</v>
      </c>
      <c r="D31" s="627">
        <f t="shared" si="10"/>
        <v>17</v>
      </c>
      <c r="E31" s="627">
        <f t="shared" si="10"/>
        <v>4</v>
      </c>
      <c r="F31" s="627">
        <f t="shared" si="10"/>
        <v>0</v>
      </c>
      <c r="G31" s="627">
        <f t="shared" si="10"/>
        <v>4853.2</v>
      </c>
      <c r="H31" s="627">
        <f t="shared" si="10"/>
        <v>61.2</v>
      </c>
      <c r="I31" s="627">
        <f t="shared" si="10"/>
        <v>61.2</v>
      </c>
      <c r="J31" s="627">
        <f t="shared" si="10"/>
        <v>0</v>
      </c>
      <c r="K31" s="627">
        <f t="shared" si="10"/>
        <v>0</v>
      </c>
      <c r="L31" s="627">
        <f t="shared" si="10"/>
        <v>0</v>
      </c>
      <c r="M31" s="627">
        <f t="shared" si="10"/>
        <v>2058</v>
      </c>
      <c r="N31" s="627">
        <f t="shared" si="10"/>
        <v>6850</v>
      </c>
      <c r="O31" s="631"/>
      <c r="P31" s="712">
        <f>295+23+180+28+223+400+80+100</f>
        <v>1329</v>
      </c>
      <c r="V31" s="627"/>
    </row>
    <row r="32" spans="1:22" ht="254.25" customHeight="1">
      <c r="A32" s="629" t="s">
        <v>3</v>
      </c>
      <c r="B32" s="636" t="s">
        <v>419</v>
      </c>
      <c r="C32" s="627">
        <v>17</v>
      </c>
      <c r="D32" s="627">
        <v>17</v>
      </c>
      <c r="E32" s="627">
        <v>4</v>
      </c>
      <c r="F32" s="626"/>
      <c r="G32" s="624">
        <v>4853.2</v>
      </c>
      <c r="H32" s="624">
        <f>SUM(I32:K32)</f>
        <v>61.2</v>
      </c>
      <c r="I32" s="624">
        <v>61.2</v>
      </c>
      <c r="J32" s="624"/>
      <c r="K32" s="624"/>
      <c r="L32" s="624"/>
      <c r="M32" s="624">
        <v>1530</v>
      </c>
      <c r="N32" s="624">
        <f>G32+M32-H32-L32</f>
        <v>6322</v>
      </c>
      <c r="O32" s="631" t="s">
        <v>1676</v>
      </c>
      <c r="P32" s="640"/>
      <c r="U32" s="618">
        <f>610+30+100+180+23+215+130+242</f>
        <v>1530</v>
      </c>
      <c r="V32" s="624"/>
    </row>
    <row r="33" spans="1:29" ht="36" customHeight="1">
      <c r="A33" s="629" t="s">
        <v>3</v>
      </c>
      <c r="B33" s="636" t="s">
        <v>403</v>
      </c>
      <c r="C33" s="627"/>
      <c r="D33" s="627"/>
      <c r="E33" s="627"/>
      <c r="F33" s="626"/>
      <c r="G33" s="624"/>
      <c r="H33" s="624"/>
      <c r="I33" s="624"/>
      <c r="J33" s="624"/>
      <c r="K33" s="624"/>
      <c r="L33" s="624"/>
      <c r="M33" s="624">
        <v>528</v>
      </c>
      <c r="N33" s="624">
        <f>G33+M33-H33-L33</f>
        <v>528</v>
      </c>
      <c r="O33" s="631" t="s">
        <v>1675</v>
      </c>
      <c r="P33" s="640"/>
      <c r="U33" s="618">
        <v>528</v>
      </c>
      <c r="V33" s="624"/>
    </row>
    <row r="34" spans="1:29" ht="53.25" customHeight="1">
      <c r="A34" s="629" t="s">
        <v>486</v>
      </c>
      <c r="B34" s="636" t="s">
        <v>815</v>
      </c>
      <c r="C34" s="627">
        <f t="shared" ref="C34:N34" si="11">SUM(C35:C36)</f>
        <v>12</v>
      </c>
      <c r="D34" s="627">
        <f t="shared" si="11"/>
        <v>12</v>
      </c>
      <c r="E34" s="627">
        <f t="shared" si="11"/>
        <v>0</v>
      </c>
      <c r="F34" s="627">
        <f t="shared" si="11"/>
        <v>0</v>
      </c>
      <c r="G34" s="627">
        <f t="shared" si="11"/>
        <v>2767.2</v>
      </c>
      <c r="H34" s="627">
        <f t="shared" si="11"/>
        <v>43.2</v>
      </c>
      <c r="I34" s="627">
        <f t="shared" si="11"/>
        <v>43.2</v>
      </c>
      <c r="J34" s="627">
        <f t="shared" si="11"/>
        <v>0</v>
      </c>
      <c r="K34" s="627">
        <f t="shared" si="11"/>
        <v>0</v>
      </c>
      <c r="L34" s="627">
        <f t="shared" si="11"/>
        <v>0</v>
      </c>
      <c r="M34" s="627">
        <f t="shared" si="11"/>
        <v>1103</v>
      </c>
      <c r="N34" s="627">
        <f t="shared" si="11"/>
        <v>3827</v>
      </c>
      <c r="O34" s="643"/>
      <c r="P34" s="644">
        <f>106+16+80+25+26+24+31+25+80+70</f>
        <v>483</v>
      </c>
      <c r="V34" s="627"/>
    </row>
    <row r="35" spans="1:29" ht="250.5" customHeight="1">
      <c r="A35" s="629" t="s">
        <v>3</v>
      </c>
      <c r="B35" s="636" t="s">
        <v>1674</v>
      </c>
      <c r="C35" s="627">
        <v>12</v>
      </c>
      <c r="D35" s="627">
        <v>12</v>
      </c>
      <c r="E35" s="627">
        <v>0</v>
      </c>
      <c r="F35" s="626"/>
      <c r="G35" s="710">
        <v>2767.2</v>
      </c>
      <c r="H35" s="624">
        <f>SUM(I35:K35)</f>
        <v>43.2</v>
      </c>
      <c r="I35" s="710">
        <v>43.2</v>
      </c>
      <c r="J35" s="710"/>
      <c r="K35" s="710"/>
      <c r="L35" s="710"/>
      <c r="M35" s="710">
        <v>915</v>
      </c>
      <c r="N35" s="624">
        <f>G35+M35-H35-L35</f>
        <v>3639</v>
      </c>
      <c r="O35" s="643" t="s">
        <v>1673</v>
      </c>
      <c r="P35" s="644"/>
      <c r="V35" s="710"/>
    </row>
    <row r="36" spans="1:29" ht="75.75" customHeight="1">
      <c r="A36" s="629" t="s">
        <v>3</v>
      </c>
      <c r="B36" s="636" t="s">
        <v>403</v>
      </c>
      <c r="C36" s="627"/>
      <c r="D36" s="627"/>
      <c r="E36" s="627"/>
      <c r="F36" s="626"/>
      <c r="G36" s="710"/>
      <c r="H36" s="624">
        <f>SUM(I36:K36)</f>
        <v>0</v>
      </c>
      <c r="I36" s="710"/>
      <c r="J36" s="710"/>
      <c r="K36" s="710"/>
      <c r="L36" s="710"/>
      <c r="M36" s="710">
        <v>188</v>
      </c>
      <c r="N36" s="624">
        <f>G36+M36-H36-L36</f>
        <v>188</v>
      </c>
      <c r="O36" s="625" t="s">
        <v>1499</v>
      </c>
      <c r="P36" s="644"/>
      <c r="V36" s="710"/>
    </row>
    <row r="37" spans="1:29" s="644" customFormat="1" ht="53.25" customHeight="1">
      <c r="A37" s="635">
        <v>2</v>
      </c>
      <c r="B37" s="634" t="s">
        <v>485</v>
      </c>
      <c r="C37" s="633">
        <f t="shared" ref="C37:N37" si="12">C38+C43+C44+C45+C46+C47</f>
        <v>50</v>
      </c>
      <c r="D37" s="633">
        <f t="shared" si="12"/>
        <v>50</v>
      </c>
      <c r="E37" s="633">
        <f t="shared" si="12"/>
        <v>13</v>
      </c>
      <c r="F37" s="632">
        <f t="shared" si="12"/>
        <v>0</v>
      </c>
      <c r="G37" s="630">
        <f t="shared" si="12"/>
        <v>9503.0000000000018</v>
      </c>
      <c r="H37" s="630">
        <f t="shared" si="12"/>
        <v>115.00000000000001</v>
      </c>
      <c r="I37" s="630">
        <f t="shared" si="12"/>
        <v>115.00000000000001</v>
      </c>
      <c r="J37" s="630">
        <f t="shared" si="12"/>
        <v>0</v>
      </c>
      <c r="K37" s="630">
        <f t="shared" si="12"/>
        <v>0</v>
      </c>
      <c r="L37" s="630">
        <f t="shared" si="12"/>
        <v>0</v>
      </c>
      <c r="M37" s="630">
        <f t="shared" si="12"/>
        <v>12156</v>
      </c>
      <c r="N37" s="630">
        <f t="shared" si="12"/>
        <v>21544</v>
      </c>
      <c r="O37" s="646"/>
      <c r="U37" s="618"/>
      <c r="V37" s="630"/>
    </row>
    <row r="38" spans="1:29" ht="53.25" customHeight="1">
      <c r="A38" s="629" t="s">
        <v>128</v>
      </c>
      <c r="B38" s="636" t="s">
        <v>484</v>
      </c>
      <c r="C38" s="627">
        <f t="shared" ref="C38:N38" si="13">SUM(C39:C42)</f>
        <v>16</v>
      </c>
      <c r="D38" s="627">
        <f t="shared" si="13"/>
        <v>16</v>
      </c>
      <c r="E38" s="627">
        <f t="shared" si="13"/>
        <v>3</v>
      </c>
      <c r="F38" s="627">
        <f t="shared" si="13"/>
        <v>0</v>
      </c>
      <c r="G38" s="627">
        <f t="shared" si="13"/>
        <v>2932.8</v>
      </c>
      <c r="H38" s="627">
        <f t="shared" si="13"/>
        <v>36.800000000000004</v>
      </c>
      <c r="I38" s="627">
        <f t="shared" si="13"/>
        <v>36.800000000000004</v>
      </c>
      <c r="J38" s="627">
        <f t="shared" si="13"/>
        <v>0</v>
      </c>
      <c r="K38" s="627">
        <f t="shared" si="13"/>
        <v>0</v>
      </c>
      <c r="L38" s="627">
        <f t="shared" si="13"/>
        <v>0</v>
      </c>
      <c r="M38" s="627">
        <f t="shared" si="13"/>
        <v>7303</v>
      </c>
      <c r="N38" s="627">
        <f t="shared" si="13"/>
        <v>10199</v>
      </c>
      <c r="O38" s="631"/>
      <c r="V38" s="627"/>
    </row>
    <row r="39" spans="1:29" ht="232.5" customHeight="1">
      <c r="A39" s="629" t="s">
        <v>276</v>
      </c>
      <c r="B39" s="636" t="s">
        <v>419</v>
      </c>
      <c r="C39" s="627">
        <v>16</v>
      </c>
      <c r="D39" s="627">
        <v>16</v>
      </c>
      <c r="E39" s="627">
        <v>3</v>
      </c>
      <c r="F39" s="626"/>
      <c r="G39" s="624">
        <v>2932.8</v>
      </c>
      <c r="H39" s="624">
        <f>SUM(I39:K39)</f>
        <v>36.800000000000004</v>
      </c>
      <c r="I39" s="624">
        <v>36.800000000000004</v>
      </c>
      <c r="J39" s="624"/>
      <c r="K39" s="624"/>
      <c r="L39" s="624"/>
      <c r="M39" s="624">
        <v>4062</v>
      </c>
      <c r="N39" s="624">
        <f t="shared" ref="N39:N46" si="14">G39+M39-H39-L39</f>
        <v>6958</v>
      </c>
      <c r="O39" s="643" t="s">
        <v>1672</v>
      </c>
      <c r="P39" s="617">
        <f>165.5+18+30+100+200</f>
        <v>513.5</v>
      </c>
      <c r="U39" s="711">
        <v>4062</v>
      </c>
      <c r="V39" s="710"/>
      <c r="AC39" s="617">
        <f>212+25+30+120+500+750+25+500+1700+200</f>
        <v>4062</v>
      </c>
    </row>
    <row r="40" spans="1:29" ht="107.25" customHeight="1">
      <c r="A40" s="629" t="s">
        <v>276</v>
      </c>
      <c r="B40" s="636" t="s">
        <v>483</v>
      </c>
      <c r="C40" s="627"/>
      <c r="D40" s="627"/>
      <c r="E40" s="627"/>
      <c r="F40" s="626"/>
      <c r="G40" s="624"/>
      <c r="H40" s="624"/>
      <c r="I40" s="624"/>
      <c r="J40" s="624"/>
      <c r="K40" s="624"/>
      <c r="L40" s="624"/>
      <c r="M40" s="624">
        <v>1686</v>
      </c>
      <c r="N40" s="624">
        <f t="shared" si="14"/>
        <v>1686</v>
      </c>
      <c r="O40" s="637" t="s">
        <v>1671</v>
      </c>
      <c r="P40" s="617">
        <f>300+100+384+18</f>
        <v>802</v>
      </c>
      <c r="U40" s="711">
        <f>390+102+384+42+750</f>
        <v>1668</v>
      </c>
      <c r="V40" s="710"/>
      <c r="AC40" s="617">
        <f>390+120+384+42+750</f>
        <v>1686</v>
      </c>
    </row>
    <row r="41" spans="1:29" ht="53.25" customHeight="1">
      <c r="A41" s="629" t="s">
        <v>276</v>
      </c>
      <c r="B41" s="636" t="s">
        <v>482</v>
      </c>
      <c r="C41" s="627"/>
      <c r="D41" s="627"/>
      <c r="E41" s="627"/>
      <c r="F41" s="626"/>
      <c r="G41" s="624"/>
      <c r="H41" s="624"/>
      <c r="I41" s="624"/>
      <c r="J41" s="624"/>
      <c r="K41" s="624"/>
      <c r="L41" s="624"/>
      <c r="M41" s="624">
        <v>1100</v>
      </c>
      <c r="N41" s="624">
        <f t="shared" si="14"/>
        <v>1100</v>
      </c>
      <c r="O41" s="637" t="s">
        <v>1670</v>
      </c>
      <c r="U41" s="618">
        <v>1100</v>
      </c>
      <c r="V41" s="624"/>
    </row>
    <row r="42" spans="1:29" ht="53.25" customHeight="1">
      <c r="A42" s="629" t="s">
        <v>3</v>
      </c>
      <c r="B42" s="636" t="s">
        <v>1518</v>
      </c>
      <c r="C42" s="627"/>
      <c r="D42" s="627"/>
      <c r="E42" s="627"/>
      <c r="F42" s="626"/>
      <c r="G42" s="624"/>
      <c r="H42" s="624"/>
      <c r="I42" s="624"/>
      <c r="J42" s="624"/>
      <c r="K42" s="624"/>
      <c r="L42" s="624"/>
      <c r="M42" s="624">
        <v>455</v>
      </c>
      <c r="N42" s="624">
        <f t="shared" si="14"/>
        <v>455</v>
      </c>
      <c r="O42" s="637" t="s">
        <v>1669</v>
      </c>
      <c r="U42" s="618">
        <v>455</v>
      </c>
      <c r="V42" s="624">
        <v>455</v>
      </c>
    </row>
    <row r="43" spans="1:29" ht="161.25" customHeight="1">
      <c r="A43" s="629" t="s">
        <v>130</v>
      </c>
      <c r="B43" s="636" t="s">
        <v>480</v>
      </c>
      <c r="C43" s="627">
        <v>11</v>
      </c>
      <c r="D43" s="627">
        <v>11</v>
      </c>
      <c r="E43" s="627">
        <v>3</v>
      </c>
      <c r="F43" s="626"/>
      <c r="G43" s="624">
        <v>2041.3</v>
      </c>
      <c r="H43" s="624">
        <f>SUM(I43:K43)</f>
        <v>25.3</v>
      </c>
      <c r="I43" s="624">
        <v>25.3</v>
      </c>
      <c r="J43" s="624"/>
      <c r="K43" s="624"/>
      <c r="L43" s="624"/>
      <c r="M43" s="624">
        <v>1266</v>
      </c>
      <c r="N43" s="624">
        <f t="shared" si="14"/>
        <v>3282</v>
      </c>
      <c r="O43" s="631" t="s">
        <v>1668</v>
      </c>
      <c r="P43" s="617">
        <f>88+12+530+65+72+50+20+100</f>
        <v>937</v>
      </c>
      <c r="U43" s="618">
        <f>172+15+439+59+93+30+19+300+139</f>
        <v>1266</v>
      </c>
      <c r="V43" s="624"/>
    </row>
    <row r="44" spans="1:29" ht="197.25" customHeight="1">
      <c r="A44" s="629" t="s">
        <v>142</v>
      </c>
      <c r="B44" s="636" t="s">
        <v>479</v>
      </c>
      <c r="C44" s="627">
        <v>11</v>
      </c>
      <c r="D44" s="627">
        <v>11</v>
      </c>
      <c r="E44" s="627">
        <v>3</v>
      </c>
      <c r="F44" s="626"/>
      <c r="G44" s="624">
        <v>2359.3000000000002</v>
      </c>
      <c r="H44" s="624">
        <f>SUM(I44:K44)</f>
        <v>25.3</v>
      </c>
      <c r="I44" s="624">
        <v>25.3</v>
      </c>
      <c r="J44" s="624"/>
      <c r="K44" s="624"/>
      <c r="L44" s="624"/>
      <c r="M44" s="624">
        <v>1323</v>
      </c>
      <c r="N44" s="624">
        <f t="shared" si="14"/>
        <v>3657</v>
      </c>
      <c r="O44" s="631" t="s">
        <v>1667</v>
      </c>
      <c r="P44" s="617">
        <f>166+12+20+200+100+50+80+250+100+15+30+15+7</f>
        <v>1045</v>
      </c>
      <c r="U44" s="618">
        <f>176+25+50+20+250+100+50+250+100+120+20+162</f>
        <v>1323</v>
      </c>
      <c r="V44" s="624"/>
    </row>
    <row r="45" spans="1:29" ht="90.75" customHeight="1">
      <c r="A45" s="629" t="s">
        <v>152</v>
      </c>
      <c r="B45" s="636" t="s">
        <v>478</v>
      </c>
      <c r="C45" s="627">
        <v>5</v>
      </c>
      <c r="D45" s="627">
        <v>5</v>
      </c>
      <c r="E45" s="627">
        <v>3</v>
      </c>
      <c r="F45" s="626"/>
      <c r="G45" s="624">
        <v>971.5</v>
      </c>
      <c r="H45" s="624">
        <f>SUM(I45:K45)</f>
        <v>11.5</v>
      </c>
      <c r="I45" s="624">
        <v>11.5</v>
      </c>
      <c r="J45" s="624"/>
      <c r="K45" s="624"/>
      <c r="L45" s="624"/>
      <c r="M45" s="624">
        <v>544</v>
      </c>
      <c r="N45" s="624">
        <f t="shared" si="14"/>
        <v>1504</v>
      </c>
      <c r="O45" s="643" t="s">
        <v>1666</v>
      </c>
      <c r="P45" s="617">
        <f>54+5+30+10+10+5</f>
        <v>114</v>
      </c>
      <c r="U45" s="618">
        <f>228+10+30+76+200</f>
        <v>544</v>
      </c>
      <c r="V45" s="624"/>
    </row>
    <row r="46" spans="1:29" ht="53.25" customHeight="1">
      <c r="A46" s="629" t="s">
        <v>157</v>
      </c>
      <c r="B46" s="636" t="s">
        <v>1665</v>
      </c>
      <c r="C46" s="627">
        <v>4</v>
      </c>
      <c r="D46" s="627">
        <v>4</v>
      </c>
      <c r="E46" s="627">
        <v>0</v>
      </c>
      <c r="F46" s="626"/>
      <c r="G46" s="624">
        <v>619.20000000000005</v>
      </c>
      <c r="H46" s="624">
        <f>SUM(I46:K46)</f>
        <v>9.2000000000000011</v>
      </c>
      <c r="I46" s="624">
        <v>9.2000000000000011</v>
      </c>
      <c r="J46" s="624"/>
      <c r="K46" s="624"/>
      <c r="L46" s="624"/>
      <c r="M46" s="624">
        <v>43</v>
      </c>
      <c r="N46" s="624">
        <f t="shared" si="14"/>
        <v>653</v>
      </c>
      <c r="O46" s="631" t="s">
        <v>1664</v>
      </c>
      <c r="U46" s="618">
        <f>6+37</f>
        <v>43</v>
      </c>
      <c r="V46" s="624"/>
    </row>
    <row r="47" spans="1:29" ht="36" customHeight="1">
      <c r="A47" s="629" t="s">
        <v>160</v>
      </c>
      <c r="B47" s="636" t="s">
        <v>477</v>
      </c>
      <c r="C47" s="627">
        <f t="shared" ref="C47:N47" si="15">SUM(C48:C49)</f>
        <v>3</v>
      </c>
      <c r="D47" s="627">
        <f t="shared" si="15"/>
        <v>3</v>
      </c>
      <c r="E47" s="627">
        <f t="shared" si="15"/>
        <v>1</v>
      </c>
      <c r="F47" s="627">
        <f t="shared" si="15"/>
        <v>0</v>
      </c>
      <c r="G47" s="627">
        <f t="shared" si="15"/>
        <v>578.9</v>
      </c>
      <c r="H47" s="627">
        <f t="shared" si="15"/>
        <v>6.9</v>
      </c>
      <c r="I47" s="627">
        <f t="shared" si="15"/>
        <v>6.9</v>
      </c>
      <c r="J47" s="627">
        <f t="shared" si="15"/>
        <v>0</v>
      </c>
      <c r="K47" s="627">
        <f t="shared" si="15"/>
        <v>0</v>
      </c>
      <c r="L47" s="627">
        <f t="shared" si="15"/>
        <v>0</v>
      </c>
      <c r="M47" s="627">
        <f t="shared" si="15"/>
        <v>1677</v>
      </c>
      <c r="N47" s="627">
        <f t="shared" si="15"/>
        <v>2249</v>
      </c>
      <c r="O47" s="708"/>
      <c r="P47" s="617">
        <f>62+4+90+30+5+360+454</f>
        <v>1005</v>
      </c>
      <c r="V47" s="627"/>
    </row>
    <row r="48" spans="1:29" ht="174.75" customHeight="1">
      <c r="A48" s="629" t="s">
        <v>3</v>
      </c>
      <c r="B48" s="636" t="s">
        <v>419</v>
      </c>
      <c r="C48" s="627">
        <v>3</v>
      </c>
      <c r="D48" s="627">
        <v>3</v>
      </c>
      <c r="E48" s="627">
        <v>1</v>
      </c>
      <c r="F48" s="626"/>
      <c r="G48" s="624">
        <v>578.9</v>
      </c>
      <c r="H48" s="624">
        <f>SUM(I48:K48)</f>
        <v>6.9</v>
      </c>
      <c r="I48" s="624">
        <v>6.9</v>
      </c>
      <c r="J48" s="624"/>
      <c r="K48" s="624"/>
      <c r="L48" s="624"/>
      <c r="M48" s="624">
        <v>1517</v>
      </c>
      <c r="N48" s="624">
        <f>G48+M48-H48-L48</f>
        <v>2089</v>
      </c>
      <c r="O48" s="709" t="s">
        <v>1663</v>
      </c>
      <c r="U48" s="618">
        <f>105+5+130+30+12+470+609+110+46</f>
        <v>1517</v>
      </c>
      <c r="V48" s="624"/>
    </row>
    <row r="49" spans="1:22" ht="53.25" customHeight="1">
      <c r="A49" s="629" t="s">
        <v>3</v>
      </c>
      <c r="B49" s="636" t="s">
        <v>1518</v>
      </c>
      <c r="C49" s="627"/>
      <c r="D49" s="627"/>
      <c r="E49" s="627"/>
      <c r="F49" s="626"/>
      <c r="G49" s="624"/>
      <c r="H49" s="624">
        <f>SUM(I49:K49)</f>
        <v>0</v>
      </c>
      <c r="I49" s="624"/>
      <c r="J49" s="624"/>
      <c r="K49" s="624"/>
      <c r="L49" s="624"/>
      <c r="M49" s="624">
        <v>160</v>
      </c>
      <c r="N49" s="624">
        <f>G49+M49-H49-L49</f>
        <v>160</v>
      </c>
      <c r="O49" s="708" t="s">
        <v>1662</v>
      </c>
      <c r="U49" s="618">
        <v>160</v>
      </c>
      <c r="V49" s="624">
        <v>160</v>
      </c>
    </row>
    <row r="50" spans="1:22" s="644" customFormat="1" ht="36" customHeight="1">
      <c r="A50" s="635">
        <v>3</v>
      </c>
      <c r="B50" s="634" t="s">
        <v>476</v>
      </c>
      <c r="C50" s="633">
        <f t="shared" ref="C50:N50" si="16">SUM(C51:C60)</f>
        <v>0</v>
      </c>
      <c r="D50" s="633">
        <f t="shared" si="16"/>
        <v>0</v>
      </c>
      <c r="E50" s="633">
        <f t="shared" si="16"/>
        <v>0</v>
      </c>
      <c r="F50" s="632">
        <f t="shared" si="16"/>
        <v>0</v>
      </c>
      <c r="G50" s="630">
        <f t="shared" si="16"/>
        <v>1270</v>
      </c>
      <c r="H50" s="630">
        <f t="shared" si="16"/>
        <v>0</v>
      </c>
      <c r="I50" s="630">
        <f t="shared" si="16"/>
        <v>0</v>
      </c>
      <c r="J50" s="630">
        <f t="shared" si="16"/>
        <v>0</v>
      </c>
      <c r="K50" s="630">
        <f t="shared" si="16"/>
        <v>0</v>
      </c>
      <c r="L50" s="630">
        <f t="shared" si="16"/>
        <v>0</v>
      </c>
      <c r="M50" s="630">
        <f t="shared" si="16"/>
        <v>29</v>
      </c>
      <c r="N50" s="630">
        <f t="shared" si="16"/>
        <v>1299</v>
      </c>
      <c r="O50" s="646"/>
      <c r="U50" s="618"/>
      <c r="V50" s="630"/>
    </row>
    <row r="51" spans="1:22" ht="53.25" customHeight="1">
      <c r="A51" s="629" t="s">
        <v>475</v>
      </c>
      <c r="B51" s="636" t="s">
        <v>472</v>
      </c>
      <c r="C51" s="627"/>
      <c r="D51" s="627"/>
      <c r="E51" s="627"/>
      <c r="F51" s="626"/>
      <c r="G51" s="624">
        <v>57</v>
      </c>
      <c r="H51" s="624"/>
      <c r="I51" s="624"/>
      <c r="J51" s="624"/>
      <c r="K51" s="624"/>
      <c r="L51" s="624"/>
      <c r="M51" s="624"/>
      <c r="N51" s="624">
        <f t="shared" ref="N51:N60" si="17">G51+M51-H51-L51</f>
        <v>57</v>
      </c>
      <c r="O51" s="631" t="s">
        <v>1658</v>
      </c>
      <c r="U51" s="618">
        <v>57</v>
      </c>
      <c r="V51" s="624"/>
    </row>
    <row r="52" spans="1:22" ht="53.25" customHeight="1">
      <c r="A52" s="629" t="s">
        <v>473</v>
      </c>
      <c r="B52" s="636" t="s">
        <v>1661</v>
      </c>
      <c r="C52" s="707"/>
      <c r="D52" s="707"/>
      <c r="E52" s="707"/>
      <c r="F52" s="706"/>
      <c r="G52" s="624">
        <v>197</v>
      </c>
      <c r="H52" s="630"/>
      <c r="I52" s="705"/>
      <c r="J52" s="705"/>
      <c r="K52" s="705"/>
      <c r="L52" s="624"/>
      <c r="M52" s="624"/>
      <c r="N52" s="624">
        <f t="shared" si="17"/>
        <v>197</v>
      </c>
      <c r="O52" s="631" t="s">
        <v>1658</v>
      </c>
      <c r="U52" s="618">
        <v>197</v>
      </c>
      <c r="V52" s="624"/>
    </row>
    <row r="53" spans="1:22" ht="74.25" customHeight="1">
      <c r="A53" s="629" t="s">
        <v>471</v>
      </c>
      <c r="B53" s="636" t="s">
        <v>1660</v>
      </c>
      <c r="C53" s="707"/>
      <c r="D53" s="707"/>
      <c r="E53" s="707"/>
      <c r="F53" s="706"/>
      <c r="G53" s="624">
        <v>197</v>
      </c>
      <c r="H53" s="705"/>
      <c r="I53" s="705"/>
      <c r="J53" s="705"/>
      <c r="K53" s="705"/>
      <c r="L53" s="624"/>
      <c r="M53" s="624">
        <v>29</v>
      </c>
      <c r="N53" s="624">
        <f t="shared" si="17"/>
        <v>226</v>
      </c>
      <c r="O53" s="631" t="s">
        <v>1659</v>
      </c>
      <c r="P53" s="617">
        <f>126+140+35</f>
        <v>301</v>
      </c>
      <c r="U53" s="618">
        <f>197+29</f>
        <v>226</v>
      </c>
      <c r="V53" s="624"/>
    </row>
    <row r="54" spans="1:22" ht="53.25" customHeight="1">
      <c r="A54" s="629" t="s">
        <v>469</v>
      </c>
      <c r="B54" s="636" t="s">
        <v>467</v>
      </c>
      <c r="C54" s="707"/>
      <c r="D54" s="707"/>
      <c r="E54" s="707"/>
      <c r="F54" s="706"/>
      <c r="G54" s="624">
        <v>57</v>
      </c>
      <c r="H54" s="705"/>
      <c r="I54" s="705"/>
      <c r="J54" s="705"/>
      <c r="K54" s="705"/>
      <c r="L54" s="624"/>
      <c r="M54" s="624"/>
      <c r="N54" s="624">
        <f t="shared" si="17"/>
        <v>57</v>
      </c>
      <c r="O54" s="631" t="s">
        <v>1658</v>
      </c>
      <c r="U54" s="618">
        <v>57</v>
      </c>
      <c r="V54" s="624"/>
    </row>
    <row r="55" spans="1:22" ht="53.25" customHeight="1">
      <c r="A55" s="629" t="s">
        <v>468</v>
      </c>
      <c r="B55" s="636" t="s">
        <v>465</v>
      </c>
      <c r="C55" s="707"/>
      <c r="D55" s="707"/>
      <c r="E55" s="707"/>
      <c r="F55" s="706"/>
      <c r="G55" s="624">
        <v>197</v>
      </c>
      <c r="H55" s="705"/>
      <c r="I55" s="705"/>
      <c r="J55" s="705"/>
      <c r="K55" s="705"/>
      <c r="L55" s="624"/>
      <c r="M55" s="624"/>
      <c r="N55" s="624">
        <f t="shared" si="17"/>
        <v>197</v>
      </c>
      <c r="O55" s="631" t="s">
        <v>1658</v>
      </c>
      <c r="U55" s="618">
        <v>197</v>
      </c>
      <c r="V55" s="624"/>
    </row>
    <row r="56" spans="1:22" ht="53.25" customHeight="1">
      <c r="A56" s="629" t="s">
        <v>466</v>
      </c>
      <c r="B56" s="636" t="s">
        <v>463</v>
      </c>
      <c r="C56" s="707"/>
      <c r="D56" s="707"/>
      <c r="E56" s="707"/>
      <c r="F56" s="706"/>
      <c r="G56" s="624">
        <v>197</v>
      </c>
      <c r="H56" s="705"/>
      <c r="I56" s="705"/>
      <c r="J56" s="705"/>
      <c r="K56" s="705"/>
      <c r="L56" s="624"/>
      <c r="M56" s="624"/>
      <c r="N56" s="624">
        <f t="shared" si="17"/>
        <v>197</v>
      </c>
      <c r="O56" s="631" t="s">
        <v>1658</v>
      </c>
      <c r="U56" s="618">
        <v>197</v>
      </c>
      <c r="V56" s="624"/>
    </row>
    <row r="57" spans="1:22" ht="53.25" customHeight="1">
      <c r="A57" s="629" t="s">
        <v>464</v>
      </c>
      <c r="B57" s="636" t="s">
        <v>461</v>
      </c>
      <c r="C57" s="707"/>
      <c r="D57" s="707"/>
      <c r="E57" s="707"/>
      <c r="F57" s="706"/>
      <c r="G57" s="624">
        <v>169</v>
      </c>
      <c r="H57" s="705"/>
      <c r="I57" s="705"/>
      <c r="J57" s="705"/>
      <c r="K57" s="705"/>
      <c r="L57" s="624"/>
      <c r="M57" s="624"/>
      <c r="N57" s="624">
        <f t="shared" si="17"/>
        <v>169</v>
      </c>
      <c r="O57" s="631" t="s">
        <v>1658</v>
      </c>
      <c r="U57" s="618">
        <v>169</v>
      </c>
      <c r="V57" s="624"/>
    </row>
    <row r="58" spans="1:22" ht="53.25" customHeight="1">
      <c r="A58" s="629" t="s">
        <v>462</v>
      </c>
      <c r="B58" s="636" t="s">
        <v>452</v>
      </c>
      <c r="C58" s="707"/>
      <c r="D58" s="707"/>
      <c r="E58" s="707"/>
      <c r="F58" s="706"/>
      <c r="G58" s="624">
        <v>85</v>
      </c>
      <c r="H58" s="705"/>
      <c r="I58" s="705"/>
      <c r="J58" s="705"/>
      <c r="K58" s="705"/>
      <c r="L58" s="624"/>
      <c r="M58" s="624"/>
      <c r="N58" s="624">
        <f t="shared" si="17"/>
        <v>85</v>
      </c>
      <c r="O58" s="631" t="s">
        <v>1658</v>
      </c>
      <c r="U58" s="618">
        <v>85</v>
      </c>
      <c r="V58" s="624"/>
    </row>
    <row r="59" spans="1:22" ht="53.25" customHeight="1">
      <c r="A59" s="629" t="s">
        <v>460</v>
      </c>
      <c r="B59" s="636" t="s">
        <v>459</v>
      </c>
      <c r="C59" s="707"/>
      <c r="D59" s="707"/>
      <c r="E59" s="707"/>
      <c r="F59" s="706"/>
      <c r="G59" s="624">
        <v>57</v>
      </c>
      <c r="H59" s="705"/>
      <c r="I59" s="705"/>
      <c r="J59" s="705"/>
      <c r="K59" s="705"/>
      <c r="L59" s="624"/>
      <c r="M59" s="624"/>
      <c r="N59" s="624">
        <f t="shared" si="17"/>
        <v>57</v>
      </c>
      <c r="O59" s="631" t="s">
        <v>1658</v>
      </c>
      <c r="U59" s="618">
        <v>57</v>
      </c>
      <c r="V59" s="624"/>
    </row>
    <row r="60" spans="1:22" ht="53.25" customHeight="1">
      <c r="A60" s="629" t="s">
        <v>458</v>
      </c>
      <c r="B60" s="636" t="s">
        <v>450</v>
      </c>
      <c r="C60" s="707"/>
      <c r="D60" s="707"/>
      <c r="E60" s="707"/>
      <c r="F60" s="706"/>
      <c r="G60" s="624">
        <v>57</v>
      </c>
      <c r="H60" s="705"/>
      <c r="I60" s="705"/>
      <c r="J60" s="705"/>
      <c r="K60" s="705"/>
      <c r="L60" s="624"/>
      <c r="M60" s="624"/>
      <c r="N60" s="624">
        <f t="shared" si="17"/>
        <v>57</v>
      </c>
      <c r="O60" s="631" t="s">
        <v>1658</v>
      </c>
      <c r="U60" s="618">
        <v>57</v>
      </c>
      <c r="V60" s="624"/>
    </row>
    <row r="61" spans="1:22" s="644" customFormat="1" ht="123.75" customHeight="1">
      <c r="A61" s="635" t="s">
        <v>4</v>
      </c>
      <c r="B61" s="634" t="s">
        <v>449</v>
      </c>
      <c r="C61" s="633">
        <f t="shared" ref="C61:N61" si="18">C62+C94+C106+C124+C140+C161+C177+C185+C188+C208+C214+C217+C219+C222+C229+C230+C232+C240+C243+C252+C255+C256</f>
        <v>4369</v>
      </c>
      <c r="D61" s="633">
        <f t="shared" si="18"/>
        <v>4059</v>
      </c>
      <c r="E61" s="633">
        <f t="shared" si="18"/>
        <v>358</v>
      </c>
      <c r="F61" s="632">
        <f t="shared" si="18"/>
        <v>11886</v>
      </c>
      <c r="G61" s="630">
        <f t="shared" si="18"/>
        <v>1085739.1999999997</v>
      </c>
      <c r="H61" s="630">
        <f t="shared" si="18"/>
        <v>23512.199999999997</v>
      </c>
      <c r="I61" s="630">
        <f t="shared" si="18"/>
        <v>12033.2</v>
      </c>
      <c r="J61" s="630">
        <f t="shared" si="18"/>
        <v>0</v>
      </c>
      <c r="K61" s="630">
        <f t="shared" si="18"/>
        <v>11479</v>
      </c>
      <c r="L61" s="630">
        <f t="shared" si="18"/>
        <v>580</v>
      </c>
      <c r="M61" s="630">
        <f t="shared" si="18"/>
        <v>717017.00008170004</v>
      </c>
      <c r="N61" s="630">
        <f t="shared" si="18"/>
        <v>1778664.0000817</v>
      </c>
      <c r="O61" s="687"/>
      <c r="P61" s="640">
        <f>G61+M61-H61-L61-N61</f>
        <v>0</v>
      </c>
      <c r="U61" s="618"/>
      <c r="V61" s="630"/>
    </row>
    <row r="62" spans="1:22" ht="75.75" customHeight="1">
      <c r="A62" s="635">
        <v>1</v>
      </c>
      <c r="B62" s="646" t="s">
        <v>448</v>
      </c>
      <c r="C62" s="633">
        <f t="shared" ref="C62:N62" si="19">C63+C71+C78+C87+C88+C89+C93+C90</f>
        <v>390</v>
      </c>
      <c r="D62" s="633">
        <f t="shared" si="19"/>
        <v>390</v>
      </c>
      <c r="E62" s="633">
        <f t="shared" si="19"/>
        <v>59</v>
      </c>
      <c r="F62" s="633">
        <f t="shared" si="19"/>
        <v>162</v>
      </c>
      <c r="G62" s="633">
        <f t="shared" si="19"/>
        <v>84565.3</v>
      </c>
      <c r="H62" s="633">
        <f t="shared" si="19"/>
        <v>1311.3</v>
      </c>
      <c r="I62" s="633">
        <f t="shared" si="19"/>
        <v>1121.3</v>
      </c>
      <c r="J62" s="633">
        <f t="shared" si="19"/>
        <v>0</v>
      </c>
      <c r="K62" s="633">
        <f t="shared" si="19"/>
        <v>190</v>
      </c>
      <c r="L62" s="633">
        <f t="shared" si="19"/>
        <v>0</v>
      </c>
      <c r="M62" s="633">
        <f t="shared" si="19"/>
        <v>89333.000081699996</v>
      </c>
      <c r="N62" s="633">
        <f t="shared" si="19"/>
        <v>172587.00008170001</v>
      </c>
      <c r="O62" s="657"/>
      <c r="P62" s="640">
        <f>G62+M62-H62-L62-N62</f>
        <v>0</v>
      </c>
      <c r="V62" s="633"/>
    </row>
    <row r="63" spans="1:22" ht="36" customHeight="1">
      <c r="A63" s="635" t="s">
        <v>299</v>
      </c>
      <c r="B63" s="634" t="s">
        <v>320</v>
      </c>
      <c r="C63" s="633">
        <f t="shared" ref="C63:N63" si="20">SUM(C64:C70)</f>
        <v>276</v>
      </c>
      <c r="D63" s="633">
        <f t="shared" si="20"/>
        <v>276</v>
      </c>
      <c r="E63" s="633">
        <f t="shared" si="20"/>
        <v>51</v>
      </c>
      <c r="F63" s="632">
        <f t="shared" si="20"/>
        <v>52</v>
      </c>
      <c r="G63" s="630">
        <f t="shared" si="20"/>
        <v>65779.8</v>
      </c>
      <c r="H63" s="630">
        <f t="shared" si="20"/>
        <v>878.8</v>
      </c>
      <c r="I63" s="630">
        <f t="shared" si="20"/>
        <v>860.8</v>
      </c>
      <c r="J63" s="630">
        <f t="shared" si="20"/>
        <v>0</v>
      </c>
      <c r="K63" s="630">
        <f t="shared" si="20"/>
        <v>18</v>
      </c>
      <c r="L63" s="630">
        <f t="shared" si="20"/>
        <v>0</v>
      </c>
      <c r="M63" s="630">
        <f t="shared" si="20"/>
        <v>12416</v>
      </c>
      <c r="N63" s="630">
        <f t="shared" si="20"/>
        <v>77317</v>
      </c>
      <c r="O63" s="631"/>
      <c r="V63" s="630"/>
    </row>
    <row r="64" spans="1:22" ht="127.5" customHeight="1">
      <c r="A64" s="629" t="s">
        <v>447</v>
      </c>
      <c r="B64" s="636" t="s">
        <v>446</v>
      </c>
      <c r="C64" s="627">
        <v>39</v>
      </c>
      <c r="D64" s="627">
        <v>39</v>
      </c>
      <c r="E64" s="627">
        <v>5</v>
      </c>
      <c r="F64" s="626">
        <v>30</v>
      </c>
      <c r="G64" s="624">
        <v>8997.6</v>
      </c>
      <c r="H64" s="624">
        <f t="shared" ref="H64:H70" si="21">SUM(I64:K64)</f>
        <v>147.6</v>
      </c>
      <c r="I64" s="624">
        <v>136.6</v>
      </c>
      <c r="J64" s="624"/>
      <c r="K64" s="624">
        <v>11</v>
      </c>
      <c r="L64" s="624"/>
      <c r="M64" s="624">
        <v>1785</v>
      </c>
      <c r="N64" s="624">
        <f t="shared" ref="N64:N70" si="22">G64+M64-H64-L64</f>
        <v>10635</v>
      </c>
      <c r="O64" s="631" t="s">
        <v>1657</v>
      </c>
      <c r="P64" s="617">
        <f>422+70+30+35+100+135+150+30</f>
        <v>972</v>
      </c>
      <c r="U64" s="618">
        <f>640+100+30+39+100+200+103+96+477</f>
        <v>1785</v>
      </c>
      <c r="V64" s="624"/>
    </row>
    <row r="65" spans="1:22" ht="137.25" customHeight="1">
      <c r="A65" s="629" t="s">
        <v>276</v>
      </c>
      <c r="B65" s="636" t="s">
        <v>445</v>
      </c>
      <c r="C65" s="627">
        <v>191</v>
      </c>
      <c r="D65" s="627">
        <v>191</v>
      </c>
      <c r="E65" s="627">
        <v>31</v>
      </c>
      <c r="F65" s="626">
        <v>10</v>
      </c>
      <c r="G65" s="624">
        <v>47312</v>
      </c>
      <c r="H65" s="624">
        <f t="shared" si="21"/>
        <v>580</v>
      </c>
      <c r="I65" s="624">
        <v>577</v>
      </c>
      <c r="J65" s="624"/>
      <c r="K65" s="624">
        <v>3</v>
      </c>
      <c r="L65" s="624"/>
      <c r="M65" s="624">
        <v>7635</v>
      </c>
      <c r="N65" s="624">
        <f t="shared" si="22"/>
        <v>54367</v>
      </c>
      <c r="O65" s="631" t="s">
        <v>1656</v>
      </c>
      <c r="P65" s="617">
        <f>2623+220+978+180+180</f>
        <v>4181</v>
      </c>
      <c r="U65" s="618">
        <f>3543+366+855+330+342+50+20+2129</f>
        <v>7635</v>
      </c>
      <c r="V65" s="624"/>
    </row>
    <row r="66" spans="1:22" ht="112.5" customHeight="1">
      <c r="A66" s="629" t="s">
        <v>276</v>
      </c>
      <c r="B66" s="636" t="s">
        <v>444</v>
      </c>
      <c r="C66" s="627">
        <v>12</v>
      </c>
      <c r="D66" s="627">
        <v>12</v>
      </c>
      <c r="E66" s="627">
        <v>3</v>
      </c>
      <c r="F66" s="626"/>
      <c r="G66" s="624">
        <v>2242.4</v>
      </c>
      <c r="H66" s="624">
        <f t="shared" si="21"/>
        <v>38.400000000000006</v>
      </c>
      <c r="I66" s="624">
        <v>38.400000000000006</v>
      </c>
      <c r="J66" s="624"/>
      <c r="K66" s="624"/>
      <c r="L66" s="624"/>
      <c r="M66" s="624">
        <v>1275</v>
      </c>
      <c r="N66" s="624">
        <f t="shared" si="22"/>
        <v>3479</v>
      </c>
      <c r="O66" s="631" t="s">
        <v>1655</v>
      </c>
      <c r="P66" s="617">
        <f>212+10+400+100+50</f>
        <v>772</v>
      </c>
      <c r="U66" s="618">
        <f>381+15+600+100+50+129</f>
        <v>1275</v>
      </c>
      <c r="V66" s="624"/>
    </row>
    <row r="67" spans="1:22" ht="75.75" customHeight="1">
      <c r="A67" s="629" t="s">
        <v>276</v>
      </c>
      <c r="B67" s="636" t="s">
        <v>1654</v>
      </c>
      <c r="C67" s="627">
        <v>12</v>
      </c>
      <c r="D67" s="627">
        <v>12</v>
      </c>
      <c r="E67" s="627">
        <v>1</v>
      </c>
      <c r="F67" s="626"/>
      <c r="G67" s="624">
        <v>2399.4</v>
      </c>
      <c r="H67" s="624">
        <f t="shared" si="21"/>
        <v>38.400000000000006</v>
      </c>
      <c r="I67" s="624">
        <v>38.400000000000006</v>
      </c>
      <c r="J67" s="624"/>
      <c r="K67" s="624"/>
      <c r="L67" s="624"/>
      <c r="M67" s="624">
        <v>338</v>
      </c>
      <c r="N67" s="624">
        <f t="shared" si="22"/>
        <v>2699</v>
      </c>
      <c r="O67" s="631" t="s">
        <v>1653</v>
      </c>
      <c r="P67" s="617">
        <f>89+10+30</f>
        <v>129</v>
      </c>
      <c r="U67" s="618">
        <f>134+25+50+129</f>
        <v>338</v>
      </c>
      <c r="V67" s="624"/>
    </row>
    <row r="68" spans="1:22" ht="75.75" customHeight="1">
      <c r="A68" s="629" t="s">
        <v>276</v>
      </c>
      <c r="B68" s="636" t="s">
        <v>1652</v>
      </c>
      <c r="C68" s="627">
        <v>12</v>
      </c>
      <c r="D68" s="627">
        <v>12</v>
      </c>
      <c r="E68" s="627">
        <v>1</v>
      </c>
      <c r="F68" s="626">
        <v>12</v>
      </c>
      <c r="G68" s="624">
        <v>2493.4</v>
      </c>
      <c r="H68" s="624">
        <f t="shared" si="21"/>
        <v>42.400000000000006</v>
      </c>
      <c r="I68" s="624">
        <v>38.400000000000006</v>
      </c>
      <c r="J68" s="624"/>
      <c r="K68" s="624">
        <v>4</v>
      </c>
      <c r="L68" s="624"/>
      <c r="M68" s="624">
        <v>317</v>
      </c>
      <c r="N68" s="624">
        <f t="shared" si="22"/>
        <v>2768</v>
      </c>
      <c r="O68" s="631" t="s">
        <v>1651</v>
      </c>
      <c r="P68" s="617">
        <f>93+12+18+50</f>
        <v>173</v>
      </c>
      <c r="U68" s="618">
        <f>103+30+50+134</f>
        <v>317</v>
      </c>
      <c r="V68" s="624"/>
    </row>
    <row r="69" spans="1:22" ht="51" customHeight="1">
      <c r="A69" s="629" t="s">
        <v>276</v>
      </c>
      <c r="B69" s="636" t="s">
        <v>441</v>
      </c>
      <c r="C69" s="627">
        <v>5</v>
      </c>
      <c r="D69" s="627">
        <v>5</v>
      </c>
      <c r="E69" s="627">
        <v>6</v>
      </c>
      <c r="F69" s="626"/>
      <c r="G69" s="624">
        <v>1172</v>
      </c>
      <c r="H69" s="624">
        <f t="shared" si="21"/>
        <v>16</v>
      </c>
      <c r="I69" s="624">
        <v>16</v>
      </c>
      <c r="J69" s="624"/>
      <c r="K69" s="624"/>
      <c r="L69" s="624"/>
      <c r="M69" s="624">
        <v>620</v>
      </c>
      <c r="N69" s="624">
        <f t="shared" si="22"/>
        <v>1776</v>
      </c>
      <c r="O69" s="631" t="s">
        <v>1650</v>
      </c>
      <c r="U69" s="618">
        <f>530+90</f>
        <v>620</v>
      </c>
      <c r="V69" s="624"/>
    </row>
    <row r="70" spans="1:22" ht="51" customHeight="1">
      <c r="A70" s="629" t="s">
        <v>276</v>
      </c>
      <c r="B70" s="636" t="s">
        <v>440</v>
      </c>
      <c r="C70" s="627">
        <v>5</v>
      </c>
      <c r="D70" s="627">
        <v>5</v>
      </c>
      <c r="E70" s="627">
        <v>4</v>
      </c>
      <c r="F70" s="626"/>
      <c r="G70" s="624">
        <v>1163</v>
      </c>
      <c r="H70" s="624">
        <f t="shared" si="21"/>
        <v>16</v>
      </c>
      <c r="I70" s="624">
        <v>16</v>
      </c>
      <c r="J70" s="624"/>
      <c r="K70" s="624"/>
      <c r="L70" s="624"/>
      <c r="M70" s="624">
        <v>446</v>
      </c>
      <c r="N70" s="624">
        <f t="shared" si="22"/>
        <v>1593</v>
      </c>
      <c r="O70" s="631" t="s">
        <v>1649</v>
      </c>
      <c r="U70" s="618">
        <f>361+85</f>
        <v>446</v>
      </c>
      <c r="V70" s="624"/>
    </row>
    <row r="71" spans="1:22" s="644" customFormat="1" ht="51" customHeight="1">
      <c r="A71" s="635" t="s">
        <v>297</v>
      </c>
      <c r="B71" s="634" t="s">
        <v>1648</v>
      </c>
      <c r="C71" s="633">
        <f t="shared" ref="C71:N71" si="23">C72+C77</f>
        <v>77</v>
      </c>
      <c r="D71" s="633">
        <f t="shared" si="23"/>
        <v>77</v>
      </c>
      <c r="E71" s="633">
        <f t="shared" si="23"/>
        <v>4</v>
      </c>
      <c r="F71" s="632">
        <f t="shared" si="23"/>
        <v>110</v>
      </c>
      <c r="G71" s="630">
        <f t="shared" si="23"/>
        <v>12326.8</v>
      </c>
      <c r="H71" s="630">
        <f t="shared" si="23"/>
        <v>347.8</v>
      </c>
      <c r="I71" s="630">
        <f t="shared" si="23"/>
        <v>175.8</v>
      </c>
      <c r="J71" s="630">
        <f t="shared" si="23"/>
        <v>0</v>
      </c>
      <c r="K71" s="630">
        <f t="shared" si="23"/>
        <v>172</v>
      </c>
      <c r="L71" s="630">
        <f t="shared" si="23"/>
        <v>0</v>
      </c>
      <c r="M71" s="630">
        <f t="shared" si="23"/>
        <v>29346</v>
      </c>
      <c r="N71" s="630">
        <f t="shared" si="23"/>
        <v>41325</v>
      </c>
      <c r="O71" s="704"/>
      <c r="P71" s="684"/>
      <c r="U71" s="618"/>
      <c r="V71" s="630"/>
    </row>
    <row r="72" spans="1:22" s="644" customFormat="1" ht="36" customHeight="1">
      <c r="A72" s="635" t="s">
        <v>362</v>
      </c>
      <c r="B72" s="634" t="s">
        <v>442</v>
      </c>
      <c r="C72" s="633">
        <f t="shared" ref="C72:N72" si="24">SUM(C73:C76)</f>
        <v>77</v>
      </c>
      <c r="D72" s="633">
        <f t="shared" si="24"/>
        <v>77</v>
      </c>
      <c r="E72" s="633">
        <f t="shared" si="24"/>
        <v>4</v>
      </c>
      <c r="F72" s="632">
        <f t="shared" si="24"/>
        <v>110</v>
      </c>
      <c r="G72" s="630">
        <f t="shared" si="24"/>
        <v>12326.8</v>
      </c>
      <c r="H72" s="630">
        <f t="shared" si="24"/>
        <v>347.8</v>
      </c>
      <c r="I72" s="630">
        <f t="shared" si="24"/>
        <v>175.8</v>
      </c>
      <c r="J72" s="630">
        <f t="shared" si="24"/>
        <v>0</v>
      </c>
      <c r="K72" s="630">
        <f t="shared" si="24"/>
        <v>172</v>
      </c>
      <c r="L72" s="630">
        <f t="shared" si="24"/>
        <v>0</v>
      </c>
      <c r="M72" s="630">
        <f t="shared" si="24"/>
        <v>1135</v>
      </c>
      <c r="N72" s="630">
        <f t="shared" si="24"/>
        <v>13114</v>
      </c>
      <c r="O72" s="646"/>
      <c r="U72" s="618"/>
      <c r="V72" s="630"/>
    </row>
    <row r="73" spans="1:22" ht="51" customHeight="1">
      <c r="A73" s="629" t="s">
        <v>3</v>
      </c>
      <c r="B73" s="631" t="s">
        <v>441</v>
      </c>
      <c r="C73" s="627">
        <v>27</v>
      </c>
      <c r="D73" s="627">
        <v>27</v>
      </c>
      <c r="E73" s="627">
        <v>0</v>
      </c>
      <c r="F73" s="626">
        <v>50</v>
      </c>
      <c r="G73" s="624">
        <v>4702.3999999999996</v>
      </c>
      <c r="H73" s="624">
        <f>SUM(I73:K73)</f>
        <v>79.400000000000006</v>
      </c>
      <c r="I73" s="624">
        <v>61.400000000000006</v>
      </c>
      <c r="J73" s="624"/>
      <c r="K73" s="624">
        <v>18</v>
      </c>
      <c r="L73" s="624"/>
      <c r="M73" s="624">
        <v>375</v>
      </c>
      <c r="N73" s="624">
        <f>G73+M73-H73-L73</f>
        <v>4998</v>
      </c>
      <c r="O73" s="631" t="s">
        <v>1647</v>
      </c>
      <c r="P73" s="617">
        <f>30+30</f>
        <v>60</v>
      </c>
      <c r="U73" s="618">
        <f>39+55+281</f>
        <v>375</v>
      </c>
      <c r="V73" s="624"/>
    </row>
    <row r="74" spans="1:22" ht="75.75" customHeight="1">
      <c r="A74" s="629" t="s">
        <v>3</v>
      </c>
      <c r="B74" s="631" t="s">
        <v>440</v>
      </c>
      <c r="C74" s="627">
        <v>14</v>
      </c>
      <c r="D74" s="627">
        <v>14</v>
      </c>
      <c r="E74" s="627">
        <v>0</v>
      </c>
      <c r="F74" s="626">
        <v>60</v>
      </c>
      <c r="G74" s="624">
        <v>2135.1999999999998</v>
      </c>
      <c r="H74" s="624">
        <f>SUM(I74:K74)</f>
        <v>49.2</v>
      </c>
      <c r="I74" s="624">
        <v>32.200000000000003</v>
      </c>
      <c r="J74" s="624"/>
      <c r="K74" s="624">
        <v>17</v>
      </c>
      <c r="L74" s="624"/>
      <c r="M74" s="624">
        <v>199</v>
      </c>
      <c r="N74" s="624">
        <f>G74+M74-H74-L74</f>
        <v>2285</v>
      </c>
      <c r="O74" s="631" t="s">
        <v>1646</v>
      </c>
      <c r="P74" s="617">
        <f>20+12+21</f>
        <v>53</v>
      </c>
      <c r="U74" s="618">
        <f>30+41+128</f>
        <v>199</v>
      </c>
      <c r="V74" s="624"/>
    </row>
    <row r="75" spans="1:22" ht="75.75" customHeight="1">
      <c r="A75" s="629" t="s">
        <v>3</v>
      </c>
      <c r="B75" s="636" t="s">
        <v>439</v>
      </c>
      <c r="C75" s="627">
        <v>26</v>
      </c>
      <c r="D75" s="627">
        <v>26</v>
      </c>
      <c r="E75" s="627">
        <v>2</v>
      </c>
      <c r="F75" s="626">
        <v>0</v>
      </c>
      <c r="G75" s="624">
        <v>3995.2</v>
      </c>
      <c r="H75" s="624">
        <f>SUM(I75:K75)</f>
        <v>196.2</v>
      </c>
      <c r="I75" s="624">
        <v>59.2</v>
      </c>
      <c r="J75" s="624"/>
      <c r="K75" s="624">
        <v>137</v>
      </c>
      <c r="L75" s="624"/>
      <c r="M75" s="624">
        <v>385</v>
      </c>
      <c r="N75" s="624">
        <f>G75+M75-H75-L75</f>
        <v>4184</v>
      </c>
      <c r="O75" s="631" t="s">
        <v>1645</v>
      </c>
      <c r="U75" s="618">
        <f>70+36+30+249</f>
        <v>385</v>
      </c>
      <c r="V75" s="624"/>
    </row>
    <row r="76" spans="1:22" ht="75.75" customHeight="1">
      <c r="A76" s="629" t="s">
        <v>3</v>
      </c>
      <c r="B76" s="636" t="s">
        <v>1644</v>
      </c>
      <c r="C76" s="627">
        <v>10</v>
      </c>
      <c r="D76" s="627">
        <v>10</v>
      </c>
      <c r="E76" s="627">
        <v>2</v>
      </c>
      <c r="F76" s="626"/>
      <c r="G76" s="624">
        <v>1494</v>
      </c>
      <c r="H76" s="624">
        <f>SUM(I76:K76)</f>
        <v>23</v>
      </c>
      <c r="I76" s="624">
        <v>23</v>
      </c>
      <c r="J76" s="624"/>
      <c r="K76" s="624"/>
      <c r="L76" s="624"/>
      <c r="M76" s="624">
        <v>176</v>
      </c>
      <c r="N76" s="624">
        <f>G76+M76-H76-L76</f>
        <v>1647</v>
      </c>
      <c r="O76" s="631" t="s">
        <v>1643</v>
      </c>
      <c r="U76" s="618">
        <f>67+17+92</f>
        <v>176</v>
      </c>
      <c r="V76" s="624"/>
    </row>
    <row r="77" spans="1:22" s="644" customFormat="1" ht="354" customHeight="1">
      <c r="A77" s="635" t="s">
        <v>359</v>
      </c>
      <c r="B77" s="634" t="s">
        <v>437</v>
      </c>
      <c r="C77" s="633"/>
      <c r="D77" s="633"/>
      <c r="E77" s="633"/>
      <c r="F77" s="632"/>
      <c r="G77" s="630"/>
      <c r="H77" s="624">
        <f>SUM(I77:K77)</f>
        <v>0</v>
      </c>
      <c r="I77" s="630"/>
      <c r="J77" s="630"/>
      <c r="K77" s="630"/>
      <c r="L77" s="630"/>
      <c r="M77" s="630">
        <v>28211</v>
      </c>
      <c r="N77" s="630">
        <f>G77+M77-H77-L77</f>
        <v>28211</v>
      </c>
      <c r="O77" s="631" t="s">
        <v>1642</v>
      </c>
      <c r="P77" s="644">
        <f>6100+455+1100+1630+506+1808+770+3000+177</f>
        <v>15546</v>
      </c>
      <c r="R77" s="644">
        <f>117+93+495+675+250</f>
        <v>1630</v>
      </c>
      <c r="U77" s="618">
        <f>12685+287+2056+1683+600+1800+1100+7000+100+900</f>
        <v>28211</v>
      </c>
      <c r="V77" s="630"/>
    </row>
    <row r="78" spans="1:22" s="644" customFormat="1" ht="51" customHeight="1">
      <c r="A78" s="635" t="s">
        <v>295</v>
      </c>
      <c r="B78" s="634" t="s">
        <v>436</v>
      </c>
      <c r="C78" s="633">
        <f t="shared" ref="C78:N78" si="25">C79+C86+C82</f>
        <v>37</v>
      </c>
      <c r="D78" s="633">
        <f t="shared" si="25"/>
        <v>37</v>
      </c>
      <c r="E78" s="633">
        <f t="shared" si="25"/>
        <v>4</v>
      </c>
      <c r="F78" s="633">
        <f t="shared" si="25"/>
        <v>0</v>
      </c>
      <c r="G78" s="633">
        <f t="shared" si="25"/>
        <v>6458.7000000000007</v>
      </c>
      <c r="H78" s="633">
        <f t="shared" si="25"/>
        <v>84.7</v>
      </c>
      <c r="I78" s="633">
        <f t="shared" si="25"/>
        <v>84.7</v>
      </c>
      <c r="J78" s="633">
        <f t="shared" si="25"/>
        <v>0</v>
      </c>
      <c r="K78" s="633">
        <f t="shared" si="25"/>
        <v>0</v>
      </c>
      <c r="L78" s="633">
        <f t="shared" si="25"/>
        <v>0</v>
      </c>
      <c r="M78" s="633">
        <f t="shared" si="25"/>
        <v>20240.0000817</v>
      </c>
      <c r="N78" s="633">
        <f t="shared" si="25"/>
        <v>26614.0000817</v>
      </c>
      <c r="O78" s="703"/>
      <c r="U78" s="618"/>
      <c r="V78" s="633"/>
    </row>
    <row r="79" spans="1:22" ht="36" customHeight="1">
      <c r="A79" s="629" t="s">
        <v>379</v>
      </c>
      <c r="B79" s="636" t="s">
        <v>309</v>
      </c>
      <c r="C79" s="627">
        <f t="shared" ref="C79:I79" si="26">SUM(C80:C81)</f>
        <v>37</v>
      </c>
      <c r="D79" s="627">
        <f t="shared" si="26"/>
        <v>37</v>
      </c>
      <c r="E79" s="627">
        <f t="shared" si="26"/>
        <v>4</v>
      </c>
      <c r="F79" s="626">
        <f t="shared" si="26"/>
        <v>0</v>
      </c>
      <c r="G79" s="624">
        <f t="shared" si="26"/>
        <v>6458.7000000000007</v>
      </c>
      <c r="H79" s="624">
        <f t="shared" si="26"/>
        <v>84.7</v>
      </c>
      <c r="I79" s="624">
        <f t="shared" si="26"/>
        <v>84.7</v>
      </c>
      <c r="J79" s="624"/>
      <c r="K79" s="624">
        <f>SUM(K80:K81)</f>
        <v>0</v>
      </c>
      <c r="L79" s="624">
        <f>SUM(L80:L81)</f>
        <v>0</v>
      </c>
      <c r="M79" s="624">
        <f>SUM(M80:M81)</f>
        <v>914</v>
      </c>
      <c r="N79" s="624">
        <f>SUM(N80:N81)</f>
        <v>7288</v>
      </c>
      <c r="O79" s="703"/>
      <c r="V79" s="624"/>
    </row>
    <row r="80" spans="1:22" ht="110.25" customHeight="1">
      <c r="A80" s="629" t="s">
        <v>276</v>
      </c>
      <c r="B80" s="636" t="s">
        <v>435</v>
      </c>
      <c r="C80" s="627">
        <v>24</v>
      </c>
      <c r="D80" s="627">
        <v>24</v>
      </c>
      <c r="E80" s="627">
        <v>2</v>
      </c>
      <c r="F80" s="626"/>
      <c r="G80" s="624">
        <v>4346.8</v>
      </c>
      <c r="H80" s="624">
        <f>SUM(I80:K80)</f>
        <v>54.800000000000004</v>
      </c>
      <c r="I80" s="624">
        <v>54.800000000000004</v>
      </c>
      <c r="J80" s="624"/>
      <c r="K80" s="624"/>
      <c r="L80" s="624"/>
      <c r="M80" s="624">
        <v>520</v>
      </c>
      <c r="N80" s="624">
        <f>G80+M80-H80-L80</f>
        <v>4812</v>
      </c>
      <c r="O80" s="703" t="s">
        <v>1641</v>
      </c>
      <c r="P80" s="617">
        <f>43+50+19+15+30</f>
        <v>157</v>
      </c>
      <c r="U80" s="618">
        <f>98+65+85+19+15+203+35</f>
        <v>520</v>
      </c>
      <c r="V80" s="624"/>
    </row>
    <row r="81" spans="1:22" ht="131.25" customHeight="1">
      <c r="A81" s="629" t="s">
        <v>276</v>
      </c>
      <c r="B81" s="631" t="s">
        <v>434</v>
      </c>
      <c r="C81" s="627">
        <v>13</v>
      </c>
      <c r="D81" s="627">
        <v>13</v>
      </c>
      <c r="E81" s="627">
        <v>2</v>
      </c>
      <c r="F81" s="626"/>
      <c r="G81" s="624">
        <v>2111.9</v>
      </c>
      <c r="H81" s="624">
        <f>SUM(I81:K81)</f>
        <v>29.900000000000002</v>
      </c>
      <c r="I81" s="624">
        <v>29.900000000000002</v>
      </c>
      <c r="J81" s="624"/>
      <c r="K81" s="624"/>
      <c r="L81" s="624"/>
      <c r="M81" s="624">
        <v>394</v>
      </c>
      <c r="N81" s="624">
        <f>G81+M81-H81-L81</f>
        <v>2476</v>
      </c>
      <c r="O81" s="703" t="s">
        <v>1640</v>
      </c>
      <c r="P81" s="617">
        <f>20+49+71</f>
        <v>140</v>
      </c>
      <c r="U81" s="618">
        <f>70+30+50+60+114+50+20</f>
        <v>394</v>
      </c>
      <c r="V81" s="624"/>
    </row>
    <row r="82" spans="1:22" ht="111" customHeight="1">
      <c r="A82" s="629" t="s">
        <v>376</v>
      </c>
      <c r="B82" s="631" t="s">
        <v>1639</v>
      </c>
      <c r="C82" s="624">
        <f t="shared" ref="C82:N82" si="27">SUM(C83:C85)</f>
        <v>0</v>
      </c>
      <c r="D82" s="624">
        <f t="shared" si="27"/>
        <v>0</v>
      </c>
      <c r="E82" s="624">
        <f t="shared" si="27"/>
        <v>0</v>
      </c>
      <c r="F82" s="624">
        <f t="shared" si="27"/>
        <v>0</v>
      </c>
      <c r="G82" s="624">
        <f t="shared" si="27"/>
        <v>0</v>
      </c>
      <c r="H82" s="624">
        <f t="shared" si="27"/>
        <v>0</v>
      </c>
      <c r="I82" s="624">
        <f t="shared" si="27"/>
        <v>0</v>
      </c>
      <c r="J82" s="624">
        <f t="shared" si="27"/>
        <v>0</v>
      </c>
      <c r="K82" s="624">
        <f t="shared" si="27"/>
        <v>0</v>
      </c>
      <c r="L82" s="624">
        <f t="shared" si="27"/>
        <v>0</v>
      </c>
      <c r="M82" s="624">
        <f t="shared" si="27"/>
        <v>8936.0000817</v>
      </c>
      <c r="N82" s="624">
        <f t="shared" si="27"/>
        <v>8936.0000817</v>
      </c>
      <c r="O82" s="703" t="s">
        <v>1638</v>
      </c>
      <c r="V82" s="624"/>
    </row>
    <row r="83" spans="1:22" ht="114" customHeight="1">
      <c r="A83" s="629" t="s">
        <v>3</v>
      </c>
      <c r="B83" s="631" t="s">
        <v>1637</v>
      </c>
      <c r="C83" s="627"/>
      <c r="D83" s="627"/>
      <c r="E83" s="627"/>
      <c r="F83" s="626"/>
      <c r="G83" s="624"/>
      <c r="H83" s="624"/>
      <c r="I83" s="624"/>
      <c r="J83" s="624"/>
      <c r="K83" s="624"/>
      <c r="L83" s="624"/>
      <c r="M83" s="624">
        <v>5505.2000816999998</v>
      </c>
      <c r="N83" s="624">
        <f t="shared" ref="N83:N89" si="28">G83+M83-H83-L83</f>
        <v>5505.2000816999998</v>
      </c>
      <c r="O83" s="703" t="s">
        <v>1636</v>
      </c>
      <c r="U83" s="618">
        <f>2451+921+99.2+200+1834</f>
        <v>5505.2</v>
      </c>
      <c r="V83" s="624">
        <v>5505.2000816999998</v>
      </c>
    </row>
    <row r="84" spans="1:22" ht="51" customHeight="1">
      <c r="A84" s="629" t="s">
        <v>3</v>
      </c>
      <c r="B84" s="631" t="s">
        <v>435</v>
      </c>
      <c r="C84" s="627"/>
      <c r="D84" s="627"/>
      <c r="E84" s="627"/>
      <c r="F84" s="626"/>
      <c r="G84" s="624"/>
      <c r="H84" s="624"/>
      <c r="I84" s="624"/>
      <c r="J84" s="624"/>
      <c r="K84" s="624"/>
      <c r="L84" s="624"/>
      <c r="M84" s="624">
        <v>1343.1</v>
      </c>
      <c r="N84" s="624">
        <f t="shared" si="28"/>
        <v>1343.1</v>
      </c>
      <c r="O84" s="703" t="s">
        <v>1635</v>
      </c>
      <c r="U84" s="618">
        <f>750+393.1+200</f>
        <v>1343.1</v>
      </c>
      <c r="V84" s="624">
        <v>1343.1</v>
      </c>
    </row>
    <row r="85" spans="1:22" ht="90.75" customHeight="1">
      <c r="A85" s="629" t="s">
        <v>3</v>
      </c>
      <c r="B85" s="631" t="s">
        <v>434</v>
      </c>
      <c r="C85" s="627"/>
      <c r="D85" s="627"/>
      <c r="E85" s="627"/>
      <c r="F85" s="626"/>
      <c r="G85" s="624"/>
      <c r="H85" s="624"/>
      <c r="I85" s="624"/>
      <c r="J85" s="624"/>
      <c r="K85" s="624"/>
      <c r="L85" s="624"/>
      <c r="M85" s="624">
        <v>2087.6999999999998</v>
      </c>
      <c r="N85" s="624">
        <f t="shared" si="28"/>
        <v>2087.6999999999998</v>
      </c>
      <c r="O85" s="703" t="s">
        <v>1634</v>
      </c>
      <c r="U85" s="618">
        <f>300+1417.3+370.4</f>
        <v>2087.6999999999998</v>
      </c>
      <c r="V85" s="624">
        <v>2087.6999999999998</v>
      </c>
    </row>
    <row r="86" spans="1:22" ht="172.5" customHeight="1">
      <c r="A86" s="629" t="s">
        <v>1633</v>
      </c>
      <c r="B86" s="628" t="s">
        <v>433</v>
      </c>
      <c r="C86" s="627"/>
      <c r="D86" s="627"/>
      <c r="E86" s="627"/>
      <c r="F86" s="626"/>
      <c r="G86" s="624"/>
      <c r="H86" s="624">
        <f>SUM(I86:K86)</f>
        <v>0</v>
      </c>
      <c r="I86" s="624"/>
      <c r="J86" s="624"/>
      <c r="K86" s="624"/>
      <c r="L86" s="624"/>
      <c r="M86" s="624">
        <v>10390</v>
      </c>
      <c r="N86" s="624">
        <f t="shared" si="28"/>
        <v>10390</v>
      </c>
      <c r="O86" s="701" t="s">
        <v>1632</v>
      </c>
      <c r="P86" s="617">
        <f>77+715+3000+3000+360+138+180+15+130+218+1000</f>
        <v>8833</v>
      </c>
      <c r="U86" s="702">
        <f>950+3000+360+138+45+250+387+1000+4000+260</f>
        <v>10390</v>
      </c>
      <c r="V86" s="624"/>
    </row>
    <row r="87" spans="1:22" s="644" customFormat="1" ht="102" customHeight="1">
      <c r="A87" s="635" t="s">
        <v>291</v>
      </c>
      <c r="B87" s="634" t="s">
        <v>432</v>
      </c>
      <c r="C87" s="633"/>
      <c r="D87" s="633"/>
      <c r="E87" s="627"/>
      <c r="F87" s="626"/>
      <c r="G87" s="630"/>
      <c r="H87" s="624"/>
      <c r="I87" s="624"/>
      <c r="J87" s="624"/>
      <c r="K87" s="624"/>
      <c r="L87" s="624"/>
      <c r="M87" s="630">
        <v>17661</v>
      </c>
      <c r="N87" s="630">
        <f t="shared" si="28"/>
        <v>17661</v>
      </c>
      <c r="O87" s="701" t="s">
        <v>1631</v>
      </c>
      <c r="P87" s="644">
        <f>12000+3000+415+28555</f>
        <v>43970</v>
      </c>
      <c r="U87" s="618">
        <f>13000+420+4241</f>
        <v>17661</v>
      </c>
      <c r="V87" s="630"/>
    </row>
    <row r="88" spans="1:22" s="644" customFormat="1" ht="51" customHeight="1">
      <c r="A88" s="635" t="s">
        <v>351</v>
      </c>
      <c r="B88" s="634" t="s">
        <v>431</v>
      </c>
      <c r="C88" s="633"/>
      <c r="D88" s="633"/>
      <c r="E88" s="633"/>
      <c r="F88" s="632"/>
      <c r="G88" s="630"/>
      <c r="H88" s="630"/>
      <c r="I88" s="630"/>
      <c r="J88" s="630"/>
      <c r="K88" s="630"/>
      <c r="L88" s="630"/>
      <c r="M88" s="630">
        <v>566</v>
      </c>
      <c r="N88" s="630">
        <f t="shared" si="28"/>
        <v>566</v>
      </c>
      <c r="O88" s="625" t="s">
        <v>430</v>
      </c>
      <c r="U88" s="618">
        <f>566</f>
        <v>566</v>
      </c>
      <c r="V88" s="630"/>
    </row>
    <row r="89" spans="1:22" s="644" customFormat="1" ht="51" customHeight="1">
      <c r="A89" s="635" t="s">
        <v>429</v>
      </c>
      <c r="B89" s="634" t="s">
        <v>296</v>
      </c>
      <c r="C89" s="633"/>
      <c r="D89" s="633"/>
      <c r="E89" s="633"/>
      <c r="F89" s="632"/>
      <c r="G89" s="630"/>
      <c r="H89" s="630"/>
      <c r="I89" s="630"/>
      <c r="J89" s="630"/>
      <c r="K89" s="630"/>
      <c r="L89" s="630"/>
      <c r="M89" s="630">
        <v>74</v>
      </c>
      <c r="N89" s="630">
        <f t="shared" si="28"/>
        <v>74</v>
      </c>
      <c r="O89" s="625" t="s">
        <v>428</v>
      </c>
      <c r="U89" s="618">
        <v>74</v>
      </c>
      <c r="V89" s="630"/>
    </row>
    <row r="90" spans="1:22" s="644" customFormat="1" ht="94.5" customHeight="1">
      <c r="A90" s="635" t="s">
        <v>349</v>
      </c>
      <c r="B90" s="634" t="s">
        <v>1562</v>
      </c>
      <c r="C90" s="630">
        <f t="shared" ref="C90:N90" si="29">SUM(C91:C92)</f>
        <v>0</v>
      </c>
      <c r="D90" s="630">
        <f t="shared" si="29"/>
        <v>0</v>
      </c>
      <c r="E90" s="630">
        <f t="shared" si="29"/>
        <v>0</v>
      </c>
      <c r="F90" s="630">
        <f t="shared" si="29"/>
        <v>0</v>
      </c>
      <c r="G90" s="630">
        <f t="shared" si="29"/>
        <v>0</v>
      </c>
      <c r="H90" s="630">
        <f t="shared" si="29"/>
        <v>0</v>
      </c>
      <c r="I90" s="630">
        <f t="shared" si="29"/>
        <v>0</v>
      </c>
      <c r="J90" s="630">
        <f t="shared" si="29"/>
        <v>0</v>
      </c>
      <c r="K90" s="630">
        <f t="shared" si="29"/>
        <v>0</v>
      </c>
      <c r="L90" s="630">
        <f t="shared" si="29"/>
        <v>0</v>
      </c>
      <c r="M90" s="630">
        <f t="shared" si="29"/>
        <v>9000</v>
      </c>
      <c r="N90" s="630">
        <f t="shared" si="29"/>
        <v>9000</v>
      </c>
      <c r="O90" s="625"/>
      <c r="U90" s="618"/>
      <c r="V90" s="630"/>
    </row>
    <row r="91" spans="1:22" ht="75.75" customHeight="1">
      <c r="A91" s="629" t="s">
        <v>3</v>
      </c>
      <c r="B91" s="636" t="s">
        <v>446</v>
      </c>
      <c r="C91" s="627"/>
      <c r="D91" s="627"/>
      <c r="E91" s="627"/>
      <c r="F91" s="626"/>
      <c r="G91" s="624"/>
      <c r="H91" s="624"/>
      <c r="I91" s="624"/>
      <c r="J91" s="624"/>
      <c r="K91" s="624"/>
      <c r="L91" s="624"/>
      <c r="M91" s="624">
        <v>4000</v>
      </c>
      <c r="N91" s="624">
        <f>G91+M91-H91-L91</f>
        <v>4000</v>
      </c>
      <c r="O91" s="625" t="s">
        <v>1630</v>
      </c>
      <c r="U91" s="618">
        <v>4000</v>
      </c>
      <c r="V91" s="624"/>
    </row>
    <row r="92" spans="1:22" ht="51" customHeight="1">
      <c r="A92" s="629" t="s">
        <v>3</v>
      </c>
      <c r="B92" s="636" t="s">
        <v>444</v>
      </c>
      <c r="C92" s="627"/>
      <c r="D92" s="627"/>
      <c r="E92" s="627"/>
      <c r="F92" s="626"/>
      <c r="G92" s="624"/>
      <c r="H92" s="624"/>
      <c r="I92" s="624"/>
      <c r="J92" s="624"/>
      <c r="K92" s="624"/>
      <c r="L92" s="624"/>
      <c r="M92" s="624">
        <v>5000</v>
      </c>
      <c r="N92" s="624">
        <f>G92+M92-H92-L92</f>
        <v>5000</v>
      </c>
      <c r="O92" s="625" t="s">
        <v>1629</v>
      </c>
      <c r="U92" s="618">
        <v>5000</v>
      </c>
      <c r="V92" s="624"/>
    </row>
    <row r="93" spans="1:22" s="644" customFormat="1" ht="51" customHeight="1">
      <c r="A93" s="635" t="s">
        <v>348</v>
      </c>
      <c r="B93" s="634" t="s">
        <v>403</v>
      </c>
      <c r="C93" s="633"/>
      <c r="D93" s="633"/>
      <c r="E93" s="633"/>
      <c r="F93" s="632"/>
      <c r="G93" s="630"/>
      <c r="H93" s="630"/>
      <c r="I93" s="630"/>
      <c r="J93" s="630"/>
      <c r="K93" s="630"/>
      <c r="L93" s="630"/>
      <c r="M93" s="630">
        <v>30</v>
      </c>
      <c r="N93" s="630">
        <f>G93+M93-H93-L93</f>
        <v>30</v>
      </c>
      <c r="O93" s="625" t="s">
        <v>1628</v>
      </c>
      <c r="U93" s="618">
        <v>30</v>
      </c>
      <c r="V93" s="630"/>
    </row>
    <row r="94" spans="1:22" ht="51" customHeight="1">
      <c r="A94" s="700">
        <v>2</v>
      </c>
      <c r="B94" s="634" t="s">
        <v>427</v>
      </c>
      <c r="C94" s="656">
        <f t="shared" ref="C94:N94" si="30">C95+C97+C101+C102+C105</f>
        <v>172</v>
      </c>
      <c r="D94" s="656">
        <f t="shared" si="30"/>
        <v>127</v>
      </c>
      <c r="E94" s="656">
        <f t="shared" si="30"/>
        <v>7</v>
      </c>
      <c r="F94" s="656">
        <f t="shared" si="30"/>
        <v>2271</v>
      </c>
      <c r="G94" s="656">
        <f t="shared" si="30"/>
        <v>24131.599999999999</v>
      </c>
      <c r="H94" s="656">
        <f t="shared" si="30"/>
        <v>616.6</v>
      </c>
      <c r="I94" s="656">
        <f t="shared" si="30"/>
        <v>427.6</v>
      </c>
      <c r="J94" s="656">
        <f t="shared" si="30"/>
        <v>0</v>
      </c>
      <c r="K94" s="656">
        <f t="shared" si="30"/>
        <v>189</v>
      </c>
      <c r="L94" s="656">
        <f t="shared" si="30"/>
        <v>44</v>
      </c>
      <c r="M94" s="656">
        <f t="shared" si="30"/>
        <v>23356</v>
      </c>
      <c r="N94" s="656">
        <f t="shared" si="30"/>
        <v>46827</v>
      </c>
      <c r="O94" s="657"/>
      <c r="P94" s="640">
        <f>G94+M94-H94-L94-N94</f>
        <v>0</v>
      </c>
      <c r="V94" s="656"/>
    </row>
    <row r="95" spans="1:22" s="644" customFormat="1" ht="36" customHeight="1">
      <c r="A95" s="635" t="s">
        <v>299</v>
      </c>
      <c r="B95" s="634" t="s">
        <v>320</v>
      </c>
      <c r="C95" s="633">
        <f t="shared" ref="C95:N95" si="31">SUM(C96:C96)</f>
        <v>44</v>
      </c>
      <c r="D95" s="633">
        <f t="shared" si="31"/>
        <v>44</v>
      </c>
      <c r="E95" s="633">
        <f t="shared" si="31"/>
        <v>7</v>
      </c>
      <c r="F95" s="632">
        <f t="shared" si="31"/>
        <v>761</v>
      </c>
      <c r="G95" s="630">
        <f t="shared" si="31"/>
        <v>9797.7999999999993</v>
      </c>
      <c r="H95" s="630">
        <f t="shared" si="31"/>
        <v>277.8</v>
      </c>
      <c r="I95" s="630">
        <f t="shared" si="31"/>
        <v>152.80000000000001</v>
      </c>
      <c r="J95" s="630">
        <f t="shared" si="31"/>
        <v>0</v>
      </c>
      <c r="K95" s="630">
        <f t="shared" si="31"/>
        <v>125</v>
      </c>
      <c r="L95" s="630">
        <f t="shared" si="31"/>
        <v>0</v>
      </c>
      <c r="M95" s="630">
        <f t="shared" si="31"/>
        <v>5457</v>
      </c>
      <c r="N95" s="630">
        <f t="shared" si="31"/>
        <v>14977</v>
      </c>
      <c r="O95" s="699"/>
      <c r="U95" s="618"/>
      <c r="V95" s="630"/>
    </row>
    <row r="96" spans="1:22" ht="173.25" customHeight="1">
      <c r="A96" s="629" t="s">
        <v>276</v>
      </c>
      <c r="B96" s="636" t="s">
        <v>426</v>
      </c>
      <c r="C96" s="627">
        <v>44</v>
      </c>
      <c r="D96" s="627">
        <v>44</v>
      </c>
      <c r="E96" s="627">
        <v>7</v>
      </c>
      <c r="F96" s="626">
        <v>761</v>
      </c>
      <c r="G96" s="624">
        <v>9797.7999999999993</v>
      </c>
      <c r="H96" s="624">
        <f>SUM(I96:K96)</f>
        <v>277.8</v>
      </c>
      <c r="I96" s="624">
        <v>152.80000000000001</v>
      </c>
      <c r="J96" s="624"/>
      <c r="K96" s="624">
        <v>125</v>
      </c>
      <c r="L96" s="624"/>
      <c r="M96" s="624">
        <v>5457</v>
      </c>
      <c r="N96" s="680">
        <f>G96+M96-H96-L96</f>
        <v>14977</v>
      </c>
      <c r="O96" s="631" t="s">
        <v>1627</v>
      </c>
      <c r="P96" s="617">
        <f>382+50+20+70+20+15+200+80+50+1500+1972</f>
        <v>4359</v>
      </c>
      <c r="U96" s="618">
        <f>843+81+29+120+15+300+80+95+800+2000+22+500+572</f>
        <v>5457</v>
      </c>
      <c r="V96" s="624"/>
    </row>
    <row r="97" spans="1:22" s="644" customFormat="1" ht="51" customHeight="1">
      <c r="A97" s="635" t="s">
        <v>297</v>
      </c>
      <c r="B97" s="634" t="s">
        <v>425</v>
      </c>
      <c r="C97" s="633">
        <f t="shared" ref="C97:N97" si="32">C98</f>
        <v>128</v>
      </c>
      <c r="D97" s="633">
        <f t="shared" si="32"/>
        <v>83</v>
      </c>
      <c r="E97" s="633">
        <f t="shared" si="32"/>
        <v>0</v>
      </c>
      <c r="F97" s="633">
        <f t="shared" si="32"/>
        <v>1510</v>
      </c>
      <c r="G97" s="633">
        <f t="shared" si="32"/>
        <v>14333.8</v>
      </c>
      <c r="H97" s="633">
        <f t="shared" si="32"/>
        <v>338.8</v>
      </c>
      <c r="I97" s="633">
        <f t="shared" si="32"/>
        <v>274.8</v>
      </c>
      <c r="J97" s="633">
        <f t="shared" si="32"/>
        <v>0</v>
      </c>
      <c r="K97" s="633">
        <f t="shared" si="32"/>
        <v>64</v>
      </c>
      <c r="L97" s="633">
        <f t="shared" si="32"/>
        <v>44</v>
      </c>
      <c r="M97" s="633">
        <f t="shared" si="32"/>
        <v>9024</v>
      </c>
      <c r="N97" s="633">
        <f t="shared" si="32"/>
        <v>22975</v>
      </c>
      <c r="O97" s="698"/>
      <c r="U97" s="618"/>
      <c r="V97" s="630"/>
    </row>
    <row r="98" spans="1:22" s="644" customFormat="1" ht="36" customHeight="1">
      <c r="A98" s="635"/>
      <c r="B98" s="634" t="s">
        <v>309</v>
      </c>
      <c r="C98" s="633">
        <f t="shared" ref="C98:N98" si="33">SUM(C99:C100)</f>
        <v>128</v>
      </c>
      <c r="D98" s="633">
        <f t="shared" si="33"/>
        <v>83</v>
      </c>
      <c r="E98" s="633">
        <f t="shared" si="33"/>
        <v>0</v>
      </c>
      <c r="F98" s="632">
        <f t="shared" si="33"/>
        <v>1510</v>
      </c>
      <c r="G98" s="630">
        <f t="shared" si="33"/>
        <v>14333.8</v>
      </c>
      <c r="H98" s="630">
        <f t="shared" si="33"/>
        <v>338.8</v>
      </c>
      <c r="I98" s="630">
        <f t="shared" si="33"/>
        <v>274.8</v>
      </c>
      <c r="J98" s="630">
        <f t="shared" si="33"/>
        <v>0</v>
      </c>
      <c r="K98" s="630">
        <f t="shared" si="33"/>
        <v>64</v>
      </c>
      <c r="L98" s="630">
        <f t="shared" si="33"/>
        <v>44</v>
      </c>
      <c r="M98" s="630">
        <f t="shared" si="33"/>
        <v>9024</v>
      </c>
      <c r="N98" s="630">
        <f t="shared" si="33"/>
        <v>22975</v>
      </c>
      <c r="O98" s="646"/>
      <c r="U98" s="618"/>
      <c r="V98" s="630"/>
    </row>
    <row r="99" spans="1:22" ht="191.25" customHeight="1">
      <c r="A99" s="629" t="s">
        <v>276</v>
      </c>
      <c r="B99" s="636" t="s">
        <v>1626</v>
      </c>
      <c r="C99" s="627">
        <v>104</v>
      </c>
      <c r="D99" s="627">
        <v>71</v>
      </c>
      <c r="E99" s="627">
        <v>0</v>
      </c>
      <c r="F99" s="626">
        <v>1510</v>
      </c>
      <c r="G99" s="624">
        <v>12041</v>
      </c>
      <c r="H99" s="624">
        <f>SUM(I99:K99)</f>
        <v>234</v>
      </c>
      <c r="I99" s="624">
        <v>220</v>
      </c>
      <c r="J99" s="624"/>
      <c r="K99" s="624">
        <v>14</v>
      </c>
      <c r="L99" s="624">
        <v>7</v>
      </c>
      <c r="M99" s="624">
        <v>7325</v>
      </c>
      <c r="N99" s="624">
        <f>G99+M99-H99-L99</f>
        <v>19125</v>
      </c>
      <c r="O99" s="697" t="s">
        <v>1625</v>
      </c>
      <c r="P99" s="617">
        <f>152+50+200+30+10+155+150+145+50</f>
        <v>942</v>
      </c>
      <c r="U99" s="618">
        <f>234+300+1000+25+50+1000+4000+716</f>
        <v>7325</v>
      </c>
      <c r="V99" s="624"/>
    </row>
    <row r="100" spans="1:22" ht="95.25" customHeight="1">
      <c r="A100" s="629" t="s">
        <v>276</v>
      </c>
      <c r="B100" s="636" t="s">
        <v>424</v>
      </c>
      <c r="C100" s="627">
        <v>24</v>
      </c>
      <c r="D100" s="627">
        <v>12</v>
      </c>
      <c r="E100" s="627">
        <v>0</v>
      </c>
      <c r="F100" s="626">
        <v>0</v>
      </c>
      <c r="G100" s="624">
        <v>2292.8000000000002</v>
      </c>
      <c r="H100" s="624">
        <f>SUM(I100:K100)</f>
        <v>104.80000000000001</v>
      </c>
      <c r="I100" s="624">
        <v>54.800000000000004</v>
      </c>
      <c r="J100" s="624"/>
      <c r="K100" s="624">
        <v>50</v>
      </c>
      <c r="L100" s="624">
        <v>37</v>
      </c>
      <c r="M100" s="624">
        <v>1699</v>
      </c>
      <c r="N100" s="680">
        <f>G100+M100-H100-L100</f>
        <v>3850</v>
      </c>
      <c r="O100" s="631" t="s">
        <v>1624</v>
      </c>
      <c r="P100" s="617">
        <f>26+460</f>
        <v>486</v>
      </c>
      <c r="U100" s="618">
        <f>29+400+196+947+127</f>
        <v>1699</v>
      </c>
      <c r="V100" s="624"/>
    </row>
    <row r="101" spans="1:22" s="644" customFormat="1" ht="315" customHeight="1">
      <c r="A101" s="635" t="s">
        <v>295</v>
      </c>
      <c r="B101" s="634" t="s">
        <v>392</v>
      </c>
      <c r="C101" s="633"/>
      <c r="D101" s="633"/>
      <c r="E101" s="633"/>
      <c r="F101" s="632"/>
      <c r="G101" s="630"/>
      <c r="H101" s="630">
        <f>SUM(I101:K101)</f>
        <v>0</v>
      </c>
      <c r="I101" s="630"/>
      <c r="J101" s="630"/>
      <c r="K101" s="630"/>
      <c r="L101" s="630"/>
      <c r="M101" s="630">
        <v>2246</v>
      </c>
      <c r="N101" s="696">
        <f>G101+M101-H101-L101</f>
        <v>2246</v>
      </c>
      <c r="O101" s="631" t="s">
        <v>1623</v>
      </c>
      <c r="P101" s="644">
        <f>947+200+150+150+150+150+30+50+1337</f>
        <v>3164</v>
      </c>
      <c r="U101" s="618">
        <f>100+300+150+150+175+175+50+200+250+330+84+282</f>
        <v>2246</v>
      </c>
      <c r="V101" s="630"/>
    </row>
    <row r="102" spans="1:22" s="644" customFormat="1" ht="51" customHeight="1">
      <c r="A102" s="635" t="s">
        <v>291</v>
      </c>
      <c r="B102" s="634" t="s">
        <v>318</v>
      </c>
      <c r="C102" s="633"/>
      <c r="D102" s="633"/>
      <c r="E102" s="633"/>
      <c r="F102" s="632"/>
      <c r="G102" s="630"/>
      <c r="H102" s="630"/>
      <c r="I102" s="630"/>
      <c r="J102" s="630"/>
      <c r="K102" s="630"/>
      <c r="L102" s="630"/>
      <c r="M102" s="630">
        <f>SUM(M103:M104)</f>
        <v>6500</v>
      </c>
      <c r="N102" s="630">
        <f>SUM(N103:N104)</f>
        <v>6500</v>
      </c>
      <c r="O102" s="695"/>
      <c r="P102" s="644">
        <f>239+4000</f>
        <v>4239</v>
      </c>
      <c r="U102" s="618"/>
      <c r="V102" s="630"/>
    </row>
    <row r="103" spans="1:22" s="644" customFormat="1" ht="51" customHeight="1">
      <c r="A103" s="635"/>
      <c r="B103" s="628" t="s">
        <v>1622</v>
      </c>
      <c r="C103" s="633"/>
      <c r="D103" s="633"/>
      <c r="E103" s="633"/>
      <c r="F103" s="632"/>
      <c r="G103" s="630"/>
      <c r="H103" s="630"/>
      <c r="I103" s="630"/>
      <c r="J103" s="630"/>
      <c r="K103" s="630"/>
      <c r="L103" s="630"/>
      <c r="M103" s="624">
        <v>2500</v>
      </c>
      <c r="N103" s="624">
        <f>G103+M103-H103-L103</f>
        <v>2500</v>
      </c>
      <c r="O103" s="694" t="s">
        <v>1621</v>
      </c>
      <c r="P103" s="644">
        <v>1472</v>
      </c>
      <c r="U103" s="618">
        <v>2500</v>
      </c>
      <c r="V103" s="624"/>
    </row>
    <row r="104" spans="1:22" s="644" customFormat="1" ht="75.75" customHeight="1">
      <c r="A104" s="635"/>
      <c r="B104" s="628" t="s">
        <v>316</v>
      </c>
      <c r="C104" s="633"/>
      <c r="D104" s="633"/>
      <c r="E104" s="633"/>
      <c r="F104" s="632"/>
      <c r="G104" s="630"/>
      <c r="H104" s="630"/>
      <c r="I104" s="630"/>
      <c r="J104" s="630"/>
      <c r="K104" s="630"/>
      <c r="L104" s="630"/>
      <c r="M104" s="624">
        <v>4000</v>
      </c>
      <c r="N104" s="624">
        <f>G104+M104-H104-L104</f>
        <v>4000</v>
      </c>
      <c r="O104" s="694" t="s">
        <v>1620</v>
      </c>
      <c r="U104" s="618">
        <v>4000</v>
      </c>
      <c r="V104" s="624"/>
    </row>
    <row r="105" spans="1:22" s="644" customFormat="1" ht="51" customHeight="1">
      <c r="A105" s="635" t="s">
        <v>429</v>
      </c>
      <c r="B105" s="634" t="s">
        <v>403</v>
      </c>
      <c r="C105" s="633"/>
      <c r="D105" s="633"/>
      <c r="E105" s="633"/>
      <c r="F105" s="632"/>
      <c r="G105" s="630"/>
      <c r="H105" s="630"/>
      <c r="I105" s="630"/>
      <c r="J105" s="630"/>
      <c r="K105" s="630"/>
      <c r="L105" s="630"/>
      <c r="M105" s="630">
        <v>129</v>
      </c>
      <c r="N105" s="630">
        <f>G105+M105-H105-L105</f>
        <v>129</v>
      </c>
      <c r="O105" s="625" t="s">
        <v>1619</v>
      </c>
      <c r="U105" s="618">
        <v>129</v>
      </c>
      <c r="V105" s="630"/>
    </row>
    <row r="106" spans="1:22" ht="51" customHeight="1">
      <c r="A106" s="635">
        <v>3</v>
      </c>
      <c r="B106" s="634" t="s">
        <v>524</v>
      </c>
      <c r="C106" s="633">
        <f t="shared" ref="C106:N106" si="34">C107+C111</f>
        <v>86</v>
      </c>
      <c r="D106" s="633">
        <f t="shared" si="34"/>
        <v>86</v>
      </c>
      <c r="E106" s="633">
        <f t="shared" si="34"/>
        <v>16</v>
      </c>
      <c r="F106" s="632">
        <f t="shared" si="34"/>
        <v>6320</v>
      </c>
      <c r="G106" s="630">
        <f t="shared" si="34"/>
        <v>45799.1</v>
      </c>
      <c r="H106" s="630">
        <f t="shared" si="34"/>
        <v>557.90000000000009</v>
      </c>
      <c r="I106" s="630">
        <f t="shared" si="34"/>
        <v>251.90000000000003</v>
      </c>
      <c r="J106" s="630">
        <f t="shared" si="34"/>
        <v>0</v>
      </c>
      <c r="K106" s="630">
        <f t="shared" si="34"/>
        <v>306</v>
      </c>
      <c r="L106" s="630">
        <f t="shared" si="34"/>
        <v>0</v>
      </c>
      <c r="M106" s="630">
        <f t="shared" si="34"/>
        <v>97801.8</v>
      </c>
      <c r="N106" s="630">
        <f t="shared" si="34"/>
        <v>143043</v>
      </c>
      <c r="O106" s="657"/>
      <c r="P106" s="640">
        <f>G106+M106-H106-L106-N106</f>
        <v>0</v>
      </c>
      <c r="V106" s="630"/>
    </row>
    <row r="107" spans="1:22" s="644" customFormat="1" ht="36" customHeight="1">
      <c r="A107" s="635" t="s">
        <v>299</v>
      </c>
      <c r="B107" s="634" t="s">
        <v>320</v>
      </c>
      <c r="C107" s="633">
        <f t="shared" ref="C107:N107" si="35">SUM(C108:C110)</f>
        <v>49</v>
      </c>
      <c r="D107" s="633">
        <f t="shared" si="35"/>
        <v>49</v>
      </c>
      <c r="E107" s="633">
        <f t="shared" si="35"/>
        <v>16</v>
      </c>
      <c r="F107" s="632">
        <f t="shared" si="35"/>
        <v>6320</v>
      </c>
      <c r="G107" s="630">
        <f t="shared" si="35"/>
        <v>11245.199999999999</v>
      </c>
      <c r="H107" s="630">
        <f t="shared" si="35"/>
        <v>474.20000000000005</v>
      </c>
      <c r="I107" s="630">
        <f t="shared" si="35"/>
        <v>168.20000000000002</v>
      </c>
      <c r="J107" s="630">
        <f t="shared" si="35"/>
        <v>0</v>
      </c>
      <c r="K107" s="630">
        <f t="shared" si="35"/>
        <v>306</v>
      </c>
      <c r="L107" s="630">
        <f t="shared" si="35"/>
        <v>0</v>
      </c>
      <c r="M107" s="630">
        <f t="shared" si="35"/>
        <v>5213</v>
      </c>
      <c r="N107" s="630">
        <f t="shared" si="35"/>
        <v>15984</v>
      </c>
      <c r="O107" s="646"/>
      <c r="U107" s="618"/>
      <c r="V107" s="630"/>
    </row>
    <row r="108" spans="1:22" ht="135.75" customHeight="1">
      <c r="A108" s="629" t="s">
        <v>276</v>
      </c>
      <c r="B108" s="636" t="s">
        <v>421</v>
      </c>
      <c r="C108" s="627">
        <v>37</v>
      </c>
      <c r="D108" s="627">
        <v>37</v>
      </c>
      <c r="E108" s="627">
        <v>6</v>
      </c>
      <c r="F108" s="626">
        <v>6320</v>
      </c>
      <c r="G108" s="624">
        <v>8338.7999999999993</v>
      </c>
      <c r="H108" s="624">
        <f>SUM(I108:K108)</f>
        <v>435.8</v>
      </c>
      <c r="I108" s="624">
        <v>129.80000000000001</v>
      </c>
      <c r="J108" s="624"/>
      <c r="K108" s="624">
        <v>306</v>
      </c>
      <c r="L108" s="624"/>
      <c r="M108" s="624">
        <v>3685</v>
      </c>
      <c r="N108" s="624">
        <f>G108+M108-H108-L108</f>
        <v>11588</v>
      </c>
      <c r="O108" s="694" t="s">
        <v>1618</v>
      </c>
      <c r="P108" s="617">
        <f>530+40+25+1730+440+50+40+40</f>
        <v>2895</v>
      </c>
      <c r="U108" s="618">
        <f>706+50+25+40+1830+451+60+50+473</f>
        <v>3685</v>
      </c>
      <c r="V108" s="624"/>
    </row>
    <row r="109" spans="1:22" ht="75.75" customHeight="1">
      <c r="A109" s="629" t="s">
        <v>276</v>
      </c>
      <c r="B109" s="636" t="s">
        <v>418</v>
      </c>
      <c r="C109" s="627">
        <v>8</v>
      </c>
      <c r="D109" s="627">
        <v>8</v>
      </c>
      <c r="E109" s="627">
        <v>9</v>
      </c>
      <c r="F109" s="626"/>
      <c r="G109" s="624">
        <v>1958.6000000000001</v>
      </c>
      <c r="H109" s="624">
        <f>SUM(I109:K109)</f>
        <v>25.6</v>
      </c>
      <c r="I109" s="624">
        <v>25.6</v>
      </c>
      <c r="J109" s="624"/>
      <c r="K109" s="624"/>
      <c r="L109" s="624"/>
      <c r="M109" s="624">
        <v>1284</v>
      </c>
      <c r="N109" s="624">
        <f>G109+M109-H109-L109</f>
        <v>3217.0000000000005</v>
      </c>
      <c r="O109" s="693" t="s">
        <v>1617</v>
      </c>
      <c r="P109" s="617">
        <f>619+10+60+60</f>
        <v>749</v>
      </c>
      <c r="U109" s="618">
        <f>1093+26+10+155</f>
        <v>1284</v>
      </c>
      <c r="V109" s="624"/>
    </row>
    <row r="110" spans="1:22" ht="75.75" customHeight="1">
      <c r="A110" s="629" t="s">
        <v>276</v>
      </c>
      <c r="B110" s="636" t="s">
        <v>420</v>
      </c>
      <c r="C110" s="627">
        <v>4</v>
      </c>
      <c r="D110" s="627">
        <v>4</v>
      </c>
      <c r="E110" s="627">
        <v>1</v>
      </c>
      <c r="F110" s="626"/>
      <c r="G110" s="624">
        <v>947.80000000000007</v>
      </c>
      <c r="H110" s="624">
        <f>SUM(I110:K110)</f>
        <v>12.8</v>
      </c>
      <c r="I110" s="624">
        <v>12.8</v>
      </c>
      <c r="J110" s="624"/>
      <c r="K110" s="624"/>
      <c r="L110" s="624"/>
      <c r="M110" s="624">
        <v>244</v>
      </c>
      <c r="N110" s="624">
        <f>G110+M110-H110-L110</f>
        <v>1179.0000000000002</v>
      </c>
      <c r="O110" s="693" t="s">
        <v>1616</v>
      </c>
      <c r="P110" s="617">
        <f>137+5+15</f>
        <v>157</v>
      </c>
      <c r="U110" s="618">
        <f>165+5+15+59</f>
        <v>244</v>
      </c>
      <c r="V110" s="624"/>
    </row>
    <row r="111" spans="1:22" s="644" customFormat="1" ht="51" customHeight="1">
      <c r="A111" s="635" t="s">
        <v>297</v>
      </c>
      <c r="B111" s="634" t="s">
        <v>1615</v>
      </c>
      <c r="C111" s="633">
        <f t="shared" ref="C111:N111" si="36">C112+C115+C120</f>
        <v>37</v>
      </c>
      <c r="D111" s="633">
        <f t="shared" si="36"/>
        <v>37</v>
      </c>
      <c r="E111" s="633">
        <f t="shared" si="36"/>
        <v>0</v>
      </c>
      <c r="F111" s="633">
        <f t="shared" si="36"/>
        <v>0</v>
      </c>
      <c r="G111" s="633">
        <f t="shared" si="36"/>
        <v>34553.9</v>
      </c>
      <c r="H111" s="633">
        <f t="shared" si="36"/>
        <v>83.700000000000017</v>
      </c>
      <c r="I111" s="633">
        <f t="shared" si="36"/>
        <v>83.700000000000017</v>
      </c>
      <c r="J111" s="633">
        <f t="shared" si="36"/>
        <v>0</v>
      </c>
      <c r="K111" s="633">
        <f t="shared" si="36"/>
        <v>0</v>
      </c>
      <c r="L111" s="633">
        <f t="shared" si="36"/>
        <v>0</v>
      </c>
      <c r="M111" s="633">
        <f t="shared" si="36"/>
        <v>92588.800000000003</v>
      </c>
      <c r="N111" s="633">
        <f t="shared" si="36"/>
        <v>127059</v>
      </c>
      <c r="O111" s="646"/>
      <c r="U111" s="618"/>
      <c r="V111" s="630"/>
    </row>
    <row r="112" spans="1:22" s="644" customFormat="1" ht="36" customHeight="1">
      <c r="A112" s="635" t="s">
        <v>276</v>
      </c>
      <c r="B112" s="634" t="s">
        <v>419</v>
      </c>
      <c r="C112" s="633">
        <f t="shared" ref="C112:N112" si="37">C113+C114</f>
        <v>37</v>
      </c>
      <c r="D112" s="633">
        <f t="shared" si="37"/>
        <v>37</v>
      </c>
      <c r="E112" s="633">
        <f t="shared" si="37"/>
        <v>0</v>
      </c>
      <c r="F112" s="633">
        <f t="shared" si="37"/>
        <v>0</v>
      </c>
      <c r="G112" s="633">
        <f t="shared" si="37"/>
        <v>5665.7000000000016</v>
      </c>
      <c r="H112" s="633">
        <f t="shared" si="37"/>
        <v>83.700000000000017</v>
      </c>
      <c r="I112" s="633">
        <f t="shared" si="37"/>
        <v>83.700000000000017</v>
      </c>
      <c r="J112" s="633">
        <f t="shared" si="37"/>
        <v>0</v>
      </c>
      <c r="K112" s="633">
        <f t="shared" si="37"/>
        <v>0</v>
      </c>
      <c r="L112" s="633">
        <f t="shared" si="37"/>
        <v>0</v>
      </c>
      <c r="M112" s="633">
        <f t="shared" si="37"/>
        <v>1596.0000000000036</v>
      </c>
      <c r="N112" s="633">
        <f t="shared" si="37"/>
        <v>7178.0000000000055</v>
      </c>
      <c r="O112" s="646"/>
      <c r="U112" s="645"/>
      <c r="V112" s="630"/>
    </row>
    <row r="113" spans="1:22" ht="51" customHeight="1">
      <c r="A113" s="629" t="s">
        <v>60</v>
      </c>
      <c r="B113" s="636" t="s">
        <v>421</v>
      </c>
      <c r="C113" s="627">
        <v>3</v>
      </c>
      <c r="D113" s="627">
        <v>3</v>
      </c>
      <c r="E113" s="627">
        <v>0</v>
      </c>
      <c r="F113" s="626"/>
      <c r="G113" s="624">
        <v>440.90000000000146</v>
      </c>
      <c r="H113" s="624">
        <f>I113+K113</f>
        <v>6.9</v>
      </c>
      <c r="I113" s="624">
        <v>6.9</v>
      </c>
      <c r="J113" s="624"/>
      <c r="K113" s="624"/>
      <c r="L113" s="624"/>
      <c r="M113" s="624">
        <v>28.000000000003638</v>
      </c>
      <c r="N113" s="624">
        <f>G113+M113-H113-L113</f>
        <v>462.00000000000512</v>
      </c>
      <c r="O113" s="631" t="s">
        <v>1614</v>
      </c>
      <c r="U113" s="618">
        <f>28+30000</f>
        <v>30028</v>
      </c>
      <c r="V113" s="624"/>
    </row>
    <row r="114" spans="1:22" s="644" customFormat="1" ht="51" customHeight="1">
      <c r="A114" s="635" t="s">
        <v>60</v>
      </c>
      <c r="B114" s="631" t="s">
        <v>418</v>
      </c>
      <c r="C114" s="627">
        <v>34</v>
      </c>
      <c r="D114" s="627">
        <v>34</v>
      </c>
      <c r="E114" s="627">
        <v>0</v>
      </c>
      <c r="F114" s="650"/>
      <c r="G114" s="649">
        <v>5224.8</v>
      </c>
      <c r="H114" s="624">
        <f>I114+K114</f>
        <v>76.800000000000011</v>
      </c>
      <c r="I114" s="649">
        <v>76.800000000000011</v>
      </c>
      <c r="J114" s="649"/>
      <c r="K114" s="649"/>
      <c r="L114" s="649"/>
      <c r="M114" s="649">
        <v>1568</v>
      </c>
      <c r="N114" s="624">
        <f>G114+M114-H114-L114</f>
        <v>6716</v>
      </c>
      <c r="O114" s="631" t="s">
        <v>1613</v>
      </c>
      <c r="P114" s="644">
        <f>35+147+1056</f>
        <v>1238</v>
      </c>
      <c r="U114" s="618">
        <f>35+1205+328</f>
        <v>1568</v>
      </c>
      <c r="V114" s="649"/>
    </row>
    <row r="115" spans="1:22" s="644" customFormat="1" ht="51" customHeight="1">
      <c r="A115" s="635" t="s">
        <v>276</v>
      </c>
      <c r="B115" s="634" t="s">
        <v>417</v>
      </c>
      <c r="C115" s="633"/>
      <c r="D115" s="633"/>
      <c r="E115" s="633"/>
      <c r="F115" s="632"/>
      <c r="G115" s="630">
        <f t="shared" ref="G115:N115" si="38">SUM(G116:G119)</f>
        <v>28888.2</v>
      </c>
      <c r="H115" s="630">
        <f t="shared" si="38"/>
        <v>0</v>
      </c>
      <c r="I115" s="630">
        <f t="shared" si="38"/>
        <v>0</v>
      </c>
      <c r="J115" s="630">
        <f t="shared" si="38"/>
        <v>0</v>
      </c>
      <c r="K115" s="630">
        <f t="shared" si="38"/>
        <v>0</v>
      </c>
      <c r="L115" s="630">
        <f t="shared" si="38"/>
        <v>0</v>
      </c>
      <c r="M115" s="630">
        <f t="shared" si="38"/>
        <v>30130.799999999999</v>
      </c>
      <c r="N115" s="630">
        <f t="shared" si="38"/>
        <v>59019</v>
      </c>
      <c r="O115" s="646"/>
      <c r="U115" s="645"/>
      <c r="V115" s="630"/>
    </row>
    <row r="116" spans="1:22" ht="75.75" customHeight="1">
      <c r="A116" s="629" t="s">
        <v>60</v>
      </c>
      <c r="B116" s="631" t="s">
        <v>416</v>
      </c>
      <c r="C116" s="627" t="s">
        <v>1794</v>
      </c>
      <c r="D116" s="627"/>
      <c r="E116" s="627"/>
      <c r="F116" s="626"/>
      <c r="G116" s="624">
        <v>25099.200000000001</v>
      </c>
      <c r="H116" s="624"/>
      <c r="I116" s="624"/>
      <c r="J116" s="624"/>
      <c r="K116" s="624"/>
      <c r="L116" s="624"/>
      <c r="M116" s="624"/>
      <c r="N116" s="624">
        <f>G116+M116-H116-L116</f>
        <v>25099.200000000001</v>
      </c>
      <c r="O116" s="693"/>
      <c r="V116" s="624"/>
    </row>
    <row r="117" spans="1:22" ht="51" customHeight="1">
      <c r="A117" s="629" t="s">
        <v>60</v>
      </c>
      <c r="B117" s="631" t="s">
        <v>1612</v>
      </c>
      <c r="C117" s="627"/>
      <c r="D117" s="627"/>
      <c r="E117" s="627"/>
      <c r="F117" s="626"/>
      <c r="G117" s="624"/>
      <c r="H117" s="624"/>
      <c r="I117" s="624"/>
      <c r="J117" s="624"/>
      <c r="K117" s="624"/>
      <c r="L117" s="624"/>
      <c r="M117" s="624">
        <v>30000</v>
      </c>
      <c r="N117" s="624">
        <f>G117+M117-H117-L117</f>
        <v>30000</v>
      </c>
      <c r="O117" s="693"/>
      <c r="V117" s="624"/>
    </row>
    <row r="118" spans="1:22" ht="75.75" customHeight="1">
      <c r="A118" s="629" t="s">
        <v>60</v>
      </c>
      <c r="B118" s="631" t="s">
        <v>415</v>
      </c>
      <c r="C118" s="627" t="s">
        <v>1396</v>
      </c>
      <c r="D118" s="627"/>
      <c r="E118" s="627"/>
      <c r="F118" s="626"/>
      <c r="G118" s="624">
        <v>3789</v>
      </c>
      <c r="H118" s="624"/>
      <c r="I118" s="624"/>
      <c r="J118" s="624"/>
      <c r="K118" s="624"/>
      <c r="L118" s="624"/>
      <c r="M118" s="624"/>
      <c r="N118" s="624">
        <f>G118+M118-H118-L118</f>
        <v>3789</v>
      </c>
      <c r="O118" s="693"/>
      <c r="V118" s="624"/>
    </row>
    <row r="119" spans="1:22" ht="75.75" customHeight="1">
      <c r="A119" s="629" t="s">
        <v>60</v>
      </c>
      <c r="B119" s="631" t="s">
        <v>412</v>
      </c>
      <c r="C119" s="627"/>
      <c r="D119" s="627"/>
      <c r="E119" s="627"/>
      <c r="F119" s="626"/>
      <c r="G119" s="624"/>
      <c r="H119" s="624"/>
      <c r="I119" s="624"/>
      <c r="J119" s="624"/>
      <c r="K119" s="624"/>
      <c r="L119" s="624"/>
      <c r="M119" s="624">
        <v>130.80000000000001</v>
      </c>
      <c r="N119" s="624">
        <f>G119+M119-H119-L119</f>
        <v>130.80000000000001</v>
      </c>
      <c r="O119" s="692"/>
      <c r="V119" s="624"/>
    </row>
    <row r="120" spans="1:22" s="644" customFormat="1" ht="75.75" customHeight="1">
      <c r="A120" s="635" t="s">
        <v>3</v>
      </c>
      <c r="B120" s="646" t="s">
        <v>1518</v>
      </c>
      <c r="C120" s="633">
        <f t="shared" ref="C120:N120" si="39">SUM(C121:C123)</f>
        <v>0</v>
      </c>
      <c r="D120" s="633">
        <f t="shared" si="39"/>
        <v>0</v>
      </c>
      <c r="E120" s="633">
        <f t="shared" si="39"/>
        <v>0</v>
      </c>
      <c r="F120" s="633">
        <f t="shared" si="39"/>
        <v>0</v>
      </c>
      <c r="G120" s="633">
        <f t="shared" si="39"/>
        <v>0</v>
      </c>
      <c r="H120" s="633">
        <f t="shared" si="39"/>
        <v>0</v>
      </c>
      <c r="I120" s="633">
        <f t="shared" si="39"/>
        <v>0</v>
      </c>
      <c r="J120" s="633">
        <f t="shared" si="39"/>
        <v>0</v>
      </c>
      <c r="K120" s="633">
        <f t="shared" si="39"/>
        <v>0</v>
      </c>
      <c r="L120" s="633">
        <f t="shared" si="39"/>
        <v>0</v>
      </c>
      <c r="M120" s="633">
        <f t="shared" si="39"/>
        <v>60862</v>
      </c>
      <c r="N120" s="633">
        <f t="shared" si="39"/>
        <v>60862</v>
      </c>
      <c r="O120" s="691"/>
      <c r="U120" s="645"/>
      <c r="V120" s="630"/>
    </row>
    <row r="121" spans="1:22" ht="51" customHeight="1">
      <c r="A121" s="629"/>
      <c r="B121" s="636" t="s">
        <v>421</v>
      </c>
      <c r="C121" s="627"/>
      <c r="D121" s="627"/>
      <c r="E121" s="627"/>
      <c r="F121" s="626"/>
      <c r="G121" s="624"/>
      <c r="H121" s="624"/>
      <c r="I121" s="624"/>
      <c r="J121" s="624"/>
      <c r="K121" s="624"/>
      <c r="L121" s="624"/>
      <c r="M121" s="624">
        <v>55624</v>
      </c>
      <c r="N121" s="624">
        <f>G121+M121-H121-L121</f>
        <v>55624</v>
      </c>
      <c r="O121" s="631" t="s">
        <v>1102</v>
      </c>
      <c r="U121" s="618">
        <v>55624</v>
      </c>
      <c r="V121" s="624">
        <v>55624</v>
      </c>
    </row>
    <row r="122" spans="1:22" ht="51" customHeight="1">
      <c r="A122" s="629"/>
      <c r="B122" s="636" t="s">
        <v>418</v>
      </c>
      <c r="C122" s="627"/>
      <c r="D122" s="627"/>
      <c r="E122" s="627"/>
      <c r="F122" s="626"/>
      <c r="G122" s="624"/>
      <c r="H122" s="624"/>
      <c r="I122" s="624"/>
      <c r="J122" s="624"/>
      <c r="K122" s="624"/>
      <c r="L122" s="624"/>
      <c r="M122" s="624">
        <v>1565</v>
      </c>
      <c r="N122" s="624">
        <f>G122+M122-H122-L122</f>
        <v>1565</v>
      </c>
      <c r="O122" s="631" t="s">
        <v>235</v>
      </c>
      <c r="U122" s="618">
        <v>1565</v>
      </c>
      <c r="V122" s="624">
        <v>1565</v>
      </c>
    </row>
    <row r="123" spans="1:22" s="644" customFormat="1" ht="51" customHeight="1">
      <c r="A123" s="635"/>
      <c r="B123" s="631" t="s">
        <v>1611</v>
      </c>
      <c r="C123" s="627"/>
      <c r="D123" s="627"/>
      <c r="E123" s="627"/>
      <c r="F123" s="650"/>
      <c r="G123" s="649"/>
      <c r="H123" s="624"/>
      <c r="I123" s="649"/>
      <c r="J123" s="649"/>
      <c r="K123" s="649"/>
      <c r="L123" s="649"/>
      <c r="M123" s="649">
        <v>3673</v>
      </c>
      <c r="N123" s="624">
        <f>G123+M123-H123-L123</f>
        <v>3673</v>
      </c>
      <c r="O123" s="631" t="s">
        <v>235</v>
      </c>
      <c r="U123" s="618">
        <v>3673</v>
      </c>
      <c r="V123" s="649">
        <v>3673</v>
      </c>
    </row>
    <row r="124" spans="1:22" ht="51" customHeight="1">
      <c r="A124" s="635">
        <v>4</v>
      </c>
      <c r="B124" s="634" t="s">
        <v>410</v>
      </c>
      <c r="C124" s="633">
        <f t="shared" ref="C124:N124" si="40">C125+C126+C138+C139</f>
        <v>2304</v>
      </c>
      <c r="D124" s="633">
        <f t="shared" si="40"/>
        <v>2287</v>
      </c>
      <c r="E124" s="633">
        <f t="shared" si="40"/>
        <v>6</v>
      </c>
      <c r="F124" s="633">
        <f t="shared" si="40"/>
        <v>60</v>
      </c>
      <c r="G124" s="633">
        <f t="shared" si="40"/>
        <v>659283.60000000009</v>
      </c>
      <c r="H124" s="633">
        <f t="shared" si="40"/>
        <v>15215.199999999997</v>
      </c>
      <c r="I124" s="633">
        <f t="shared" si="40"/>
        <v>5845.2</v>
      </c>
      <c r="J124" s="633">
        <f t="shared" si="40"/>
        <v>0</v>
      </c>
      <c r="K124" s="633">
        <f t="shared" si="40"/>
        <v>9370</v>
      </c>
      <c r="L124" s="633">
        <f t="shared" si="40"/>
        <v>422</v>
      </c>
      <c r="M124" s="633">
        <f t="shared" si="40"/>
        <v>179872.6</v>
      </c>
      <c r="N124" s="633">
        <f t="shared" si="40"/>
        <v>823519</v>
      </c>
      <c r="O124" s="690"/>
      <c r="P124" s="640">
        <f>G124+M124-H124-L124-N124</f>
        <v>0</v>
      </c>
      <c r="V124" s="630"/>
    </row>
    <row r="125" spans="1:22" s="644" customFormat="1" ht="206.25" customHeight="1">
      <c r="A125" s="635" t="s">
        <v>299</v>
      </c>
      <c r="B125" s="634" t="s">
        <v>320</v>
      </c>
      <c r="C125" s="633">
        <v>49</v>
      </c>
      <c r="D125" s="633">
        <v>49</v>
      </c>
      <c r="E125" s="633">
        <v>6</v>
      </c>
      <c r="F125" s="632">
        <v>60</v>
      </c>
      <c r="G125" s="630">
        <v>12486.8</v>
      </c>
      <c r="H125" s="630">
        <f>SUM(I125:K125)</f>
        <v>168.8</v>
      </c>
      <c r="I125" s="630">
        <v>168.8</v>
      </c>
      <c r="J125" s="630"/>
      <c r="K125" s="630"/>
      <c r="L125" s="630"/>
      <c r="M125" s="630">
        <v>2178</v>
      </c>
      <c r="N125" s="630">
        <f>G125+M125-H125-L125</f>
        <v>14496</v>
      </c>
      <c r="O125" s="631" t="s">
        <v>1610</v>
      </c>
      <c r="P125" s="644">
        <f>510+99+25+21+60+30+50+130+15</f>
        <v>940</v>
      </c>
      <c r="U125" s="618">
        <f>876+130+25+14+210+30+95+80+20+698</f>
        <v>2178</v>
      </c>
      <c r="V125" s="630"/>
    </row>
    <row r="126" spans="1:22" s="644" customFormat="1" ht="36" customHeight="1">
      <c r="A126" s="635" t="s">
        <v>297</v>
      </c>
      <c r="B126" s="634" t="s">
        <v>409</v>
      </c>
      <c r="C126" s="633">
        <f t="shared" ref="C126:N126" si="41">C127+C130+C133+C134</f>
        <v>2090</v>
      </c>
      <c r="D126" s="633">
        <f t="shared" si="41"/>
        <v>2090</v>
      </c>
      <c r="E126" s="633">
        <f t="shared" si="41"/>
        <v>0</v>
      </c>
      <c r="F126" s="633">
        <f t="shared" si="41"/>
        <v>0</v>
      </c>
      <c r="G126" s="633">
        <f t="shared" si="41"/>
        <v>604713</v>
      </c>
      <c r="H126" s="633">
        <f t="shared" si="41"/>
        <v>13321.999999999998</v>
      </c>
      <c r="I126" s="633">
        <f t="shared" si="41"/>
        <v>5160</v>
      </c>
      <c r="J126" s="633">
        <f t="shared" si="41"/>
        <v>0</v>
      </c>
      <c r="K126" s="633">
        <f t="shared" si="41"/>
        <v>8162</v>
      </c>
      <c r="L126" s="633">
        <f t="shared" si="41"/>
        <v>234</v>
      </c>
      <c r="M126" s="633">
        <f t="shared" si="41"/>
        <v>164927</v>
      </c>
      <c r="N126" s="633">
        <f t="shared" si="41"/>
        <v>756084</v>
      </c>
      <c r="O126" s="646"/>
      <c r="P126" s="689"/>
      <c r="U126" s="618"/>
      <c r="V126" s="630"/>
    </row>
    <row r="127" spans="1:22" s="644" customFormat="1" ht="75.75" customHeight="1">
      <c r="A127" s="635" t="s">
        <v>398</v>
      </c>
      <c r="B127" s="634" t="s">
        <v>408</v>
      </c>
      <c r="C127" s="633">
        <f t="shared" ref="C127:N127" si="42">SUM(C128:C129)</f>
        <v>1638</v>
      </c>
      <c r="D127" s="633">
        <f t="shared" si="42"/>
        <v>1638</v>
      </c>
      <c r="E127" s="633">
        <f t="shared" si="42"/>
        <v>0</v>
      </c>
      <c r="F127" s="633">
        <f t="shared" si="42"/>
        <v>0</v>
      </c>
      <c r="G127" s="633">
        <f t="shared" si="42"/>
        <v>404142.3</v>
      </c>
      <c r="H127" s="633">
        <f t="shared" si="42"/>
        <v>11580.3</v>
      </c>
      <c r="I127" s="633">
        <f t="shared" si="42"/>
        <v>4030.3</v>
      </c>
      <c r="J127" s="633">
        <f t="shared" si="42"/>
        <v>0</v>
      </c>
      <c r="K127" s="633">
        <f t="shared" si="42"/>
        <v>7550</v>
      </c>
      <c r="L127" s="633">
        <f t="shared" si="42"/>
        <v>234</v>
      </c>
      <c r="M127" s="633">
        <f t="shared" si="42"/>
        <v>21167</v>
      </c>
      <c r="N127" s="633">
        <f t="shared" si="42"/>
        <v>413495</v>
      </c>
      <c r="O127" s="657"/>
      <c r="P127" s="644">
        <f>1652+295+15</f>
        <v>1962</v>
      </c>
      <c r="Q127" s="684"/>
      <c r="U127" s="645"/>
      <c r="V127" s="630"/>
    </row>
    <row r="128" spans="1:22" ht="157.5" customHeight="1">
      <c r="A128" s="629" t="s">
        <v>3</v>
      </c>
      <c r="B128" s="636" t="s">
        <v>419</v>
      </c>
      <c r="C128" s="627">
        <v>1638</v>
      </c>
      <c r="D128" s="627">
        <v>1638</v>
      </c>
      <c r="E128" s="627">
        <v>0</v>
      </c>
      <c r="F128" s="626"/>
      <c r="G128" s="624">
        <v>390709.3</v>
      </c>
      <c r="H128" s="624">
        <f>SUM(I128:K128)</f>
        <v>11580.3</v>
      </c>
      <c r="I128" s="624">
        <v>4030.3</v>
      </c>
      <c r="J128" s="624"/>
      <c r="K128" s="624">
        <v>7550</v>
      </c>
      <c r="L128" s="624">
        <v>234</v>
      </c>
      <c r="M128" s="624">
        <v>21167</v>
      </c>
      <c r="N128" s="624">
        <f>G128+M128-H128-L128</f>
        <v>400062</v>
      </c>
      <c r="O128" s="625" t="s">
        <v>1805</v>
      </c>
      <c r="P128" s="617">
        <f>1652+295+15</f>
        <v>1962</v>
      </c>
      <c r="Q128" s="655"/>
      <c r="U128" s="618">
        <f>2650+351+500+440+17226</f>
        <v>21167</v>
      </c>
      <c r="V128" s="624"/>
    </row>
    <row r="129" spans="1:22" ht="96.75" customHeight="1">
      <c r="A129" s="629" t="s">
        <v>3</v>
      </c>
      <c r="B129" s="636" t="s">
        <v>1514</v>
      </c>
      <c r="C129" s="627"/>
      <c r="D129" s="627"/>
      <c r="E129" s="627"/>
      <c r="F129" s="626"/>
      <c r="G129" s="624">
        <v>13433</v>
      </c>
      <c r="H129" s="624"/>
      <c r="I129" s="624"/>
      <c r="J129" s="624"/>
      <c r="K129" s="624"/>
      <c r="L129" s="624"/>
      <c r="M129" s="624"/>
      <c r="N129" s="624">
        <f>G129+M129-H129-L129</f>
        <v>13433</v>
      </c>
      <c r="O129" s="625" t="s">
        <v>1804</v>
      </c>
      <c r="Q129" s="655"/>
      <c r="U129" s="618">
        <v>13433</v>
      </c>
      <c r="V129" s="624">
        <v>13433</v>
      </c>
    </row>
    <row r="130" spans="1:22" s="644" customFormat="1" ht="51" customHeight="1">
      <c r="A130" s="635" t="s">
        <v>396</v>
      </c>
      <c r="B130" s="634" t="s">
        <v>407</v>
      </c>
      <c r="C130" s="633">
        <f t="shared" ref="C130:N130" si="43">SUM(C131:C132)</f>
        <v>373</v>
      </c>
      <c r="D130" s="633">
        <f t="shared" si="43"/>
        <v>373</v>
      </c>
      <c r="E130" s="633">
        <f t="shared" si="43"/>
        <v>0</v>
      </c>
      <c r="F130" s="633">
        <f t="shared" si="43"/>
        <v>0</v>
      </c>
      <c r="G130" s="633">
        <f t="shared" si="43"/>
        <v>183187.30000000002</v>
      </c>
      <c r="H130" s="633">
        <f t="shared" si="43"/>
        <v>949.30000000000007</v>
      </c>
      <c r="I130" s="633">
        <f t="shared" si="43"/>
        <v>949.30000000000007</v>
      </c>
      <c r="J130" s="633">
        <f t="shared" si="43"/>
        <v>0</v>
      </c>
      <c r="K130" s="633">
        <f t="shared" si="43"/>
        <v>0</v>
      </c>
      <c r="L130" s="633">
        <f t="shared" si="43"/>
        <v>0</v>
      </c>
      <c r="M130" s="633">
        <f t="shared" si="43"/>
        <v>8512</v>
      </c>
      <c r="N130" s="633">
        <f t="shared" si="43"/>
        <v>190750</v>
      </c>
      <c r="O130" s="687"/>
      <c r="P130" s="644">
        <f>421+878</f>
        <v>1299</v>
      </c>
      <c r="Q130" s="684"/>
      <c r="U130" s="645"/>
      <c r="V130" s="630"/>
    </row>
    <row r="131" spans="1:22" ht="107.25" customHeight="1">
      <c r="A131" s="629" t="s">
        <v>3</v>
      </c>
      <c r="B131" s="636" t="s">
        <v>419</v>
      </c>
      <c r="C131" s="627">
        <v>373</v>
      </c>
      <c r="D131" s="627">
        <v>373</v>
      </c>
      <c r="E131" s="627">
        <v>0</v>
      </c>
      <c r="F131" s="626"/>
      <c r="G131" s="624">
        <v>103530.30000000002</v>
      </c>
      <c r="H131" s="624">
        <f>SUM(I131:K131)</f>
        <v>949.30000000000007</v>
      </c>
      <c r="I131" s="624">
        <v>949.30000000000007</v>
      </c>
      <c r="J131" s="624"/>
      <c r="K131" s="624"/>
      <c r="L131" s="624"/>
      <c r="M131" s="624">
        <v>8512</v>
      </c>
      <c r="N131" s="624">
        <f>G131+M131-H131-L131</f>
        <v>111093.00000000001</v>
      </c>
      <c r="O131" s="688" t="s">
        <v>1609</v>
      </c>
      <c r="P131" s="617">
        <f>421+878</f>
        <v>1299</v>
      </c>
      <c r="Q131" s="655"/>
      <c r="U131" s="618">
        <f>655+1079+3179+3599</f>
        <v>8512</v>
      </c>
      <c r="V131" s="624"/>
    </row>
    <row r="132" spans="1:22" ht="99" customHeight="1">
      <c r="A132" s="629" t="s">
        <v>3</v>
      </c>
      <c r="B132" s="636" t="s">
        <v>1514</v>
      </c>
      <c r="C132" s="627"/>
      <c r="D132" s="627"/>
      <c r="E132" s="627"/>
      <c r="F132" s="626"/>
      <c r="G132" s="624">
        <v>79657</v>
      </c>
      <c r="H132" s="624"/>
      <c r="I132" s="624"/>
      <c r="J132" s="624"/>
      <c r="K132" s="624"/>
      <c r="L132" s="624"/>
      <c r="M132" s="624"/>
      <c r="N132" s="624">
        <f>G132+M132-H132-L132</f>
        <v>79657</v>
      </c>
      <c r="O132" s="636" t="s">
        <v>1608</v>
      </c>
      <c r="Q132" s="655"/>
      <c r="U132" s="618">
        <v>79657</v>
      </c>
      <c r="V132" s="624">
        <v>79657</v>
      </c>
    </row>
    <row r="133" spans="1:22" s="644" customFormat="1" ht="51" customHeight="1">
      <c r="A133" s="635" t="s">
        <v>394</v>
      </c>
      <c r="B133" s="634" t="s">
        <v>406</v>
      </c>
      <c r="C133" s="633">
        <v>79</v>
      </c>
      <c r="D133" s="633">
        <v>79</v>
      </c>
      <c r="E133" s="633">
        <v>0</v>
      </c>
      <c r="F133" s="632"/>
      <c r="G133" s="630">
        <v>17383.400000000001</v>
      </c>
      <c r="H133" s="630">
        <f>SUM(I133:K133)</f>
        <v>792.4</v>
      </c>
      <c r="I133" s="630">
        <v>180.4</v>
      </c>
      <c r="J133" s="630"/>
      <c r="K133" s="630">
        <v>612</v>
      </c>
      <c r="L133" s="630">
        <v>0</v>
      </c>
      <c r="M133" s="630">
        <v>960</v>
      </c>
      <c r="N133" s="630">
        <f>G133+M133-H133-L133</f>
        <v>17551</v>
      </c>
      <c r="O133" s="688" t="s">
        <v>1607</v>
      </c>
      <c r="U133" s="645">
        <f>160+800</f>
        <v>960</v>
      </c>
      <c r="V133" s="630"/>
    </row>
    <row r="134" spans="1:22" s="644" customFormat="1" ht="51" customHeight="1">
      <c r="A134" s="635" t="s">
        <v>1606</v>
      </c>
      <c r="B134" s="634" t="s">
        <v>404</v>
      </c>
      <c r="C134" s="633">
        <f t="shared" ref="C134:N134" si="44">C135+C137</f>
        <v>0</v>
      </c>
      <c r="D134" s="633">
        <f t="shared" si="44"/>
        <v>0</v>
      </c>
      <c r="E134" s="633">
        <f t="shared" si="44"/>
        <v>0</v>
      </c>
      <c r="F134" s="633">
        <f t="shared" si="44"/>
        <v>0</v>
      </c>
      <c r="G134" s="633">
        <f t="shared" si="44"/>
        <v>0</v>
      </c>
      <c r="H134" s="633">
        <f t="shared" si="44"/>
        <v>0</v>
      </c>
      <c r="I134" s="633">
        <f t="shared" si="44"/>
        <v>0</v>
      </c>
      <c r="J134" s="633">
        <f t="shared" si="44"/>
        <v>0</v>
      </c>
      <c r="K134" s="633">
        <f t="shared" si="44"/>
        <v>0</v>
      </c>
      <c r="L134" s="633">
        <f t="shared" si="44"/>
        <v>0</v>
      </c>
      <c r="M134" s="633">
        <f t="shared" si="44"/>
        <v>134288</v>
      </c>
      <c r="N134" s="633">
        <f t="shared" si="44"/>
        <v>134288</v>
      </c>
      <c r="O134" s="687"/>
      <c r="U134" s="645"/>
      <c r="V134" s="686"/>
    </row>
    <row r="135" spans="1:22" ht="131.25" customHeight="1">
      <c r="A135" s="1099" t="s">
        <v>3</v>
      </c>
      <c r="B135" s="1100" t="s">
        <v>1605</v>
      </c>
      <c r="C135" s="1087"/>
      <c r="D135" s="1086"/>
      <c r="E135" s="1087"/>
      <c r="F135" s="1085"/>
      <c r="G135" s="1084"/>
      <c r="H135" s="1084">
        <f>SUM(I135:K135)</f>
        <v>0</v>
      </c>
      <c r="I135" s="1084"/>
      <c r="J135" s="624"/>
      <c r="K135" s="1084"/>
      <c r="L135" s="1084"/>
      <c r="M135" s="1084">
        <v>52171</v>
      </c>
      <c r="N135" s="1084">
        <f>G135+M135-H135-L135</f>
        <v>52171</v>
      </c>
      <c r="O135" s="1097" t="s">
        <v>1604</v>
      </c>
      <c r="P135" s="685">
        <f>4509+3106+50+700+2000+750+1800+3138+1000+1750+1500+900+1300+1500</f>
        <v>24003</v>
      </c>
      <c r="U135" s="618">
        <f>4560+2700+754+1270+1500+3400+1100+340+8500+1533+3000+2000+2500+2000+5811+2197+4506+4500</f>
        <v>52171</v>
      </c>
      <c r="V135" s="1105"/>
    </row>
    <row r="136" spans="1:22" ht="216" customHeight="1">
      <c r="A136" s="1099"/>
      <c r="B136" s="1100"/>
      <c r="C136" s="1087"/>
      <c r="D136" s="1086"/>
      <c r="E136" s="1087"/>
      <c r="F136" s="1085"/>
      <c r="G136" s="1084"/>
      <c r="H136" s="1084"/>
      <c r="I136" s="1084"/>
      <c r="J136" s="624"/>
      <c r="K136" s="1084"/>
      <c r="L136" s="1084"/>
      <c r="M136" s="1084"/>
      <c r="N136" s="1084"/>
      <c r="O136" s="1097"/>
      <c r="P136" s="685">
        <f>2822+290+577+930+7797</f>
        <v>12416</v>
      </c>
      <c r="V136" s="1106"/>
    </row>
    <row r="137" spans="1:22" ht="153" customHeight="1">
      <c r="A137" s="629" t="s">
        <v>3</v>
      </c>
      <c r="B137" s="636" t="s">
        <v>1514</v>
      </c>
      <c r="C137" s="627"/>
      <c r="D137" s="627"/>
      <c r="E137" s="627"/>
      <c r="F137" s="626"/>
      <c r="G137" s="624"/>
      <c r="H137" s="624"/>
      <c r="I137" s="624"/>
      <c r="J137" s="624"/>
      <c r="K137" s="624"/>
      <c r="L137" s="624"/>
      <c r="M137" s="624">
        <v>82117</v>
      </c>
      <c r="N137" s="624">
        <f>G137+M137-H137-L137</f>
        <v>82117</v>
      </c>
      <c r="O137" s="631" t="s">
        <v>1603</v>
      </c>
      <c r="P137" s="685"/>
      <c r="U137" s="618">
        <f>59983+912+15542+34+5646</f>
        <v>82117</v>
      </c>
      <c r="V137" s="624">
        <v>82117</v>
      </c>
    </row>
    <row r="138" spans="1:22" s="644" customFormat="1" ht="107.25" customHeight="1">
      <c r="A138" s="635" t="s">
        <v>295</v>
      </c>
      <c r="B138" s="634" t="s">
        <v>1602</v>
      </c>
      <c r="C138" s="633"/>
      <c r="D138" s="633"/>
      <c r="E138" s="633"/>
      <c r="F138" s="632"/>
      <c r="G138" s="630"/>
      <c r="H138" s="624"/>
      <c r="I138" s="630"/>
      <c r="J138" s="630"/>
      <c r="K138" s="630"/>
      <c r="L138" s="630"/>
      <c r="M138" s="630">
        <v>7360</v>
      </c>
      <c r="N138" s="630">
        <f>G138+M138-H138-L138</f>
        <v>7360</v>
      </c>
      <c r="O138" s="631" t="s">
        <v>1601</v>
      </c>
      <c r="P138" s="684"/>
      <c r="U138" s="618">
        <f>629+1560+1059+4112</f>
        <v>7360</v>
      </c>
      <c r="V138" s="630"/>
    </row>
    <row r="139" spans="1:22" s="644" customFormat="1" ht="75.75" customHeight="1">
      <c r="A139" s="635" t="s">
        <v>291</v>
      </c>
      <c r="B139" s="634" t="s">
        <v>402</v>
      </c>
      <c r="C139" s="633">
        <v>165</v>
      </c>
      <c r="D139" s="633">
        <v>148</v>
      </c>
      <c r="E139" s="633">
        <v>0</v>
      </c>
      <c r="F139" s="632"/>
      <c r="G139" s="630">
        <v>42083.8</v>
      </c>
      <c r="H139" s="630">
        <f>I139+K139</f>
        <v>1724.4</v>
      </c>
      <c r="I139" s="630">
        <v>516.4</v>
      </c>
      <c r="J139" s="630"/>
      <c r="K139" s="630">
        <v>1208</v>
      </c>
      <c r="L139" s="630">
        <v>188</v>
      </c>
      <c r="M139" s="630">
        <v>5407.6</v>
      </c>
      <c r="N139" s="630">
        <f>G139+M139-H139-L139</f>
        <v>45579</v>
      </c>
      <c r="O139" s="631" t="s">
        <v>1600</v>
      </c>
      <c r="P139" s="644">
        <f>150+25</f>
        <v>175</v>
      </c>
      <c r="U139" s="618">
        <f>220+50+3345.6+1792</f>
        <v>5407.6</v>
      </c>
      <c r="V139" s="630"/>
    </row>
    <row r="140" spans="1:22" ht="36" customHeight="1">
      <c r="A140" s="635">
        <v>5</v>
      </c>
      <c r="B140" s="634" t="s">
        <v>273</v>
      </c>
      <c r="C140" s="633">
        <f t="shared" ref="C140:N140" si="45">C141+C145+C151+C158+C157</f>
        <v>535</v>
      </c>
      <c r="D140" s="633">
        <f t="shared" si="45"/>
        <v>297</v>
      </c>
      <c r="E140" s="633">
        <f t="shared" si="45"/>
        <v>95</v>
      </c>
      <c r="F140" s="633">
        <f t="shared" si="45"/>
        <v>730</v>
      </c>
      <c r="G140" s="633">
        <f t="shared" si="45"/>
        <v>78582.700000000012</v>
      </c>
      <c r="H140" s="633">
        <f t="shared" si="45"/>
        <v>2444.7000000000003</v>
      </c>
      <c r="I140" s="633">
        <f t="shared" si="45"/>
        <v>1649.6999999999998</v>
      </c>
      <c r="J140" s="633">
        <f t="shared" si="45"/>
        <v>0</v>
      </c>
      <c r="K140" s="633">
        <f t="shared" si="45"/>
        <v>795</v>
      </c>
      <c r="L140" s="633">
        <f t="shared" si="45"/>
        <v>0</v>
      </c>
      <c r="M140" s="633">
        <f t="shared" si="45"/>
        <v>31421</v>
      </c>
      <c r="N140" s="633">
        <f t="shared" si="45"/>
        <v>107559</v>
      </c>
      <c r="O140" s="657"/>
      <c r="P140" s="640">
        <f>G140+M140-H140-L140-N140</f>
        <v>0</v>
      </c>
      <c r="V140" s="633"/>
    </row>
    <row r="141" spans="1:22" s="644" customFormat="1" ht="36" customHeight="1">
      <c r="A141" s="635" t="s">
        <v>299</v>
      </c>
      <c r="B141" s="634" t="s">
        <v>320</v>
      </c>
      <c r="C141" s="633">
        <f t="shared" ref="C141:N141" si="46">SUM(C142:C144)</f>
        <v>53</v>
      </c>
      <c r="D141" s="633">
        <f t="shared" si="46"/>
        <v>53</v>
      </c>
      <c r="E141" s="633">
        <f t="shared" si="46"/>
        <v>9</v>
      </c>
      <c r="F141" s="632">
        <f t="shared" si="46"/>
        <v>430</v>
      </c>
      <c r="G141" s="630">
        <f t="shared" si="46"/>
        <v>12920.800000000001</v>
      </c>
      <c r="H141" s="630">
        <f t="shared" si="46"/>
        <v>179.8</v>
      </c>
      <c r="I141" s="630">
        <f t="shared" si="46"/>
        <v>179.8</v>
      </c>
      <c r="J141" s="630">
        <f t="shared" si="46"/>
        <v>0</v>
      </c>
      <c r="K141" s="630">
        <f t="shared" si="46"/>
        <v>0</v>
      </c>
      <c r="L141" s="630">
        <f t="shared" si="46"/>
        <v>0</v>
      </c>
      <c r="M141" s="630">
        <f t="shared" si="46"/>
        <v>4841</v>
      </c>
      <c r="N141" s="630">
        <f t="shared" si="46"/>
        <v>17582</v>
      </c>
      <c r="O141" s="657"/>
      <c r="U141" s="618"/>
      <c r="V141" s="630"/>
    </row>
    <row r="142" spans="1:22" ht="199.5" customHeight="1">
      <c r="A142" s="629" t="s">
        <v>276</v>
      </c>
      <c r="B142" s="636" t="s">
        <v>401</v>
      </c>
      <c r="C142" s="627">
        <v>31</v>
      </c>
      <c r="D142" s="627">
        <v>31</v>
      </c>
      <c r="E142" s="627">
        <v>5</v>
      </c>
      <c r="F142" s="626">
        <v>400</v>
      </c>
      <c r="G142" s="624">
        <v>7902.4000000000005</v>
      </c>
      <c r="H142" s="624">
        <f>SUM(I142:K142)</f>
        <v>109.4</v>
      </c>
      <c r="I142" s="624">
        <v>109.4</v>
      </c>
      <c r="J142" s="624"/>
      <c r="K142" s="624">
        <v>0</v>
      </c>
      <c r="L142" s="624"/>
      <c r="M142" s="624">
        <v>1634</v>
      </c>
      <c r="N142" s="624">
        <f>G142+M142-H142-L142</f>
        <v>9427.0000000000018</v>
      </c>
      <c r="O142" s="637" t="s">
        <v>1599</v>
      </c>
      <c r="P142" s="617">
        <f>418+40+30+10+20+180+80+140+5+120</f>
        <v>1043</v>
      </c>
      <c r="U142" s="618">
        <f>618+50+20+30+20+30+95+200+50+90+5+426</f>
        <v>1634</v>
      </c>
      <c r="V142" s="624"/>
    </row>
    <row r="143" spans="1:22" ht="312" customHeight="1">
      <c r="A143" s="629" t="s">
        <v>276</v>
      </c>
      <c r="B143" s="636" t="s">
        <v>1598</v>
      </c>
      <c r="C143" s="627">
        <v>10</v>
      </c>
      <c r="D143" s="627">
        <v>10</v>
      </c>
      <c r="E143" s="627">
        <v>2</v>
      </c>
      <c r="F143" s="626"/>
      <c r="G143" s="624">
        <v>2292</v>
      </c>
      <c r="H143" s="624">
        <f>SUM(I143:K143)</f>
        <v>32</v>
      </c>
      <c r="I143" s="624">
        <v>32</v>
      </c>
      <c r="J143" s="624"/>
      <c r="K143" s="624"/>
      <c r="L143" s="624"/>
      <c r="M143" s="624">
        <v>1775</v>
      </c>
      <c r="N143" s="624">
        <f>G143+M143-H143-L143</f>
        <v>4035</v>
      </c>
      <c r="O143" s="637" t="s">
        <v>1597</v>
      </c>
      <c r="P143" s="617">
        <f>143+15+7+230+120+148+142+15+63+200+150</f>
        <v>1233</v>
      </c>
      <c r="U143" s="648">
        <f>209+23+50+80+308+120+152+154+83+200+273+123</f>
        <v>1775</v>
      </c>
      <c r="V143" s="624"/>
    </row>
    <row r="144" spans="1:22" ht="192.75" customHeight="1">
      <c r="A144" s="629" t="s">
        <v>276</v>
      </c>
      <c r="B144" s="628" t="s">
        <v>400</v>
      </c>
      <c r="C144" s="627">
        <v>12</v>
      </c>
      <c r="D144" s="627">
        <v>12</v>
      </c>
      <c r="E144" s="627">
        <v>2</v>
      </c>
      <c r="F144" s="626">
        <v>30</v>
      </c>
      <c r="G144" s="624">
        <v>2726.4</v>
      </c>
      <c r="H144" s="624">
        <f>SUM(I144:K144)</f>
        <v>38.400000000000006</v>
      </c>
      <c r="I144" s="624">
        <v>38.400000000000006</v>
      </c>
      <c r="J144" s="624"/>
      <c r="K144" s="624"/>
      <c r="L144" s="624"/>
      <c r="M144" s="624">
        <v>1432</v>
      </c>
      <c r="N144" s="624">
        <f>G144+M144-H144-L144</f>
        <v>4120</v>
      </c>
      <c r="O144" s="637" t="s">
        <v>1596</v>
      </c>
      <c r="P144" s="617">
        <f>169+15+30+150+600+400</f>
        <v>1364</v>
      </c>
      <c r="U144" s="648">
        <f>232+20+30+30+20+150+400+400+150</f>
        <v>1432</v>
      </c>
      <c r="V144" s="624"/>
    </row>
    <row r="145" spans="1:22" s="644" customFormat="1" ht="36" customHeight="1">
      <c r="A145" s="635" t="s">
        <v>297</v>
      </c>
      <c r="B145" s="634" t="s">
        <v>399</v>
      </c>
      <c r="C145" s="633">
        <f t="shared" ref="C145:N145" si="47">C146+C147+C150</f>
        <v>427</v>
      </c>
      <c r="D145" s="633">
        <f t="shared" si="47"/>
        <v>203</v>
      </c>
      <c r="E145" s="633">
        <f t="shared" si="47"/>
        <v>86</v>
      </c>
      <c r="F145" s="632">
        <f t="shared" si="47"/>
        <v>300</v>
      </c>
      <c r="G145" s="630">
        <f t="shared" si="47"/>
        <v>55463.100000000006</v>
      </c>
      <c r="H145" s="630">
        <f t="shared" si="47"/>
        <v>2036.1</v>
      </c>
      <c r="I145" s="630">
        <f t="shared" si="47"/>
        <v>1328.1</v>
      </c>
      <c r="J145" s="630">
        <f t="shared" si="47"/>
        <v>0</v>
      </c>
      <c r="K145" s="630">
        <f t="shared" si="47"/>
        <v>708</v>
      </c>
      <c r="L145" s="630">
        <f t="shared" si="47"/>
        <v>0</v>
      </c>
      <c r="M145" s="630">
        <f t="shared" si="47"/>
        <v>15996</v>
      </c>
      <c r="N145" s="630">
        <f t="shared" si="47"/>
        <v>69423</v>
      </c>
      <c r="O145" s="683"/>
      <c r="U145" s="618"/>
      <c r="V145" s="630"/>
    </row>
    <row r="146" spans="1:22" ht="264.75" customHeight="1">
      <c r="A146" s="629" t="s">
        <v>398</v>
      </c>
      <c r="B146" s="636" t="s">
        <v>397</v>
      </c>
      <c r="C146" s="627">
        <v>242</v>
      </c>
      <c r="D146" s="627">
        <v>47</v>
      </c>
      <c r="E146" s="627">
        <v>74</v>
      </c>
      <c r="F146" s="626">
        <v>0</v>
      </c>
      <c r="G146" s="624">
        <v>20020</v>
      </c>
      <c r="H146" s="624">
        <f>SUM(I146:K146)</f>
        <v>1523</v>
      </c>
      <c r="I146" s="624">
        <v>874</v>
      </c>
      <c r="J146" s="624"/>
      <c r="K146" s="624">
        <v>649</v>
      </c>
      <c r="L146" s="624">
        <v>0</v>
      </c>
      <c r="M146" s="624">
        <v>5134</v>
      </c>
      <c r="N146" s="624">
        <f>G146+M146-H146-L146</f>
        <v>23631</v>
      </c>
      <c r="O146" s="637" t="s">
        <v>1595</v>
      </c>
      <c r="P146" s="655">
        <f>278+300+260+1131+500+396+900</f>
        <v>3765</v>
      </c>
      <c r="U146" s="648">
        <f>390+350+150+250+1096+595+562+912+567+60+202</f>
        <v>5134</v>
      </c>
      <c r="V146" s="624"/>
    </row>
    <row r="147" spans="1:22" ht="308.25" customHeight="1">
      <c r="A147" s="1099" t="s">
        <v>396</v>
      </c>
      <c r="B147" s="1100" t="s">
        <v>395</v>
      </c>
      <c r="C147" s="1086">
        <v>185</v>
      </c>
      <c r="D147" s="1086">
        <v>156</v>
      </c>
      <c r="E147" s="1086">
        <v>12</v>
      </c>
      <c r="F147" s="1111">
        <v>300</v>
      </c>
      <c r="G147" s="1083">
        <v>35443.100000000006</v>
      </c>
      <c r="H147" s="1083">
        <f>SUM(I147:K147)</f>
        <v>513.1</v>
      </c>
      <c r="I147" s="1083">
        <v>454.1</v>
      </c>
      <c r="J147" s="1083"/>
      <c r="K147" s="1083">
        <v>59</v>
      </c>
      <c r="L147" s="1083">
        <v>0</v>
      </c>
      <c r="M147" s="1083">
        <v>8462</v>
      </c>
      <c r="N147" s="1083">
        <f>G147+M147-H147-L147</f>
        <v>43392.000000000007</v>
      </c>
      <c r="O147" s="637" t="s">
        <v>1594</v>
      </c>
      <c r="P147" s="617">
        <f>175+600+100+250+500+440+160</f>
        <v>2225</v>
      </c>
      <c r="R147" s="617" t="e">
        <f>P147+#REF!+#REF!</f>
        <v>#REF!</v>
      </c>
      <c r="U147" s="648">
        <f>206+1712+150+771+54+350+500+510+280+170</f>
        <v>4703</v>
      </c>
      <c r="V147" s="1105"/>
    </row>
    <row r="148" spans="1:22" ht="228" customHeight="1">
      <c r="A148" s="1099"/>
      <c r="B148" s="1100"/>
      <c r="C148" s="1086"/>
      <c r="D148" s="1086"/>
      <c r="E148" s="1086"/>
      <c r="F148" s="1111"/>
      <c r="G148" s="1083"/>
      <c r="H148" s="1083"/>
      <c r="I148" s="1083"/>
      <c r="J148" s="1083"/>
      <c r="K148" s="1083"/>
      <c r="L148" s="1083"/>
      <c r="M148" s="1083"/>
      <c r="N148" s="1083"/>
      <c r="O148" s="637" t="s">
        <v>1593</v>
      </c>
      <c r="U148" s="648">
        <f>920+46+900+48+35+70+90+20</f>
        <v>2129</v>
      </c>
      <c r="V148" s="1107"/>
    </row>
    <row r="149" spans="1:22" ht="143.25" customHeight="1">
      <c r="A149" s="1099"/>
      <c r="B149" s="1100"/>
      <c r="C149" s="1086"/>
      <c r="D149" s="1086"/>
      <c r="E149" s="1086"/>
      <c r="F149" s="1111"/>
      <c r="G149" s="1083"/>
      <c r="H149" s="1083"/>
      <c r="I149" s="1083"/>
      <c r="J149" s="1083"/>
      <c r="K149" s="1083"/>
      <c r="L149" s="1083"/>
      <c r="M149" s="1083"/>
      <c r="N149" s="1083"/>
      <c r="O149" s="637" t="s">
        <v>1592</v>
      </c>
      <c r="U149" s="648">
        <f>570+100+500+350+80+30</f>
        <v>1630</v>
      </c>
      <c r="V149" s="1106"/>
    </row>
    <row r="150" spans="1:22" ht="75.75" customHeight="1">
      <c r="A150" s="629" t="s">
        <v>394</v>
      </c>
      <c r="B150" s="636" t="s">
        <v>393</v>
      </c>
      <c r="C150" s="627"/>
      <c r="D150" s="627"/>
      <c r="E150" s="627"/>
      <c r="F150" s="626"/>
      <c r="G150" s="624"/>
      <c r="H150" s="624"/>
      <c r="I150" s="624"/>
      <c r="J150" s="624"/>
      <c r="K150" s="624"/>
      <c r="L150" s="624"/>
      <c r="M150" s="624">
        <v>2400</v>
      </c>
      <c r="N150" s="624">
        <f>G150+M150-H150-L150</f>
        <v>2400</v>
      </c>
      <c r="O150" s="637" t="s">
        <v>1591</v>
      </c>
      <c r="P150" s="617">
        <f>500+300+400</f>
        <v>1200</v>
      </c>
      <c r="U150" s="648">
        <f>700+300+800+600</f>
        <v>2400</v>
      </c>
      <c r="V150" s="624"/>
    </row>
    <row r="151" spans="1:22" s="644" customFormat="1" ht="74.25" customHeight="1">
      <c r="A151" s="635" t="s">
        <v>295</v>
      </c>
      <c r="B151" s="634" t="s">
        <v>392</v>
      </c>
      <c r="C151" s="633"/>
      <c r="D151" s="633"/>
      <c r="E151" s="633"/>
      <c r="F151" s="632"/>
      <c r="G151" s="630"/>
      <c r="H151" s="630"/>
      <c r="I151" s="630"/>
      <c r="J151" s="630"/>
      <c r="K151" s="630"/>
      <c r="L151" s="630"/>
      <c r="M151" s="630">
        <f>SUM(M152:M156)</f>
        <v>338</v>
      </c>
      <c r="N151" s="630">
        <f>SUM(N152:N156)</f>
        <v>338</v>
      </c>
      <c r="O151" s="683"/>
      <c r="U151" s="645"/>
      <c r="V151" s="630"/>
    </row>
    <row r="152" spans="1:22" s="644" customFormat="1" ht="51" customHeight="1">
      <c r="A152" s="635" t="s">
        <v>3</v>
      </c>
      <c r="B152" s="636" t="s">
        <v>391</v>
      </c>
      <c r="C152" s="633"/>
      <c r="D152" s="633"/>
      <c r="E152" s="633"/>
      <c r="F152" s="632"/>
      <c r="G152" s="630"/>
      <c r="H152" s="630"/>
      <c r="I152" s="630"/>
      <c r="J152" s="630"/>
      <c r="K152" s="630"/>
      <c r="L152" s="630"/>
      <c r="M152" s="624">
        <v>38</v>
      </c>
      <c r="N152" s="624">
        <f t="shared" ref="N152:N157" si="48">G152+M152-H152-L152</f>
        <v>38</v>
      </c>
      <c r="O152" s="625" t="s">
        <v>1590</v>
      </c>
      <c r="U152" s="618">
        <v>38</v>
      </c>
      <c r="V152" s="624"/>
    </row>
    <row r="153" spans="1:22" s="644" customFormat="1" ht="75.75" customHeight="1">
      <c r="A153" s="635" t="s">
        <v>3</v>
      </c>
      <c r="B153" s="636" t="s">
        <v>389</v>
      </c>
      <c r="C153" s="633"/>
      <c r="D153" s="633"/>
      <c r="E153" s="633"/>
      <c r="F153" s="632"/>
      <c r="G153" s="630"/>
      <c r="H153" s="630"/>
      <c r="I153" s="630"/>
      <c r="J153" s="630"/>
      <c r="K153" s="630"/>
      <c r="L153" s="630"/>
      <c r="M153" s="624">
        <v>30</v>
      </c>
      <c r="N153" s="624">
        <f t="shared" si="48"/>
        <v>30</v>
      </c>
      <c r="O153" s="625" t="s">
        <v>1589</v>
      </c>
      <c r="U153" s="618">
        <v>30</v>
      </c>
      <c r="V153" s="624"/>
    </row>
    <row r="154" spans="1:22" s="644" customFormat="1" ht="51" customHeight="1">
      <c r="A154" s="635" t="s">
        <v>3</v>
      </c>
      <c r="B154" s="636" t="s">
        <v>387</v>
      </c>
      <c r="C154" s="633"/>
      <c r="D154" s="633"/>
      <c r="E154" s="633"/>
      <c r="F154" s="632"/>
      <c r="G154" s="630"/>
      <c r="H154" s="630"/>
      <c r="I154" s="630"/>
      <c r="J154" s="630"/>
      <c r="K154" s="630"/>
      <c r="L154" s="630"/>
      <c r="M154" s="624">
        <v>90</v>
      </c>
      <c r="N154" s="624">
        <f t="shared" si="48"/>
        <v>90</v>
      </c>
      <c r="O154" s="625" t="s">
        <v>1588</v>
      </c>
      <c r="U154" s="618">
        <v>90</v>
      </c>
      <c r="V154" s="624"/>
    </row>
    <row r="155" spans="1:22" s="644" customFormat="1" ht="51" customHeight="1">
      <c r="A155" s="635" t="s">
        <v>3</v>
      </c>
      <c r="B155" s="636" t="s">
        <v>823</v>
      </c>
      <c r="C155" s="633"/>
      <c r="D155" s="633"/>
      <c r="E155" s="633"/>
      <c r="F155" s="632"/>
      <c r="G155" s="630"/>
      <c r="H155" s="630"/>
      <c r="I155" s="630"/>
      <c r="J155" s="630"/>
      <c r="K155" s="630"/>
      <c r="L155" s="630"/>
      <c r="M155" s="624">
        <v>90</v>
      </c>
      <c r="N155" s="624">
        <f t="shared" si="48"/>
        <v>90</v>
      </c>
      <c r="O155" s="625" t="s">
        <v>1588</v>
      </c>
      <c r="U155" s="618">
        <v>90</v>
      </c>
      <c r="V155" s="624"/>
    </row>
    <row r="156" spans="1:22" s="644" customFormat="1" ht="51" customHeight="1">
      <c r="A156" s="635" t="s">
        <v>3</v>
      </c>
      <c r="B156" s="636" t="s">
        <v>824</v>
      </c>
      <c r="C156" s="633"/>
      <c r="D156" s="633"/>
      <c r="E156" s="633"/>
      <c r="F156" s="632"/>
      <c r="G156" s="630"/>
      <c r="H156" s="630"/>
      <c r="I156" s="630"/>
      <c r="J156" s="630"/>
      <c r="K156" s="630"/>
      <c r="L156" s="630"/>
      <c r="M156" s="624">
        <v>90</v>
      </c>
      <c r="N156" s="624">
        <f t="shared" si="48"/>
        <v>90</v>
      </c>
      <c r="O156" s="625" t="s">
        <v>1588</v>
      </c>
      <c r="U156" s="618">
        <v>90</v>
      </c>
      <c r="V156" s="624"/>
    </row>
    <row r="157" spans="1:22" s="644" customFormat="1" ht="97.5" customHeight="1">
      <c r="A157" s="635" t="s">
        <v>291</v>
      </c>
      <c r="B157" s="634" t="s">
        <v>1562</v>
      </c>
      <c r="C157" s="633"/>
      <c r="D157" s="633"/>
      <c r="E157" s="633"/>
      <c r="F157" s="632"/>
      <c r="G157" s="630"/>
      <c r="H157" s="630"/>
      <c r="I157" s="630"/>
      <c r="J157" s="630"/>
      <c r="K157" s="630"/>
      <c r="L157" s="630"/>
      <c r="M157" s="630">
        <v>8000</v>
      </c>
      <c r="N157" s="630">
        <f t="shared" si="48"/>
        <v>8000</v>
      </c>
      <c r="O157" s="625" t="s">
        <v>1587</v>
      </c>
      <c r="U157" s="645">
        <v>8000</v>
      </c>
      <c r="V157" s="630"/>
    </row>
    <row r="158" spans="1:22" s="644" customFormat="1" ht="51" customHeight="1">
      <c r="A158" s="635" t="s">
        <v>429</v>
      </c>
      <c r="B158" s="634" t="s">
        <v>383</v>
      </c>
      <c r="C158" s="633">
        <f t="shared" ref="C158:N158" si="49">SUM(C159:C160)</f>
        <v>55</v>
      </c>
      <c r="D158" s="633">
        <f t="shared" si="49"/>
        <v>41</v>
      </c>
      <c r="E158" s="633">
        <f t="shared" si="49"/>
        <v>0</v>
      </c>
      <c r="F158" s="633">
        <f t="shared" si="49"/>
        <v>0</v>
      </c>
      <c r="G158" s="633">
        <f t="shared" si="49"/>
        <v>10198.799999999999</v>
      </c>
      <c r="H158" s="633">
        <f t="shared" si="49"/>
        <v>228.8</v>
      </c>
      <c r="I158" s="633">
        <f t="shared" si="49"/>
        <v>141.80000000000001</v>
      </c>
      <c r="J158" s="633">
        <f t="shared" si="49"/>
        <v>0</v>
      </c>
      <c r="K158" s="633">
        <f t="shared" si="49"/>
        <v>87</v>
      </c>
      <c r="L158" s="633">
        <f t="shared" si="49"/>
        <v>0</v>
      </c>
      <c r="M158" s="633">
        <f t="shared" si="49"/>
        <v>2246</v>
      </c>
      <c r="N158" s="633">
        <f t="shared" si="49"/>
        <v>12216</v>
      </c>
      <c r="O158" s="657"/>
      <c r="U158" s="618"/>
      <c r="V158" s="633"/>
    </row>
    <row r="159" spans="1:22" ht="84" customHeight="1">
      <c r="A159" s="629" t="s">
        <v>3</v>
      </c>
      <c r="B159" s="636" t="s">
        <v>419</v>
      </c>
      <c r="C159" s="627">
        <v>55</v>
      </c>
      <c r="D159" s="627">
        <v>41</v>
      </c>
      <c r="E159" s="627">
        <v>0</v>
      </c>
      <c r="F159" s="626"/>
      <c r="G159" s="624">
        <v>10198.799999999999</v>
      </c>
      <c r="H159" s="624">
        <f>I159+K159</f>
        <v>228.8</v>
      </c>
      <c r="I159" s="624">
        <v>141.80000000000001</v>
      </c>
      <c r="J159" s="624"/>
      <c r="K159" s="624">
        <v>87</v>
      </c>
      <c r="L159" s="624">
        <v>0</v>
      </c>
      <c r="M159" s="624">
        <v>1131</v>
      </c>
      <c r="N159" s="624">
        <f>G159+M159-H159-L159</f>
        <v>11101</v>
      </c>
      <c r="O159" s="625" t="s">
        <v>1586</v>
      </c>
      <c r="U159" s="648">
        <f>464+567+100</f>
        <v>1131</v>
      </c>
      <c r="V159" s="624"/>
    </row>
    <row r="160" spans="1:22" ht="99" customHeight="1">
      <c r="A160" s="629" t="s">
        <v>3</v>
      </c>
      <c r="B160" s="636" t="s">
        <v>1514</v>
      </c>
      <c r="C160" s="627"/>
      <c r="D160" s="627"/>
      <c r="E160" s="627"/>
      <c r="F160" s="626"/>
      <c r="G160" s="624"/>
      <c r="H160" s="624"/>
      <c r="I160" s="624"/>
      <c r="J160" s="624"/>
      <c r="K160" s="624"/>
      <c r="L160" s="624"/>
      <c r="M160" s="624">
        <v>1115</v>
      </c>
      <c r="N160" s="624">
        <f>G160+M160-H160-L160</f>
        <v>1115</v>
      </c>
      <c r="O160" s="625" t="s">
        <v>1585</v>
      </c>
      <c r="U160" s="648">
        <f>731+384</f>
        <v>1115</v>
      </c>
      <c r="V160" s="624">
        <v>1115</v>
      </c>
    </row>
    <row r="161" spans="1:23" ht="75.75" customHeight="1">
      <c r="A161" s="635">
        <v>6</v>
      </c>
      <c r="B161" s="634" t="s">
        <v>825</v>
      </c>
      <c r="C161" s="656">
        <f t="shared" ref="C161:N161" si="50">C162+C164+C166</f>
        <v>121</v>
      </c>
      <c r="D161" s="656">
        <f t="shared" si="50"/>
        <v>121</v>
      </c>
      <c r="E161" s="656">
        <f t="shared" si="50"/>
        <v>100</v>
      </c>
      <c r="F161" s="632">
        <f t="shared" si="50"/>
        <v>0</v>
      </c>
      <c r="G161" s="630">
        <f t="shared" si="50"/>
        <v>26260.6</v>
      </c>
      <c r="H161" s="630">
        <f t="shared" si="50"/>
        <v>329.6</v>
      </c>
      <c r="I161" s="630">
        <f t="shared" si="50"/>
        <v>329.6</v>
      </c>
      <c r="J161" s="630">
        <f t="shared" si="50"/>
        <v>0</v>
      </c>
      <c r="K161" s="630">
        <f t="shared" si="50"/>
        <v>0</v>
      </c>
      <c r="L161" s="630">
        <f t="shared" si="50"/>
        <v>0</v>
      </c>
      <c r="M161" s="630">
        <f t="shared" si="50"/>
        <v>51847</v>
      </c>
      <c r="N161" s="630">
        <f t="shared" si="50"/>
        <v>77778</v>
      </c>
      <c r="O161" s="631"/>
      <c r="P161" s="640">
        <f>G161+M161-H161-L161-N161</f>
        <v>0</v>
      </c>
      <c r="V161" s="630"/>
    </row>
    <row r="162" spans="1:23" s="644" customFormat="1" ht="43.5" customHeight="1">
      <c r="A162" s="635" t="s">
        <v>299</v>
      </c>
      <c r="B162" s="634" t="s">
        <v>320</v>
      </c>
      <c r="C162" s="633">
        <f t="shared" ref="C162:N162" si="51">C163</f>
        <v>45</v>
      </c>
      <c r="D162" s="633">
        <f t="shared" si="51"/>
        <v>45</v>
      </c>
      <c r="E162" s="633">
        <f t="shared" si="51"/>
        <v>6</v>
      </c>
      <c r="F162" s="632">
        <f t="shared" si="51"/>
        <v>0</v>
      </c>
      <c r="G162" s="630">
        <f t="shared" si="51"/>
        <v>10322</v>
      </c>
      <c r="H162" s="630">
        <f t="shared" si="51"/>
        <v>156</v>
      </c>
      <c r="I162" s="630">
        <f t="shared" si="51"/>
        <v>156</v>
      </c>
      <c r="J162" s="630">
        <f t="shared" si="51"/>
        <v>0</v>
      </c>
      <c r="K162" s="630">
        <f t="shared" si="51"/>
        <v>0</v>
      </c>
      <c r="L162" s="630">
        <f t="shared" si="51"/>
        <v>0</v>
      </c>
      <c r="M162" s="630">
        <f t="shared" si="51"/>
        <v>3174</v>
      </c>
      <c r="N162" s="630">
        <f t="shared" si="51"/>
        <v>13340</v>
      </c>
      <c r="O162" s="682"/>
      <c r="U162" s="618"/>
      <c r="V162" s="630"/>
    </row>
    <row r="163" spans="1:23" ht="409.5" customHeight="1">
      <c r="A163" s="629" t="s">
        <v>276</v>
      </c>
      <c r="B163" s="636" t="s">
        <v>1086</v>
      </c>
      <c r="C163" s="627">
        <v>45</v>
      </c>
      <c r="D163" s="627">
        <v>45</v>
      </c>
      <c r="E163" s="627">
        <v>6</v>
      </c>
      <c r="F163" s="626"/>
      <c r="G163" s="624">
        <v>10322</v>
      </c>
      <c r="H163" s="624">
        <f>SUM(I163:K163)</f>
        <v>156</v>
      </c>
      <c r="I163" s="624">
        <v>156</v>
      </c>
      <c r="J163" s="624"/>
      <c r="K163" s="624"/>
      <c r="L163" s="624"/>
      <c r="M163" s="624">
        <v>3174</v>
      </c>
      <c r="N163" s="680">
        <f>G163+M163-H163-L163</f>
        <v>13340</v>
      </c>
      <c r="O163" s="789" t="s">
        <v>1801</v>
      </c>
      <c r="P163" s="623">
        <f>466+80+35+30+10+30+60+50+169+60+70+20+50+80+184+15+500</f>
        <v>1909</v>
      </c>
      <c r="U163" s="618">
        <f>670+130+30+120+30+50+169+70+10+50+80+216+20+500+60+80+132+175+582</f>
        <v>3174</v>
      </c>
      <c r="V163" s="624"/>
    </row>
    <row r="164" spans="1:23" s="644" customFormat="1" ht="51" customHeight="1">
      <c r="A164" s="635" t="s">
        <v>297</v>
      </c>
      <c r="B164" s="634" t="s">
        <v>382</v>
      </c>
      <c r="C164" s="633"/>
      <c r="D164" s="633"/>
      <c r="E164" s="633"/>
      <c r="F164" s="632"/>
      <c r="G164" s="624"/>
      <c r="H164" s="630"/>
      <c r="I164" s="630"/>
      <c r="J164" s="630"/>
      <c r="K164" s="630"/>
      <c r="L164" s="630"/>
      <c r="M164" s="630">
        <f>M165</f>
        <v>220</v>
      </c>
      <c r="N164" s="630">
        <f>N165</f>
        <v>220</v>
      </c>
      <c r="O164" s="679"/>
      <c r="U164" s="618"/>
      <c r="V164" s="630"/>
    </row>
    <row r="165" spans="1:23" ht="51" customHeight="1">
      <c r="A165" s="629" t="s">
        <v>276</v>
      </c>
      <c r="B165" s="636" t="s">
        <v>826</v>
      </c>
      <c r="C165" s="627"/>
      <c r="D165" s="627"/>
      <c r="E165" s="627"/>
      <c r="F165" s="626"/>
      <c r="G165" s="624"/>
      <c r="H165" s="624"/>
      <c r="I165" s="624"/>
      <c r="J165" s="624"/>
      <c r="K165" s="624"/>
      <c r="L165" s="624"/>
      <c r="M165" s="624">
        <v>220</v>
      </c>
      <c r="N165" s="624">
        <f>G165+M165-H165-L165</f>
        <v>220</v>
      </c>
      <c r="O165" s="631" t="s">
        <v>1584</v>
      </c>
      <c r="U165" s="618">
        <f>180+40</f>
        <v>220</v>
      </c>
      <c r="V165" s="624"/>
    </row>
    <row r="166" spans="1:23" s="644" customFormat="1" ht="36" customHeight="1">
      <c r="A166" s="635" t="s">
        <v>295</v>
      </c>
      <c r="B166" s="634" t="s">
        <v>294</v>
      </c>
      <c r="C166" s="633">
        <f t="shared" ref="C166:N166" si="52">C167+C174</f>
        <v>76</v>
      </c>
      <c r="D166" s="633">
        <f t="shared" si="52"/>
        <v>76</v>
      </c>
      <c r="E166" s="633">
        <f t="shared" si="52"/>
        <v>94</v>
      </c>
      <c r="F166" s="632">
        <f t="shared" si="52"/>
        <v>0</v>
      </c>
      <c r="G166" s="630">
        <f t="shared" si="52"/>
        <v>15938.599999999999</v>
      </c>
      <c r="H166" s="630">
        <f t="shared" si="52"/>
        <v>173.60000000000002</v>
      </c>
      <c r="I166" s="630">
        <f t="shared" si="52"/>
        <v>173.60000000000002</v>
      </c>
      <c r="J166" s="630">
        <f t="shared" si="52"/>
        <v>0</v>
      </c>
      <c r="K166" s="630">
        <f t="shared" si="52"/>
        <v>0</v>
      </c>
      <c r="L166" s="630">
        <f t="shared" si="52"/>
        <v>0</v>
      </c>
      <c r="M166" s="630">
        <f t="shared" si="52"/>
        <v>48453</v>
      </c>
      <c r="N166" s="630">
        <f t="shared" si="52"/>
        <v>64218</v>
      </c>
      <c r="O166" s="646"/>
      <c r="U166" s="618"/>
      <c r="V166" s="630"/>
    </row>
    <row r="167" spans="1:23" s="644" customFormat="1" ht="36" customHeight="1">
      <c r="A167" s="635" t="s">
        <v>379</v>
      </c>
      <c r="B167" s="634" t="s">
        <v>309</v>
      </c>
      <c r="C167" s="633">
        <f t="shared" ref="C167:N167" si="53">C168+C169+C172+C173</f>
        <v>76</v>
      </c>
      <c r="D167" s="633">
        <f t="shared" si="53"/>
        <v>76</v>
      </c>
      <c r="E167" s="633">
        <f t="shared" si="53"/>
        <v>94</v>
      </c>
      <c r="F167" s="633">
        <f t="shared" si="53"/>
        <v>0</v>
      </c>
      <c r="G167" s="633">
        <f t="shared" si="53"/>
        <v>15938.599999999999</v>
      </c>
      <c r="H167" s="633">
        <f t="shared" si="53"/>
        <v>173.60000000000002</v>
      </c>
      <c r="I167" s="633">
        <f t="shared" si="53"/>
        <v>173.60000000000002</v>
      </c>
      <c r="J167" s="633">
        <f t="shared" si="53"/>
        <v>0</v>
      </c>
      <c r="K167" s="633">
        <f t="shared" si="53"/>
        <v>0</v>
      </c>
      <c r="L167" s="633">
        <f t="shared" si="53"/>
        <v>0</v>
      </c>
      <c r="M167" s="633">
        <f t="shared" si="53"/>
        <v>36216</v>
      </c>
      <c r="N167" s="633">
        <f t="shared" si="53"/>
        <v>51981</v>
      </c>
      <c r="O167" s="682"/>
      <c r="U167" s="618"/>
      <c r="V167" s="630"/>
    </row>
    <row r="168" spans="1:23" ht="222.75" customHeight="1">
      <c r="A168" s="629" t="s">
        <v>276</v>
      </c>
      <c r="B168" s="636" t="s">
        <v>378</v>
      </c>
      <c r="C168" s="627">
        <v>26</v>
      </c>
      <c r="D168" s="627">
        <v>26</v>
      </c>
      <c r="E168" s="627">
        <v>60</v>
      </c>
      <c r="F168" s="626"/>
      <c r="G168" s="624">
        <v>5668.2</v>
      </c>
      <c r="H168" s="624">
        <f>SUM(I168:K168)</f>
        <v>59.2</v>
      </c>
      <c r="I168" s="624">
        <v>59.2</v>
      </c>
      <c r="J168" s="624"/>
      <c r="K168" s="624"/>
      <c r="L168" s="624"/>
      <c r="M168" s="624">
        <v>23145</v>
      </c>
      <c r="N168" s="680">
        <f>G168+M168-H168-L168</f>
        <v>28754</v>
      </c>
      <c r="O168" s="631" t="s">
        <v>1583</v>
      </c>
      <c r="P168" s="617">
        <f>3260+35+849+5600+100+48+96+10+6+110+100</f>
        <v>10214</v>
      </c>
      <c r="U168" s="618">
        <f>5777+72+1039+1858+13490+96+226+22+269+296</f>
        <v>23145</v>
      </c>
      <c r="V168" s="624"/>
    </row>
    <row r="169" spans="1:23" ht="51" customHeight="1">
      <c r="A169" s="629" t="s">
        <v>276</v>
      </c>
      <c r="B169" s="636" t="s">
        <v>377</v>
      </c>
      <c r="C169" s="627">
        <f t="shared" ref="C169:N169" si="54">SUM(C170:C171)</f>
        <v>26</v>
      </c>
      <c r="D169" s="627">
        <f t="shared" si="54"/>
        <v>26</v>
      </c>
      <c r="E169" s="627">
        <f t="shared" si="54"/>
        <v>21</v>
      </c>
      <c r="F169" s="627">
        <f t="shared" si="54"/>
        <v>0</v>
      </c>
      <c r="G169" s="627">
        <f t="shared" si="54"/>
        <v>5850.2</v>
      </c>
      <c r="H169" s="627">
        <f t="shared" si="54"/>
        <v>59.2</v>
      </c>
      <c r="I169" s="627">
        <f t="shared" si="54"/>
        <v>59.2</v>
      </c>
      <c r="J169" s="627">
        <f t="shared" si="54"/>
        <v>0</v>
      </c>
      <c r="K169" s="627">
        <f t="shared" si="54"/>
        <v>0</v>
      </c>
      <c r="L169" s="627">
        <f t="shared" si="54"/>
        <v>0</v>
      </c>
      <c r="M169" s="627">
        <f t="shared" si="54"/>
        <v>7799</v>
      </c>
      <c r="N169" s="627">
        <f t="shared" si="54"/>
        <v>13590</v>
      </c>
      <c r="O169" s="681"/>
      <c r="P169" s="617">
        <f>1699+35+2635+400+72+80+70+380+200+143+100+10+30+7+165</f>
        <v>6026</v>
      </c>
      <c r="V169" s="624"/>
    </row>
    <row r="170" spans="1:23" ht="264" customHeight="1">
      <c r="A170" s="629" t="s">
        <v>60</v>
      </c>
      <c r="B170" s="636" t="s">
        <v>419</v>
      </c>
      <c r="C170" s="627">
        <v>26</v>
      </c>
      <c r="D170" s="627">
        <v>26</v>
      </c>
      <c r="E170" s="627">
        <v>21</v>
      </c>
      <c r="F170" s="626"/>
      <c r="G170" s="624">
        <v>5850.2</v>
      </c>
      <c r="H170" s="624">
        <f>SUM(I170:K170)</f>
        <v>59.2</v>
      </c>
      <c r="I170" s="624">
        <v>59.2</v>
      </c>
      <c r="J170" s="624"/>
      <c r="K170" s="624"/>
      <c r="L170" s="624"/>
      <c r="M170" s="624">
        <v>5125</v>
      </c>
      <c r="N170" s="680">
        <f>G170+M170-H170-L170</f>
        <v>10916</v>
      </c>
      <c r="O170" s="631" t="s">
        <v>1582</v>
      </c>
      <c r="P170" s="617">
        <f>1699+35+2635+400+72+80+70+380+200+143+100+10+30+7+165</f>
        <v>6026</v>
      </c>
      <c r="U170" s="618">
        <f>2108+208+65+1194+400+430+72+225+95+60+268</f>
        <v>5125</v>
      </c>
      <c r="V170" s="624"/>
    </row>
    <row r="171" spans="1:23" ht="127.5" customHeight="1">
      <c r="A171" s="629" t="s">
        <v>60</v>
      </c>
      <c r="B171" s="636" t="s">
        <v>1514</v>
      </c>
      <c r="C171" s="627"/>
      <c r="D171" s="627"/>
      <c r="E171" s="627"/>
      <c r="F171" s="626"/>
      <c r="G171" s="624"/>
      <c r="H171" s="624"/>
      <c r="I171" s="624"/>
      <c r="J171" s="624"/>
      <c r="K171" s="624"/>
      <c r="L171" s="624"/>
      <c r="M171" s="624">
        <v>2674</v>
      </c>
      <c r="N171" s="680">
        <f>G171+M171-H171-L171</f>
        <v>2674</v>
      </c>
      <c r="O171" s="631" t="s">
        <v>1581</v>
      </c>
      <c r="U171" s="618">
        <f>2436+100+114+24</f>
        <v>2674</v>
      </c>
      <c r="V171" s="624">
        <v>2674</v>
      </c>
    </row>
    <row r="172" spans="1:23" ht="100.5" customHeight="1">
      <c r="A172" s="629" t="s">
        <v>276</v>
      </c>
      <c r="B172" s="636" t="s">
        <v>827</v>
      </c>
      <c r="C172" s="627">
        <v>13</v>
      </c>
      <c r="D172" s="627">
        <v>13</v>
      </c>
      <c r="E172" s="627">
        <v>0</v>
      </c>
      <c r="F172" s="626"/>
      <c r="G172" s="624">
        <v>2263.9</v>
      </c>
      <c r="H172" s="624">
        <f>SUM(I172:K172)</f>
        <v>29.900000000000002</v>
      </c>
      <c r="I172" s="624">
        <v>29.900000000000002</v>
      </c>
      <c r="J172" s="624"/>
      <c r="K172" s="624"/>
      <c r="L172" s="624"/>
      <c r="M172" s="624">
        <v>458</v>
      </c>
      <c r="N172" s="680">
        <f>G172+M172-H172-L172</f>
        <v>2692</v>
      </c>
      <c r="O172" s="631" t="s">
        <v>1580</v>
      </c>
      <c r="P172" s="617">
        <f>14+120</f>
        <v>134</v>
      </c>
      <c r="U172" s="618">
        <f>25+190+103+140</f>
        <v>458</v>
      </c>
      <c r="V172" s="624"/>
    </row>
    <row r="173" spans="1:23" ht="151.5" customHeight="1">
      <c r="A173" s="629" t="s">
        <v>276</v>
      </c>
      <c r="B173" s="636" t="s">
        <v>828</v>
      </c>
      <c r="C173" s="627">
        <v>11</v>
      </c>
      <c r="D173" s="627">
        <v>11</v>
      </c>
      <c r="E173" s="627">
        <v>13</v>
      </c>
      <c r="F173" s="626"/>
      <c r="G173" s="624">
        <v>2156.3000000000002</v>
      </c>
      <c r="H173" s="624">
        <f>SUM(I173:K173)</f>
        <v>25.3</v>
      </c>
      <c r="I173" s="624">
        <v>25.3</v>
      </c>
      <c r="J173" s="624"/>
      <c r="K173" s="624"/>
      <c r="L173" s="624"/>
      <c r="M173" s="624">
        <v>4814</v>
      </c>
      <c r="N173" s="680">
        <f>G173+M173-H173-L173</f>
        <v>6945</v>
      </c>
      <c r="O173" s="631" t="s">
        <v>1579</v>
      </c>
      <c r="P173" s="617">
        <f>667+14+100+2146+160+6+50</f>
        <v>3143</v>
      </c>
      <c r="U173" s="618">
        <f>1182+22+107+3159+150+80+114</f>
        <v>4814</v>
      </c>
      <c r="V173" s="624"/>
    </row>
    <row r="174" spans="1:23" s="644" customFormat="1" ht="408.75" customHeight="1">
      <c r="A174" s="1094" t="s">
        <v>376</v>
      </c>
      <c r="B174" s="1096" t="s">
        <v>375</v>
      </c>
      <c r="C174" s="1098"/>
      <c r="D174" s="1101"/>
      <c r="E174" s="1098"/>
      <c r="F174" s="1093"/>
      <c r="G174" s="1092"/>
      <c r="H174" s="1092"/>
      <c r="I174" s="1092"/>
      <c r="J174" s="1102"/>
      <c r="K174" s="1092"/>
      <c r="L174" s="1092"/>
      <c r="M174" s="1084">
        <v>12237</v>
      </c>
      <c r="N174" s="1083">
        <f>G174+M174-H174-L174</f>
        <v>12237</v>
      </c>
      <c r="O174" s="679" t="s">
        <v>1578</v>
      </c>
      <c r="P174" s="644">
        <f>713+80+60+250+48+200+1380+755+210+240+160+100+140+60</f>
        <v>4396</v>
      </c>
      <c r="U174" s="618">
        <f>493+115+50+250+12+200+1380+538+210+240+325+140+60+136+107</f>
        <v>4256</v>
      </c>
      <c r="V174" s="1105"/>
      <c r="W174" s="644">
        <v>4256</v>
      </c>
    </row>
    <row r="175" spans="1:23" s="644" customFormat="1" ht="366" customHeight="1">
      <c r="A175" s="1095"/>
      <c r="B175" s="1097"/>
      <c r="C175" s="1098"/>
      <c r="D175" s="1101"/>
      <c r="E175" s="1098"/>
      <c r="F175" s="1093"/>
      <c r="G175" s="1092"/>
      <c r="H175" s="1092"/>
      <c r="I175" s="1092"/>
      <c r="J175" s="1103"/>
      <c r="K175" s="1092"/>
      <c r="L175" s="1092"/>
      <c r="M175" s="1084"/>
      <c r="N175" s="1083"/>
      <c r="O175" s="631" t="s">
        <v>1577</v>
      </c>
      <c r="P175" s="644">
        <f>100+1200+128+71+65+300+100+150+100+50+82</f>
        <v>2346</v>
      </c>
      <c r="U175" s="618">
        <f>122+126+130+87+400+100+100+100+50+82+18</f>
        <v>1315</v>
      </c>
      <c r="V175" s="1107"/>
    </row>
    <row r="176" spans="1:23" s="644" customFormat="1" ht="322.5" customHeight="1">
      <c r="A176" s="1095"/>
      <c r="B176" s="1097"/>
      <c r="C176" s="1098"/>
      <c r="D176" s="1101"/>
      <c r="E176" s="1098"/>
      <c r="F176" s="1093"/>
      <c r="G176" s="1092"/>
      <c r="H176" s="1092"/>
      <c r="I176" s="1092"/>
      <c r="J176" s="674"/>
      <c r="K176" s="1092"/>
      <c r="L176" s="1092"/>
      <c r="M176" s="1084"/>
      <c r="N176" s="1083"/>
      <c r="O176" s="625" t="s">
        <v>1576</v>
      </c>
      <c r="P176" s="644">
        <f>100+3500+200+1722+701+345+250+100</f>
        <v>6918</v>
      </c>
      <c r="U176" s="618">
        <f>100+3500+200+1389+600+485+292+100</f>
        <v>6666</v>
      </c>
      <c r="V176" s="1106"/>
    </row>
    <row r="177" spans="1:22" ht="57" customHeight="1">
      <c r="A177" s="635">
        <v>7</v>
      </c>
      <c r="B177" s="634" t="s">
        <v>374</v>
      </c>
      <c r="C177" s="633">
        <f t="shared" ref="C177:N177" si="55">C178+C181+C183</f>
        <v>52</v>
      </c>
      <c r="D177" s="633">
        <f t="shared" si="55"/>
        <v>50</v>
      </c>
      <c r="E177" s="633">
        <f t="shared" si="55"/>
        <v>8</v>
      </c>
      <c r="F177" s="632">
        <f t="shared" si="55"/>
        <v>88</v>
      </c>
      <c r="G177" s="630">
        <f t="shared" si="55"/>
        <v>10472.700000000001</v>
      </c>
      <c r="H177" s="630">
        <f t="shared" si="55"/>
        <v>184.9</v>
      </c>
      <c r="I177" s="630">
        <f t="shared" si="55"/>
        <v>161.9</v>
      </c>
      <c r="J177" s="630">
        <f t="shared" si="55"/>
        <v>0</v>
      </c>
      <c r="K177" s="630">
        <f t="shared" si="55"/>
        <v>23</v>
      </c>
      <c r="L177" s="630">
        <f t="shared" si="55"/>
        <v>0</v>
      </c>
      <c r="M177" s="630">
        <f t="shared" si="55"/>
        <v>22399.200000000001</v>
      </c>
      <c r="N177" s="630">
        <f t="shared" si="55"/>
        <v>32687</v>
      </c>
      <c r="O177" s="657"/>
      <c r="P177" s="640">
        <f>G177+M177-H177-L177-N177</f>
        <v>0</v>
      </c>
      <c r="V177" s="630"/>
    </row>
    <row r="178" spans="1:22" s="644" customFormat="1" ht="57" customHeight="1">
      <c r="A178" s="635" t="s">
        <v>299</v>
      </c>
      <c r="B178" s="634" t="s">
        <v>373</v>
      </c>
      <c r="C178" s="633">
        <f t="shared" ref="C178:N178" si="56">SUM(C179:C180)</f>
        <v>37</v>
      </c>
      <c r="D178" s="633">
        <f t="shared" si="56"/>
        <v>37</v>
      </c>
      <c r="E178" s="633">
        <f t="shared" si="56"/>
        <v>8</v>
      </c>
      <c r="F178" s="632">
        <f t="shared" si="56"/>
        <v>88</v>
      </c>
      <c r="G178" s="630">
        <f t="shared" si="56"/>
        <v>8230.2000000000007</v>
      </c>
      <c r="H178" s="630">
        <f t="shared" si="56"/>
        <v>150.4</v>
      </c>
      <c r="I178" s="630">
        <f t="shared" si="56"/>
        <v>127.4</v>
      </c>
      <c r="J178" s="630">
        <f t="shared" si="56"/>
        <v>0</v>
      </c>
      <c r="K178" s="630">
        <f t="shared" si="56"/>
        <v>23</v>
      </c>
      <c r="L178" s="630">
        <f t="shared" si="56"/>
        <v>0</v>
      </c>
      <c r="M178" s="630">
        <f t="shared" si="56"/>
        <v>3975.2</v>
      </c>
      <c r="N178" s="630">
        <f t="shared" si="56"/>
        <v>12055</v>
      </c>
      <c r="O178" s="657"/>
      <c r="U178" s="618"/>
      <c r="V178" s="630"/>
    </row>
    <row r="179" spans="1:22" ht="287.25" customHeight="1">
      <c r="A179" s="629" t="s">
        <v>3</v>
      </c>
      <c r="B179" s="636" t="s">
        <v>372</v>
      </c>
      <c r="C179" s="627">
        <v>25</v>
      </c>
      <c r="D179" s="627">
        <v>25</v>
      </c>
      <c r="E179" s="627">
        <v>5</v>
      </c>
      <c r="F179" s="626">
        <v>88</v>
      </c>
      <c r="G179" s="624">
        <v>5823.8</v>
      </c>
      <c r="H179" s="624">
        <f>SUM(I179:K179)</f>
        <v>112</v>
      </c>
      <c r="I179" s="624">
        <v>89</v>
      </c>
      <c r="J179" s="624"/>
      <c r="K179" s="624">
        <v>23</v>
      </c>
      <c r="L179" s="624"/>
      <c r="M179" s="624">
        <v>2930.2</v>
      </c>
      <c r="N179" s="624">
        <f>G179+M179-H179-L179</f>
        <v>8642</v>
      </c>
      <c r="O179" s="642" t="s">
        <v>1575</v>
      </c>
      <c r="P179" s="677">
        <f>422+68+40+15+90+70+5+80+120+2200+5500+50+800+50</f>
        <v>9510</v>
      </c>
      <c r="U179" s="618">
        <f>622.4+120+40+60+19.8+5+100+40+120+200+900+40+300+40+323</f>
        <v>2930.2</v>
      </c>
      <c r="V179" s="624"/>
    </row>
    <row r="180" spans="1:22" ht="214.5" customHeight="1">
      <c r="A180" s="629" t="s">
        <v>3</v>
      </c>
      <c r="B180" s="636" t="s">
        <v>371</v>
      </c>
      <c r="C180" s="627">
        <v>12</v>
      </c>
      <c r="D180" s="627">
        <v>12</v>
      </c>
      <c r="E180" s="627">
        <v>3</v>
      </c>
      <c r="F180" s="626"/>
      <c r="G180" s="624">
        <v>2406.4</v>
      </c>
      <c r="H180" s="624">
        <f>SUM(I180:K180)</f>
        <v>38.400000000000006</v>
      </c>
      <c r="I180" s="624">
        <v>38.400000000000006</v>
      </c>
      <c r="J180" s="624"/>
      <c r="K180" s="624"/>
      <c r="L180" s="624"/>
      <c r="M180" s="624">
        <v>1045</v>
      </c>
      <c r="N180" s="624">
        <f>G180+M180-H180-L180</f>
        <v>3413</v>
      </c>
      <c r="O180" s="642" t="s">
        <v>1574</v>
      </c>
      <c r="P180" s="676">
        <f>244+50+500+150+100+20</f>
        <v>1064</v>
      </c>
      <c r="U180" s="618">
        <f>354+200+36+60+150+50+50+145</f>
        <v>1045</v>
      </c>
      <c r="V180" s="624"/>
    </row>
    <row r="181" spans="1:22" s="644" customFormat="1" ht="36" customHeight="1">
      <c r="A181" s="635" t="s">
        <v>297</v>
      </c>
      <c r="B181" s="634" t="s">
        <v>336</v>
      </c>
      <c r="C181" s="633">
        <f t="shared" ref="C181:N181" si="57">C182</f>
        <v>15</v>
      </c>
      <c r="D181" s="633">
        <f t="shared" si="57"/>
        <v>13</v>
      </c>
      <c r="E181" s="633">
        <f t="shared" si="57"/>
        <v>0</v>
      </c>
      <c r="F181" s="632">
        <f t="shared" si="57"/>
        <v>0</v>
      </c>
      <c r="G181" s="630">
        <f t="shared" si="57"/>
        <v>2242.5</v>
      </c>
      <c r="H181" s="630">
        <f t="shared" si="57"/>
        <v>34.5</v>
      </c>
      <c r="I181" s="630">
        <f t="shared" si="57"/>
        <v>34.5</v>
      </c>
      <c r="J181" s="630">
        <f t="shared" si="57"/>
        <v>0</v>
      </c>
      <c r="K181" s="630">
        <f t="shared" si="57"/>
        <v>0</v>
      </c>
      <c r="L181" s="630">
        <f t="shared" si="57"/>
        <v>0</v>
      </c>
      <c r="M181" s="630">
        <f t="shared" si="57"/>
        <v>1363</v>
      </c>
      <c r="N181" s="630">
        <f t="shared" si="57"/>
        <v>3571</v>
      </c>
      <c r="O181" s="646"/>
      <c r="U181" s="618"/>
      <c r="V181" s="630"/>
    </row>
    <row r="182" spans="1:22" ht="180.75" customHeight="1">
      <c r="A182" s="671" t="s">
        <v>368</v>
      </c>
      <c r="B182" s="628" t="s">
        <v>1573</v>
      </c>
      <c r="C182" s="627">
        <v>15</v>
      </c>
      <c r="D182" s="627">
        <v>13</v>
      </c>
      <c r="E182" s="627">
        <v>0</v>
      </c>
      <c r="F182" s="626">
        <v>0</v>
      </c>
      <c r="G182" s="624">
        <v>2242.5</v>
      </c>
      <c r="H182" s="624">
        <f>SUM(I182:K182)</f>
        <v>34.5</v>
      </c>
      <c r="I182" s="624">
        <v>34.5</v>
      </c>
      <c r="J182" s="624"/>
      <c r="K182" s="624"/>
      <c r="L182" s="624"/>
      <c r="M182" s="624">
        <v>1363</v>
      </c>
      <c r="N182" s="624">
        <f>G182+M182-H182-L182</f>
        <v>3571</v>
      </c>
      <c r="O182" s="642" t="s">
        <v>1572</v>
      </c>
      <c r="P182" s="617">
        <f>100+209+166+469+240+350+14.5+77.5</f>
        <v>1626</v>
      </c>
      <c r="U182" s="618">
        <f>80+251+176+43+140+673</f>
        <v>1363</v>
      </c>
      <c r="V182" s="624"/>
    </row>
    <row r="183" spans="1:22" s="644" customFormat="1" ht="57" customHeight="1">
      <c r="A183" s="635" t="s">
        <v>295</v>
      </c>
      <c r="B183" s="634" t="s">
        <v>369</v>
      </c>
      <c r="C183" s="633">
        <f t="shared" ref="C183:N183" si="58">C184</f>
        <v>0</v>
      </c>
      <c r="D183" s="633">
        <f t="shared" si="58"/>
        <v>0</v>
      </c>
      <c r="E183" s="633">
        <f t="shared" si="58"/>
        <v>0</v>
      </c>
      <c r="F183" s="632">
        <f t="shared" si="58"/>
        <v>0</v>
      </c>
      <c r="G183" s="630">
        <f t="shared" si="58"/>
        <v>0</v>
      </c>
      <c r="H183" s="630">
        <f t="shared" si="58"/>
        <v>0</v>
      </c>
      <c r="I183" s="630">
        <f t="shared" si="58"/>
        <v>0</v>
      </c>
      <c r="J183" s="630">
        <f t="shared" si="58"/>
        <v>0</v>
      </c>
      <c r="K183" s="630">
        <f t="shared" si="58"/>
        <v>0</v>
      </c>
      <c r="L183" s="630">
        <f t="shared" si="58"/>
        <v>0</v>
      </c>
      <c r="M183" s="630">
        <f t="shared" si="58"/>
        <v>17061</v>
      </c>
      <c r="N183" s="630">
        <f t="shared" si="58"/>
        <v>17061</v>
      </c>
      <c r="O183" s="646"/>
      <c r="U183" s="618"/>
      <c r="V183" s="630"/>
    </row>
    <row r="184" spans="1:22" ht="57" customHeight="1">
      <c r="A184" s="671" t="s">
        <v>368</v>
      </c>
      <c r="B184" s="628" t="s">
        <v>367</v>
      </c>
      <c r="C184" s="627"/>
      <c r="D184" s="627"/>
      <c r="E184" s="627"/>
      <c r="F184" s="626"/>
      <c r="G184" s="624"/>
      <c r="H184" s="624">
        <f>SUM(I184:K184)</f>
        <v>0</v>
      </c>
      <c r="I184" s="624"/>
      <c r="J184" s="624"/>
      <c r="K184" s="624"/>
      <c r="L184" s="624"/>
      <c r="M184" s="624">
        <v>17061</v>
      </c>
      <c r="N184" s="624">
        <f>G184+M184-H184-L184</f>
        <v>17061</v>
      </c>
      <c r="O184" s="631"/>
      <c r="U184" s="618">
        <v>17061</v>
      </c>
      <c r="V184" s="624"/>
    </row>
    <row r="185" spans="1:22" ht="36" customHeight="1">
      <c r="A185" s="635">
        <v>8</v>
      </c>
      <c r="B185" s="634" t="s">
        <v>366</v>
      </c>
      <c r="C185" s="656">
        <f t="shared" ref="C185:N185" si="59">C186+C187</f>
        <v>39</v>
      </c>
      <c r="D185" s="656">
        <f t="shared" si="59"/>
        <v>39</v>
      </c>
      <c r="E185" s="656">
        <f t="shared" si="59"/>
        <v>5</v>
      </c>
      <c r="F185" s="632">
        <f t="shared" si="59"/>
        <v>1300</v>
      </c>
      <c r="G185" s="630">
        <f t="shared" si="59"/>
        <v>8255.6</v>
      </c>
      <c r="H185" s="630">
        <f t="shared" si="59"/>
        <v>340.6</v>
      </c>
      <c r="I185" s="630">
        <f t="shared" si="59"/>
        <v>136.6</v>
      </c>
      <c r="J185" s="630">
        <f t="shared" si="59"/>
        <v>0</v>
      </c>
      <c r="K185" s="630">
        <f t="shared" si="59"/>
        <v>204</v>
      </c>
      <c r="L185" s="630">
        <f t="shared" si="59"/>
        <v>0</v>
      </c>
      <c r="M185" s="630">
        <f t="shared" si="59"/>
        <v>3356</v>
      </c>
      <c r="N185" s="630">
        <f t="shared" si="59"/>
        <v>11271</v>
      </c>
      <c r="O185" s="625"/>
      <c r="P185" s="640">
        <f>G185+M185-H185-L185-N185</f>
        <v>0</v>
      </c>
      <c r="V185" s="630"/>
    </row>
    <row r="186" spans="1:22" s="644" customFormat="1" ht="151.5" customHeight="1">
      <c r="A186" s="635" t="s">
        <v>299</v>
      </c>
      <c r="B186" s="634" t="s">
        <v>320</v>
      </c>
      <c r="C186" s="633">
        <v>39</v>
      </c>
      <c r="D186" s="633">
        <v>39</v>
      </c>
      <c r="E186" s="633">
        <v>5</v>
      </c>
      <c r="F186" s="632">
        <v>1300</v>
      </c>
      <c r="G186" s="630">
        <v>8255.6</v>
      </c>
      <c r="H186" s="630">
        <f>SUM(I186:K186)</f>
        <v>340.6</v>
      </c>
      <c r="I186" s="630">
        <v>136.6</v>
      </c>
      <c r="J186" s="630"/>
      <c r="K186" s="630">
        <v>204</v>
      </c>
      <c r="L186" s="630">
        <v>0</v>
      </c>
      <c r="M186" s="630">
        <v>1542</v>
      </c>
      <c r="N186" s="630">
        <f>G186+M186-H186-L186</f>
        <v>9457</v>
      </c>
      <c r="O186" s="788" t="s">
        <v>1790</v>
      </c>
      <c r="P186" s="644">
        <f>348+45+35+32+120+50+20+20+50+50+90+614</f>
        <v>1474</v>
      </c>
      <c r="U186" s="618">
        <f>566+100+35+33+150+50+20+20+80+50+438</f>
        <v>1542</v>
      </c>
      <c r="V186" s="630"/>
    </row>
    <row r="187" spans="1:22" s="644" customFormat="1" ht="57" customHeight="1">
      <c r="A187" s="635" t="s">
        <v>297</v>
      </c>
      <c r="B187" s="634" t="s">
        <v>365</v>
      </c>
      <c r="C187" s="633"/>
      <c r="D187" s="633"/>
      <c r="E187" s="633"/>
      <c r="F187" s="632"/>
      <c r="G187" s="630"/>
      <c r="H187" s="630">
        <f>SUM(I187:K187)</f>
        <v>0</v>
      </c>
      <c r="I187" s="630"/>
      <c r="J187" s="630"/>
      <c r="K187" s="630"/>
      <c r="L187" s="630"/>
      <c r="M187" s="630">
        <v>1814</v>
      </c>
      <c r="N187" s="630">
        <f>G187+M187-H187-L187</f>
        <v>1814</v>
      </c>
      <c r="O187" s="631" t="s">
        <v>1571</v>
      </c>
      <c r="P187" s="644">
        <f>10000+1063+1500+4775+500</f>
        <v>17838</v>
      </c>
      <c r="U187" s="618">
        <f>300+1514</f>
        <v>1814</v>
      </c>
      <c r="V187" s="630"/>
    </row>
    <row r="188" spans="1:22" ht="57" customHeight="1">
      <c r="A188" s="635">
        <v>9</v>
      </c>
      <c r="B188" s="634" t="s">
        <v>364</v>
      </c>
      <c r="C188" s="656">
        <f t="shared" ref="C188:N188" si="60">C189+C190+C197+C198+C204+C205+C206+C207</f>
        <v>161</v>
      </c>
      <c r="D188" s="656">
        <f t="shared" si="60"/>
        <v>155</v>
      </c>
      <c r="E188" s="656">
        <f t="shared" si="60"/>
        <v>0</v>
      </c>
      <c r="F188" s="656">
        <f t="shared" si="60"/>
        <v>40</v>
      </c>
      <c r="G188" s="656">
        <f t="shared" si="60"/>
        <v>37251.1</v>
      </c>
      <c r="H188" s="656">
        <f t="shared" si="60"/>
        <v>773.5</v>
      </c>
      <c r="I188" s="656">
        <f t="shared" si="60"/>
        <v>416.5</v>
      </c>
      <c r="J188" s="656">
        <f t="shared" si="60"/>
        <v>0</v>
      </c>
      <c r="K188" s="656">
        <f t="shared" si="60"/>
        <v>357</v>
      </c>
      <c r="L188" s="656">
        <f t="shared" si="60"/>
        <v>114</v>
      </c>
      <c r="M188" s="656">
        <f t="shared" si="60"/>
        <v>60108.4</v>
      </c>
      <c r="N188" s="656">
        <f t="shared" si="60"/>
        <v>96472</v>
      </c>
      <c r="O188" s="657"/>
      <c r="P188" s="640">
        <f>G188+M188-H188-L188-N188</f>
        <v>0</v>
      </c>
      <c r="V188" s="656"/>
    </row>
    <row r="189" spans="1:22" ht="229.5" customHeight="1">
      <c r="A189" s="635" t="s">
        <v>299</v>
      </c>
      <c r="B189" s="634" t="s">
        <v>320</v>
      </c>
      <c r="C189" s="633">
        <v>41</v>
      </c>
      <c r="D189" s="633">
        <v>41</v>
      </c>
      <c r="E189" s="633">
        <v>0</v>
      </c>
      <c r="F189" s="632">
        <v>20</v>
      </c>
      <c r="G189" s="630">
        <v>9655.2000000000007</v>
      </c>
      <c r="H189" s="630">
        <f>SUM(I189:K189)</f>
        <v>143.20000000000002</v>
      </c>
      <c r="I189" s="630">
        <v>143.20000000000002</v>
      </c>
      <c r="J189" s="630"/>
      <c r="K189" s="630">
        <v>0</v>
      </c>
      <c r="L189" s="630"/>
      <c r="M189" s="630">
        <v>1744</v>
      </c>
      <c r="N189" s="630">
        <f>G189+M189-H189-L189</f>
        <v>11256</v>
      </c>
      <c r="O189" s="637" t="s">
        <v>1570</v>
      </c>
      <c r="P189" s="617">
        <f>384+55+20+20+50+100+100+50+50+50+1388+15</f>
        <v>2282</v>
      </c>
      <c r="U189" s="648">
        <f>548+60+526+20+30+50+100+100+50+100+80+20+60</f>
        <v>1744</v>
      </c>
      <c r="V189" s="630"/>
    </row>
    <row r="190" spans="1:22" ht="36" customHeight="1">
      <c r="A190" s="635" t="s">
        <v>297</v>
      </c>
      <c r="B190" s="634" t="s">
        <v>363</v>
      </c>
      <c r="C190" s="633">
        <f t="shared" ref="C190:N190" si="61">C191+C196</f>
        <v>102</v>
      </c>
      <c r="D190" s="633">
        <f t="shared" si="61"/>
        <v>102</v>
      </c>
      <c r="E190" s="633">
        <f t="shared" si="61"/>
        <v>0</v>
      </c>
      <c r="F190" s="632">
        <f t="shared" si="61"/>
        <v>20</v>
      </c>
      <c r="G190" s="630">
        <f t="shared" si="61"/>
        <v>17762.5</v>
      </c>
      <c r="H190" s="630">
        <f t="shared" si="61"/>
        <v>384.9</v>
      </c>
      <c r="I190" s="630">
        <f t="shared" si="61"/>
        <v>231.9</v>
      </c>
      <c r="J190" s="630">
        <f t="shared" si="61"/>
        <v>0</v>
      </c>
      <c r="K190" s="630">
        <f t="shared" si="61"/>
        <v>153</v>
      </c>
      <c r="L190" s="630">
        <f t="shared" si="61"/>
        <v>13</v>
      </c>
      <c r="M190" s="630">
        <f t="shared" si="61"/>
        <v>43451.4</v>
      </c>
      <c r="N190" s="630">
        <f t="shared" si="61"/>
        <v>60816</v>
      </c>
      <c r="O190" s="637"/>
      <c r="V190" s="630"/>
    </row>
    <row r="191" spans="1:22" ht="36" customHeight="1">
      <c r="A191" s="635" t="s">
        <v>362</v>
      </c>
      <c r="B191" s="634" t="s">
        <v>309</v>
      </c>
      <c r="C191" s="633">
        <f>SUM(C192:C195)</f>
        <v>102</v>
      </c>
      <c r="D191" s="633">
        <f t="shared" ref="D191:N191" si="62">SUM(D192:D195)</f>
        <v>102</v>
      </c>
      <c r="E191" s="633">
        <f t="shared" si="62"/>
        <v>0</v>
      </c>
      <c r="F191" s="632">
        <f t="shared" si="62"/>
        <v>20</v>
      </c>
      <c r="G191" s="630">
        <f t="shared" si="62"/>
        <v>17762.5</v>
      </c>
      <c r="H191" s="630">
        <f t="shared" si="62"/>
        <v>384.9</v>
      </c>
      <c r="I191" s="630">
        <f t="shared" si="62"/>
        <v>231.9</v>
      </c>
      <c r="J191" s="630">
        <f t="shared" si="62"/>
        <v>0</v>
      </c>
      <c r="K191" s="630">
        <f t="shared" si="62"/>
        <v>153</v>
      </c>
      <c r="L191" s="630">
        <f t="shared" si="62"/>
        <v>13</v>
      </c>
      <c r="M191" s="630">
        <f t="shared" si="62"/>
        <v>18351.400000000001</v>
      </c>
      <c r="N191" s="630">
        <f t="shared" si="62"/>
        <v>35716</v>
      </c>
      <c r="O191" s="625"/>
      <c r="V191" s="630"/>
    </row>
    <row r="192" spans="1:22" ht="228.75" customHeight="1">
      <c r="A192" s="629" t="s">
        <v>3</v>
      </c>
      <c r="B192" s="636" t="s">
        <v>1793</v>
      </c>
      <c r="C192" s="627">
        <v>19</v>
      </c>
      <c r="D192" s="627">
        <v>19</v>
      </c>
      <c r="E192" s="627">
        <v>0</v>
      </c>
      <c r="F192" s="626">
        <v>0</v>
      </c>
      <c r="G192" s="624">
        <v>3295.3</v>
      </c>
      <c r="H192" s="624">
        <v>126.7</v>
      </c>
      <c r="I192" s="624">
        <v>43.7</v>
      </c>
      <c r="J192" s="624"/>
      <c r="K192" s="624">
        <v>83</v>
      </c>
      <c r="L192" s="624">
        <v>13</v>
      </c>
      <c r="M192" s="624">
        <v>11572.4</v>
      </c>
      <c r="N192" s="624">
        <v>14728</v>
      </c>
      <c r="O192" s="625" t="s">
        <v>1796</v>
      </c>
      <c r="P192" s="617">
        <v>11572.4</v>
      </c>
      <c r="U192" s="648">
        <v>4122</v>
      </c>
      <c r="V192" s="624"/>
    </row>
    <row r="193" spans="1:22" ht="134.25" customHeight="1">
      <c r="A193" s="629" t="s">
        <v>3</v>
      </c>
      <c r="B193" s="636" t="s">
        <v>1792</v>
      </c>
      <c r="C193" s="627">
        <v>42</v>
      </c>
      <c r="D193" s="627">
        <v>42</v>
      </c>
      <c r="E193" s="627">
        <v>0</v>
      </c>
      <c r="F193" s="626">
        <v>0</v>
      </c>
      <c r="G193" s="624">
        <v>7361.2</v>
      </c>
      <c r="H193" s="624">
        <v>108.2</v>
      </c>
      <c r="I193" s="624">
        <v>94.2</v>
      </c>
      <c r="J193" s="624"/>
      <c r="K193" s="624">
        <v>14</v>
      </c>
      <c r="L193" s="624">
        <v>0</v>
      </c>
      <c r="M193" s="624">
        <v>2116</v>
      </c>
      <c r="N193" s="624">
        <v>9369</v>
      </c>
      <c r="O193" s="625" t="s">
        <v>1797</v>
      </c>
      <c r="P193" s="617">
        <v>2116</v>
      </c>
      <c r="U193" s="648">
        <v>4122</v>
      </c>
      <c r="V193" s="624"/>
    </row>
    <row r="194" spans="1:22" ht="280.5" customHeight="1">
      <c r="A194" s="629" t="s">
        <v>3</v>
      </c>
      <c r="B194" s="636" t="s">
        <v>361</v>
      </c>
      <c r="C194" s="627">
        <v>18</v>
      </c>
      <c r="D194" s="627">
        <v>18</v>
      </c>
      <c r="E194" s="627">
        <v>0</v>
      </c>
      <c r="F194" s="626">
        <v>20</v>
      </c>
      <c r="G194" s="624">
        <v>3342.4</v>
      </c>
      <c r="H194" s="624">
        <v>85.4</v>
      </c>
      <c r="I194" s="624">
        <v>41.400000000000006</v>
      </c>
      <c r="J194" s="624"/>
      <c r="K194" s="624">
        <v>44</v>
      </c>
      <c r="L194" s="624">
        <v>0</v>
      </c>
      <c r="M194" s="624">
        <v>2003</v>
      </c>
      <c r="N194" s="624">
        <v>5260</v>
      </c>
      <c r="O194" s="625" t="s">
        <v>1798</v>
      </c>
      <c r="P194" s="617">
        <v>2003</v>
      </c>
      <c r="U194" s="648">
        <v>1975</v>
      </c>
      <c r="V194" s="624"/>
    </row>
    <row r="195" spans="1:22" ht="307.5" customHeight="1">
      <c r="A195" s="629" t="s">
        <v>3</v>
      </c>
      <c r="B195" s="636" t="s">
        <v>360</v>
      </c>
      <c r="C195" s="627">
        <v>23</v>
      </c>
      <c r="D195" s="627">
        <v>23</v>
      </c>
      <c r="E195" s="627">
        <v>0</v>
      </c>
      <c r="F195" s="626">
        <v>0</v>
      </c>
      <c r="G195" s="624">
        <v>3763.6</v>
      </c>
      <c r="H195" s="624">
        <v>64.599999999999994</v>
      </c>
      <c r="I195" s="624">
        <v>52.6</v>
      </c>
      <c r="J195" s="624"/>
      <c r="K195" s="624">
        <v>12</v>
      </c>
      <c r="L195" s="624">
        <v>0</v>
      </c>
      <c r="M195" s="624">
        <v>2660</v>
      </c>
      <c r="N195" s="624">
        <v>6359</v>
      </c>
      <c r="O195" s="625" t="s">
        <v>1799</v>
      </c>
      <c r="P195" s="617">
        <v>2660</v>
      </c>
      <c r="U195" s="648">
        <v>2638</v>
      </c>
      <c r="V195" s="624"/>
    </row>
    <row r="196" spans="1:22" s="644" customFormat="1" ht="366.75" customHeight="1">
      <c r="A196" s="635" t="s">
        <v>359</v>
      </c>
      <c r="B196" s="634" t="s">
        <v>358</v>
      </c>
      <c r="C196" s="633"/>
      <c r="D196" s="633"/>
      <c r="E196" s="633"/>
      <c r="F196" s="632"/>
      <c r="G196" s="630"/>
      <c r="H196" s="630"/>
      <c r="I196" s="630"/>
      <c r="J196" s="630"/>
      <c r="K196" s="630"/>
      <c r="L196" s="630"/>
      <c r="M196" s="630">
        <v>25100</v>
      </c>
      <c r="N196" s="630">
        <f>G196+M196-H196-L196</f>
        <v>25100</v>
      </c>
      <c r="O196" s="637" t="s">
        <v>1569</v>
      </c>
      <c r="P196" s="644">
        <f>2300+1000+1000+1500+600+500+800+700+450+2000</f>
        <v>10850</v>
      </c>
      <c r="U196" s="648">
        <f>12000+400+500+700+250+200+500+1500+500+2000+300+200+300+250+200+2000+3300</f>
        <v>25100</v>
      </c>
      <c r="V196" s="630"/>
    </row>
    <row r="197" spans="1:22" s="644" customFormat="1" ht="189" customHeight="1">
      <c r="A197" s="635" t="s">
        <v>295</v>
      </c>
      <c r="B197" s="634" t="s">
        <v>318</v>
      </c>
      <c r="C197" s="633"/>
      <c r="D197" s="633"/>
      <c r="E197" s="633"/>
      <c r="F197" s="632"/>
      <c r="G197" s="630"/>
      <c r="H197" s="630">
        <f>SUM(I197:K197)</f>
        <v>0</v>
      </c>
      <c r="I197" s="630"/>
      <c r="J197" s="630"/>
      <c r="K197" s="630"/>
      <c r="L197" s="630"/>
      <c r="M197" s="630">
        <v>1736</v>
      </c>
      <c r="N197" s="630">
        <f>G197+M197-H197-L197</f>
        <v>1736</v>
      </c>
      <c r="O197" s="637" t="s">
        <v>1568</v>
      </c>
      <c r="U197" s="648">
        <f>100+996+200+250+150+40</f>
        <v>1736</v>
      </c>
      <c r="V197" s="630"/>
    </row>
    <row r="198" spans="1:22" s="644" customFormat="1" ht="57" customHeight="1">
      <c r="A198" s="635" t="s">
        <v>291</v>
      </c>
      <c r="B198" s="634" t="s">
        <v>356</v>
      </c>
      <c r="C198" s="633">
        <f t="shared" ref="C198:N198" si="63">C200+C199</f>
        <v>18</v>
      </c>
      <c r="D198" s="633">
        <f t="shared" si="63"/>
        <v>12</v>
      </c>
      <c r="E198" s="633">
        <f t="shared" si="63"/>
        <v>0</v>
      </c>
      <c r="F198" s="633">
        <f t="shared" si="63"/>
        <v>0</v>
      </c>
      <c r="G198" s="633">
        <f t="shared" si="63"/>
        <v>9833.4</v>
      </c>
      <c r="H198" s="633">
        <f t="shared" si="63"/>
        <v>245.4</v>
      </c>
      <c r="I198" s="633">
        <f t="shared" si="63"/>
        <v>41.400000000000006</v>
      </c>
      <c r="J198" s="633">
        <f t="shared" si="63"/>
        <v>0</v>
      </c>
      <c r="K198" s="633">
        <f t="shared" si="63"/>
        <v>204</v>
      </c>
      <c r="L198" s="633">
        <f t="shared" si="63"/>
        <v>101</v>
      </c>
      <c r="M198" s="633">
        <f t="shared" si="63"/>
        <v>8677</v>
      </c>
      <c r="N198" s="633">
        <f t="shared" si="63"/>
        <v>18164</v>
      </c>
      <c r="O198" s="646"/>
      <c r="U198" s="618"/>
      <c r="V198" s="674"/>
    </row>
    <row r="199" spans="1:22" s="644" customFormat="1" ht="57" customHeight="1">
      <c r="A199" s="635" t="s">
        <v>3</v>
      </c>
      <c r="B199" s="634" t="s">
        <v>1567</v>
      </c>
      <c r="C199" s="633"/>
      <c r="D199" s="633"/>
      <c r="E199" s="633"/>
      <c r="F199" s="633"/>
      <c r="G199" s="633"/>
      <c r="H199" s="633"/>
      <c r="I199" s="633"/>
      <c r="J199" s="633"/>
      <c r="K199" s="633"/>
      <c r="L199" s="633"/>
      <c r="M199" s="633">
        <v>1300</v>
      </c>
      <c r="N199" s="630">
        <f>G199+M199-H199-L199</f>
        <v>1300</v>
      </c>
      <c r="O199" s="631" t="s">
        <v>1566</v>
      </c>
      <c r="U199" s="618">
        <v>1300</v>
      </c>
      <c r="V199" s="674"/>
    </row>
    <row r="200" spans="1:22" s="644" customFormat="1" ht="75.75" customHeight="1">
      <c r="A200" s="635" t="s">
        <v>3</v>
      </c>
      <c r="B200" s="634" t="s">
        <v>355</v>
      </c>
      <c r="C200" s="633">
        <f t="shared" ref="C200:N200" si="64">SUM(C201:C203)</f>
        <v>18</v>
      </c>
      <c r="D200" s="633">
        <f t="shared" si="64"/>
        <v>12</v>
      </c>
      <c r="E200" s="633">
        <f t="shared" si="64"/>
        <v>0</v>
      </c>
      <c r="F200" s="633">
        <f t="shared" si="64"/>
        <v>0</v>
      </c>
      <c r="G200" s="633">
        <f t="shared" si="64"/>
        <v>9833.4</v>
      </c>
      <c r="H200" s="633">
        <f t="shared" si="64"/>
        <v>245.4</v>
      </c>
      <c r="I200" s="633">
        <f t="shared" si="64"/>
        <v>41.400000000000006</v>
      </c>
      <c r="J200" s="633">
        <f t="shared" si="64"/>
        <v>0</v>
      </c>
      <c r="K200" s="633">
        <f t="shared" si="64"/>
        <v>204</v>
      </c>
      <c r="L200" s="633">
        <f t="shared" si="64"/>
        <v>101</v>
      </c>
      <c r="M200" s="633">
        <f t="shared" si="64"/>
        <v>7377</v>
      </c>
      <c r="N200" s="633">
        <f t="shared" si="64"/>
        <v>16864</v>
      </c>
      <c r="O200" s="646"/>
      <c r="U200" s="618"/>
      <c r="V200" s="674"/>
    </row>
    <row r="201" spans="1:22" ht="117" customHeight="1">
      <c r="A201" s="629" t="s">
        <v>60</v>
      </c>
      <c r="B201" s="636" t="s">
        <v>419</v>
      </c>
      <c r="C201" s="627">
        <v>18</v>
      </c>
      <c r="D201" s="627">
        <v>12</v>
      </c>
      <c r="E201" s="627">
        <v>0</v>
      </c>
      <c r="F201" s="626">
        <v>0</v>
      </c>
      <c r="G201" s="624">
        <v>2273.3999999999996</v>
      </c>
      <c r="H201" s="624">
        <f>SUM(I201:K201)</f>
        <v>245.4</v>
      </c>
      <c r="I201" s="624">
        <v>41.400000000000006</v>
      </c>
      <c r="J201" s="624"/>
      <c r="K201" s="624">
        <v>204</v>
      </c>
      <c r="L201" s="624">
        <v>101</v>
      </c>
      <c r="M201" s="624">
        <v>1077</v>
      </c>
      <c r="N201" s="624">
        <f t="shared" ref="N201:N207" si="65">G201+M201-H201-L201</f>
        <v>3003.9999999999995</v>
      </c>
      <c r="O201" s="631" t="s">
        <v>1565</v>
      </c>
      <c r="P201" s="617">
        <f>18+100+30+380+100+130</f>
        <v>758</v>
      </c>
      <c r="U201" s="618">
        <v>1077</v>
      </c>
      <c r="V201" s="624"/>
    </row>
    <row r="202" spans="1:22" ht="57" customHeight="1">
      <c r="A202" s="629" t="s">
        <v>60</v>
      </c>
      <c r="B202" s="636" t="s">
        <v>354</v>
      </c>
      <c r="C202" s="627"/>
      <c r="D202" s="627"/>
      <c r="E202" s="627"/>
      <c r="F202" s="626"/>
      <c r="G202" s="624"/>
      <c r="H202" s="624">
        <f>SUM(I202:K202)</f>
        <v>0</v>
      </c>
      <c r="I202" s="624"/>
      <c r="J202" s="624"/>
      <c r="K202" s="624"/>
      <c r="L202" s="624"/>
      <c r="M202" s="624">
        <v>6300</v>
      </c>
      <c r="N202" s="624">
        <f t="shared" si="65"/>
        <v>6300</v>
      </c>
      <c r="O202" s="631" t="s">
        <v>1564</v>
      </c>
      <c r="U202" s="618">
        <v>6300</v>
      </c>
      <c r="V202" s="624"/>
    </row>
    <row r="203" spans="1:22" ht="36" customHeight="1">
      <c r="A203" s="629" t="s">
        <v>60</v>
      </c>
      <c r="B203" s="636" t="s">
        <v>352</v>
      </c>
      <c r="C203" s="627"/>
      <c r="D203" s="627"/>
      <c r="E203" s="627"/>
      <c r="F203" s="626"/>
      <c r="G203" s="624">
        <v>7560</v>
      </c>
      <c r="H203" s="624"/>
      <c r="I203" s="624"/>
      <c r="J203" s="624"/>
      <c r="K203" s="624"/>
      <c r="L203" s="624"/>
      <c r="M203" s="624"/>
      <c r="N203" s="624">
        <f t="shared" si="65"/>
        <v>7560</v>
      </c>
      <c r="O203" s="631"/>
      <c r="V203" s="624"/>
    </row>
    <row r="204" spans="1:22" s="644" customFormat="1" ht="36" customHeight="1">
      <c r="A204" s="635" t="s">
        <v>429</v>
      </c>
      <c r="B204" s="634" t="s">
        <v>350</v>
      </c>
      <c r="C204" s="633"/>
      <c r="D204" s="633"/>
      <c r="E204" s="633"/>
      <c r="F204" s="632"/>
      <c r="G204" s="630"/>
      <c r="H204" s="624"/>
      <c r="I204" s="630"/>
      <c r="J204" s="630"/>
      <c r="K204" s="630"/>
      <c r="L204" s="630"/>
      <c r="M204" s="630">
        <v>1000</v>
      </c>
      <c r="N204" s="630">
        <f t="shared" si="65"/>
        <v>1000</v>
      </c>
      <c r="O204" s="657"/>
      <c r="U204" s="618">
        <v>1000</v>
      </c>
      <c r="V204" s="630"/>
    </row>
    <row r="205" spans="1:22" s="644" customFormat="1" ht="19.149999999999999" hidden="1" customHeight="1">
      <c r="A205" s="635"/>
      <c r="B205" s="647"/>
      <c r="C205" s="633"/>
      <c r="D205" s="633"/>
      <c r="E205" s="633"/>
      <c r="F205" s="632"/>
      <c r="G205" s="630"/>
      <c r="H205" s="630"/>
      <c r="I205" s="630"/>
      <c r="J205" s="630"/>
      <c r="K205" s="630"/>
      <c r="L205" s="630"/>
      <c r="M205" s="630"/>
      <c r="N205" s="630"/>
      <c r="O205" s="637"/>
      <c r="U205" s="618"/>
      <c r="V205" s="630"/>
    </row>
    <row r="206" spans="1:22" s="644" customFormat="1" ht="19.149999999999999" hidden="1" customHeight="1">
      <c r="A206" s="635"/>
      <c r="B206" s="647"/>
      <c r="C206" s="633"/>
      <c r="D206" s="633"/>
      <c r="E206" s="633"/>
      <c r="F206" s="632"/>
      <c r="G206" s="630"/>
      <c r="H206" s="630"/>
      <c r="I206" s="630"/>
      <c r="J206" s="630"/>
      <c r="K206" s="630"/>
      <c r="L206" s="630"/>
      <c r="M206" s="630"/>
      <c r="N206" s="630"/>
      <c r="O206" s="637"/>
      <c r="U206" s="618"/>
      <c r="V206" s="630"/>
    </row>
    <row r="207" spans="1:22" s="644" customFormat="1" ht="97.5" customHeight="1">
      <c r="A207" s="635" t="s">
        <v>1563</v>
      </c>
      <c r="B207" s="647" t="s">
        <v>1562</v>
      </c>
      <c r="C207" s="633"/>
      <c r="D207" s="633"/>
      <c r="E207" s="633"/>
      <c r="F207" s="632"/>
      <c r="G207" s="630"/>
      <c r="H207" s="630"/>
      <c r="I207" s="630"/>
      <c r="J207" s="630"/>
      <c r="K207" s="630"/>
      <c r="L207" s="630"/>
      <c r="M207" s="630">
        <v>3500</v>
      </c>
      <c r="N207" s="630">
        <f t="shared" si="65"/>
        <v>3500</v>
      </c>
      <c r="O207" s="637" t="s">
        <v>1561</v>
      </c>
      <c r="U207" s="618">
        <v>3500</v>
      </c>
      <c r="V207" s="630"/>
    </row>
    <row r="208" spans="1:22" ht="36" customHeight="1">
      <c r="A208" s="635">
        <v>10</v>
      </c>
      <c r="B208" s="634" t="s">
        <v>346</v>
      </c>
      <c r="C208" s="633">
        <f t="shared" ref="C208:N208" si="66">C209+C211</f>
        <v>60</v>
      </c>
      <c r="D208" s="633">
        <f t="shared" si="66"/>
        <v>58</v>
      </c>
      <c r="E208" s="633">
        <f t="shared" si="66"/>
        <v>0</v>
      </c>
      <c r="F208" s="632">
        <f t="shared" si="66"/>
        <v>500</v>
      </c>
      <c r="G208" s="630">
        <f t="shared" si="66"/>
        <v>10685.9</v>
      </c>
      <c r="H208" s="630">
        <f t="shared" si="66"/>
        <v>192.9</v>
      </c>
      <c r="I208" s="630">
        <f t="shared" si="66"/>
        <v>174.9</v>
      </c>
      <c r="J208" s="630">
        <f t="shared" si="66"/>
        <v>0</v>
      </c>
      <c r="K208" s="630">
        <f t="shared" si="66"/>
        <v>18</v>
      </c>
      <c r="L208" s="630">
        <f t="shared" si="66"/>
        <v>0</v>
      </c>
      <c r="M208" s="630">
        <f t="shared" si="66"/>
        <v>8330</v>
      </c>
      <c r="N208" s="630">
        <f t="shared" si="66"/>
        <v>18823</v>
      </c>
      <c r="O208" s="631"/>
      <c r="P208" s="640">
        <f>G208+M208-H208-L208-N208</f>
        <v>0</v>
      </c>
      <c r="V208" s="630"/>
    </row>
    <row r="209" spans="1:22" ht="187.5" customHeight="1">
      <c r="A209" s="1094" t="s">
        <v>299</v>
      </c>
      <c r="B209" s="1109" t="s">
        <v>320</v>
      </c>
      <c r="C209" s="1101">
        <v>30</v>
      </c>
      <c r="D209" s="1101">
        <v>30</v>
      </c>
      <c r="E209" s="1101">
        <v>0</v>
      </c>
      <c r="F209" s="1093">
        <v>500</v>
      </c>
      <c r="G209" s="1092">
        <v>6387</v>
      </c>
      <c r="H209" s="1092">
        <f>SUM(I209:K209)</f>
        <v>106</v>
      </c>
      <c r="I209" s="1092">
        <v>106</v>
      </c>
      <c r="J209" s="673"/>
      <c r="K209" s="1092"/>
      <c r="L209" s="1092"/>
      <c r="M209" s="1092">
        <v>4625</v>
      </c>
      <c r="N209" s="1092">
        <f>G209+M209-H209-L209</f>
        <v>10906</v>
      </c>
      <c r="O209" s="1108" t="s">
        <v>1560</v>
      </c>
      <c r="P209" s="675">
        <f>55+365+35+15+1100+544+150+20+300+100+110+200+200+160+550+200+70+561+230+50</f>
        <v>5015</v>
      </c>
      <c r="U209" s="618">
        <f>140+584+35+13+1100+100+40+350+100+107+200+120+200+550+200+30+70+84+154+100+348</f>
        <v>4625</v>
      </c>
      <c r="V209" s="673"/>
    </row>
    <row r="210" spans="1:22" ht="162.75" customHeight="1">
      <c r="A210" s="1094"/>
      <c r="B210" s="1110"/>
      <c r="C210" s="1101"/>
      <c r="D210" s="1101"/>
      <c r="E210" s="1101"/>
      <c r="F210" s="1093"/>
      <c r="G210" s="1092"/>
      <c r="H210" s="1092"/>
      <c r="I210" s="1092"/>
      <c r="J210" s="673"/>
      <c r="K210" s="1092"/>
      <c r="L210" s="1092"/>
      <c r="M210" s="1092"/>
      <c r="N210" s="1092"/>
      <c r="O210" s="1108"/>
      <c r="V210" s="673"/>
    </row>
    <row r="211" spans="1:22" ht="36" customHeight="1">
      <c r="A211" s="635" t="s">
        <v>297</v>
      </c>
      <c r="B211" s="634" t="s">
        <v>345</v>
      </c>
      <c r="C211" s="633">
        <f t="shared" ref="C211:N211" si="67">SUM(C212:C213)</f>
        <v>30</v>
      </c>
      <c r="D211" s="633">
        <f t="shared" si="67"/>
        <v>28</v>
      </c>
      <c r="E211" s="633">
        <f t="shared" si="67"/>
        <v>0</v>
      </c>
      <c r="F211" s="632">
        <f t="shared" si="67"/>
        <v>0</v>
      </c>
      <c r="G211" s="630">
        <f t="shared" si="67"/>
        <v>4298.8999999999996</v>
      </c>
      <c r="H211" s="630">
        <f t="shared" si="67"/>
        <v>86.9</v>
      </c>
      <c r="I211" s="630">
        <f t="shared" si="67"/>
        <v>68.900000000000006</v>
      </c>
      <c r="J211" s="630">
        <f t="shared" si="67"/>
        <v>0</v>
      </c>
      <c r="K211" s="630">
        <f t="shared" si="67"/>
        <v>18</v>
      </c>
      <c r="L211" s="630">
        <f t="shared" si="67"/>
        <v>0</v>
      </c>
      <c r="M211" s="630">
        <f t="shared" si="67"/>
        <v>3705</v>
      </c>
      <c r="N211" s="630">
        <f t="shared" si="67"/>
        <v>7917</v>
      </c>
      <c r="O211" s="631"/>
      <c r="V211" s="630"/>
    </row>
    <row r="212" spans="1:22" ht="138" customHeight="1">
      <c r="A212" s="671" t="s">
        <v>276</v>
      </c>
      <c r="B212" s="636" t="s">
        <v>344</v>
      </c>
      <c r="C212" s="627">
        <v>21</v>
      </c>
      <c r="D212" s="627">
        <v>21</v>
      </c>
      <c r="E212" s="627">
        <v>0</v>
      </c>
      <c r="F212" s="626"/>
      <c r="G212" s="624">
        <v>3132.2</v>
      </c>
      <c r="H212" s="624">
        <f>SUM(I212:K212)</f>
        <v>48.2</v>
      </c>
      <c r="I212" s="624">
        <v>48.2</v>
      </c>
      <c r="J212" s="624"/>
      <c r="K212" s="624"/>
      <c r="L212" s="624"/>
      <c r="M212" s="624">
        <v>3634</v>
      </c>
      <c r="N212" s="624">
        <f>G212+M212-H212-L212</f>
        <v>6718</v>
      </c>
      <c r="O212" s="672" t="s">
        <v>1559</v>
      </c>
      <c r="P212" s="617">
        <f>12+39+76+1950+400+40+12</f>
        <v>2529</v>
      </c>
      <c r="U212" s="618">
        <f>20+30+113+2860+400+23+14+174</f>
        <v>3634</v>
      </c>
      <c r="V212" s="624"/>
    </row>
    <row r="213" spans="1:22" ht="57" customHeight="1">
      <c r="A213" s="671" t="s">
        <v>276</v>
      </c>
      <c r="B213" s="636" t="s">
        <v>1558</v>
      </c>
      <c r="C213" s="627">
        <v>9</v>
      </c>
      <c r="D213" s="627">
        <v>7</v>
      </c>
      <c r="E213" s="627">
        <v>0</v>
      </c>
      <c r="F213" s="626">
        <v>0</v>
      </c>
      <c r="G213" s="624">
        <v>1166.7</v>
      </c>
      <c r="H213" s="624">
        <f>SUM(I213:K213)</f>
        <v>38.700000000000003</v>
      </c>
      <c r="I213" s="624">
        <v>20.700000000000003</v>
      </c>
      <c r="J213" s="624"/>
      <c r="K213" s="624">
        <v>18</v>
      </c>
      <c r="L213" s="624">
        <v>0</v>
      </c>
      <c r="M213" s="624">
        <v>71</v>
      </c>
      <c r="N213" s="624">
        <f>G213+M213-H213-L213</f>
        <v>1199</v>
      </c>
      <c r="O213" s="631" t="s">
        <v>1557</v>
      </c>
      <c r="V213" s="624"/>
    </row>
    <row r="214" spans="1:22" s="644" customFormat="1" ht="36" customHeight="1">
      <c r="A214" s="635">
        <v>11</v>
      </c>
      <c r="B214" s="634" t="s">
        <v>1556</v>
      </c>
      <c r="C214" s="633">
        <f t="shared" ref="C214:N214" si="68">SUM(C215:C216)</f>
        <v>20</v>
      </c>
      <c r="D214" s="633">
        <f t="shared" si="68"/>
        <v>20</v>
      </c>
      <c r="E214" s="633">
        <f t="shared" si="68"/>
        <v>4</v>
      </c>
      <c r="F214" s="633">
        <f t="shared" si="68"/>
        <v>0</v>
      </c>
      <c r="G214" s="633">
        <f t="shared" si="68"/>
        <v>4857</v>
      </c>
      <c r="H214" s="633">
        <f t="shared" si="68"/>
        <v>72</v>
      </c>
      <c r="I214" s="633">
        <f t="shared" si="68"/>
        <v>72</v>
      </c>
      <c r="J214" s="633">
        <f t="shared" si="68"/>
        <v>0</v>
      </c>
      <c r="K214" s="633">
        <f t="shared" si="68"/>
        <v>0</v>
      </c>
      <c r="L214" s="633">
        <f t="shared" si="68"/>
        <v>0</v>
      </c>
      <c r="M214" s="633">
        <f t="shared" si="68"/>
        <v>3900</v>
      </c>
      <c r="N214" s="633">
        <f t="shared" si="68"/>
        <v>8685</v>
      </c>
      <c r="O214" s="631"/>
      <c r="P214" s="640">
        <f>G214+M214-H214-L214-N214</f>
        <v>0</v>
      </c>
      <c r="U214" s="618"/>
      <c r="V214" s="633"/>
    </row>
    <row r="215" spans="1:22" ht="154.5" customHeight="1">
      <c r="A215" s="670" t="s">
        <v>3</v>
      </c>
      <c r="B215" s="636" t="s">
        <v>338</v>
      </c>
      <c r="C215" s="627">
        <v>20</v>
      </c>
      <c r="D215" s="627">
        <v>20</v>
      </c>
      <c r="E215" s="627">
        <v>4</v>
      </c>
      <c r="F215" s="626"/>
      <c r="G215" s="624">
        <v>4857</v>
      </c>
      <c r="H215" s="624">
        <f>SUM(I215:K215)</f>
        <v>72</v>
      </c>
      <c r="I215" s="624">
        <v>72</v>
      </c>
      <c r="J215" s="624"/>
      <c r="K215" s="624"/>
      <c r="L215" s="624"/>
      <c r="M215" s="624">
        <v>1748</v>
      </c>
      <c r="N215" s="624">
        <f>G215+M215-H215-L215</f>
        <v>6533</v>
      </c>
      <c r="O215" s="631" t="s">
        <v>1555</v>
      </c>
      <c r="P215" s="617">
        <f>332+40+120+25+26+30+500</f>
        <v>1073</v>
      </c>
      <c r="U215" s="618">
        <f>504+26+25+24+90+700+50+289+40</f>
        <v>1748</v>
      </c>
      <c r="V215" s="624"/>
    </row>
    <row r="216" spans="1:22" ht="92.25" customHeight="1">
      <c r="A216" s="670" t="s">
        <v>3</v>
      </c>
      <c r="B216" s="636" t="s">
        <v>1514</v>
      </c>
      <c r="C216" s="627"/>
      <c r="D216" s="627"/>
      <c r="E216" s="627"/>
      <c r="F216" s="626"/>
      <c r="G216" s="624"/>
      <c r="H216" s="624"/>
      <c r="I216" s="624"/>
      <c r="J216" s="624"/>
      <c r="K216" s="624"/>
      <c r="L216" s="624"/>
      <c r="M216" s="624">
        <v>2152</v>
      </c>
      <c r="N216" s="624">
        <f>G216+M216-H216-L216</f>
        <v>2152</v>
      </c>
      <c r="O216" s="631" t="s">
        <v>1554</v>
      </c>
      <c r="U216" s="618">
        <v>2152</v>
      </c>
      <c r="V216" s="624">
        <v>2152</v>
      </c>
    </row>
    <row r="217" spans="1:22" ht="36" customHeight="1">
      <c r="A217" s="635">
        <v>12</v>
      </c>
      <c r="B217" s="634" t="s">
        <v>682</v>
      </c>
      <c r="C217" s="633">
        <f t="shared" ref="C217:N217" si="69">C218</f>
        <v>40</v>
      </c>
      <c r="D217" s="633">
        <f t="shared" si="69"/>
        <v>40</v>
      </c>
      <c r="E217" s="633">
        <f t="shared" si="69"/>
        <v>5</v>
      </c>
      <c r="F217" s="633">
        <f t="shared" si="69"/>
        <v>85</v>
      </c>
      <c r="G217" s="633">
        <f t="shared" si="69"/>
        <v>9334</v>
      </c>
      <c r="H217" s="633">
        <f t="shared" si="69"/>
        <v>167</v>
      </c>
      <c r="I217" s="633">
        <f t="shared" si="69"/>
        <v>140</v>
      </c>
      <c r="J217" s="633">
        <f t="shared" si="69"/>
        <v>0</v>
      </c>
      <c r="K217" s="633">
        <f t="shared" si="69"/>
        <v>27</v>
      </c>
      <c r="L217" s="633">
        <f t="shared" si="69"/>
        <v>0</v>
      </c>
      <c r="M217" s="633">
        <f t="shared" si="69"/>
        <v>3428</v>
      </c>
      <c r="N217" s="633">
        <f t="shared" si="69"/>
        <v>12595</v>
      </c>
      <c r="O217" s="631"/>
      <c r="P217" s="640">
        <f>G217+M217-H217-L217-N217</f>
        <v>0</v>
      </c>
      <c r="V217" s="630"/>
    </row>
    <row r="218" spans="1:22" ht="350.25" customHeight="1">
      <c r="A218" s="629" t="s">
        <v>3</v>
      </c>
      <c r="B218" s="636" t="s">
        <v>320</v>
      </c>
      <c r="C218" s="627">
        <v>40</v>
      </c>
      <c r="D218" s="627">
        <v>40</v>
      </c>
      <c r="E218" s="627">
        <v>5</v>
      </c>
      <c r="F218" s="626">
        <v>85</v>
      </c>
      <c r="G218" s="624">
        <v>9334</v>
      </c>
      <c r="H218" s="624">
        <f>SUM(I218:K218)</f>
        <v>167</v>
      </c>
      <c r="I218" s="624">
        <v>140</v>
      </c>
      <c r="J218" s="624"/>
      <c r="K218" s="624">
        <v>27</v>
      </c>
      <c r="L218" s="624">
        <v>0</v>
      </c>
      <c r="M218" s="624">
        <v>3428</v>
      </c>
      <c r="N218" s="624">
        <f>G218+M218-H218-L218</f>
        <v>12595</v>
      </c>
      <c r="O218" s="631" t="s">
        <v>1553</v>
      </c>
      <c r="P218" s="617">
        <f>423+60+35+33+100+130+30+573+252+250+1400+200+90+100</f>
        <v>3676</v>
      </c>
      <c r="U218" s="618">
        <f>666+35+90+32+501+100+100+102+60+742+185+40+90+300+120+40+25+200</f>
        <v>3428</v>
      </c>
      <c r="V218" s="624"/>
    </row>
    <row r="219" spans="1:22" ht="36" customHeight="1">
      <c r="A219" s="635">
        <v>13</v>
      </c>
      <c r="B219" s="634" t="s">
        <v>339</v>
      </c>
      <c r="C219" s="633">
        <f t="shared" ref="C219:N219" si="70">SUM(C220:C221)</f>
        <v>55</v>
      </c>
      <c r="D219" s="633">
        <f t="shared" si="70"/>
        <v>55</v>
      </c>
      <c r="E219" s="633">
        <f t="shared" si="70"/>
        <v>6</v>
      </c>
      <c r="F219" s="633">
        <f t="shared" si="70"/>
        <v>0</v>
      </c>
      <c r="G219" s="633">
        <f t="shared" si="70"/>
        <v>12315</v>
      </c>
      <c r="H219" s="633">
        <f t="shared" si="70"/>
        <v>188</v>
      </c>
      <c r="I219" s="633">
        <f t="shared" si="70"/>
        <v>188</v>
      </c>
      <c r="J219" s="633">
        <f t="shared" si="70"/>
        <v>0</v>
      </c>
      <c r="K219" s="633">
        <f t="shared" si="70"/>
        <v>0</v>
      </c>
      <c r="L219" s="633">
        <f t="shared" si="70"/>
        <v>0</v>
      </c>
      <c r="M219" s="633">
        <f t="shared" si="70"/>
        <v>5884</v>
      </c>
      <c r="N219" s="633">
        <f t="shared" si="70"/>
        <v>18011</v>
      </c>
      <c r="O219" s="637"/>
      <c r="P219" s="640">
        <f>512+70+60+35+34+200+200+600+700+350+350+1500+200</f>
        <v>4811</v>
      </c>
      <c r="V219" s="630"/>
    </row>
    <row r="220" spans="1:22" ht="255" customHeight="1">
      <c r="A220" s="629" t="s">
        <v>3</v>
      </c>
      <c r="B220" s="636" t="s">
        <v>320</v>
      </c>
      <c r="C220" s="627">
        <v>55</v>
      </c>
      <c r="D220" s="627">
        <v>55</v>
      </c>
      <c r="E220" s="627">
        <v>6</v>
      </c>
      <c r="F220" s="626"/>
      <c r="G220" s="624">
        <v>12315</v>
      </c>
      <c r="H220" s="624">
        <f>SUM(I220:K220)</f>
        <v>188</v>
      </c>
      <c r="I220" s="624">
        <v>188</v>
      </c>
      <c r="J220" s="624"/>
      <c r="K220" s="624"/>
      <c r="L220" s="624"/>
      <c r="M220" s="624">
        <v>5806</v>
      </c>
      <c r="N220" s="624">
        <f>G220+M220-H220-L220</f>
        <v>17933</v>
      </c>
      <c r="O220" s="637" t="s">
        <v>1552</v>
      </c>
      <c r="P220" s="640"/>
      <c r="U220" s="618">
        <v>5806</v>
      </c>
      <c r="V220" s="624"/>
    </row>
    <row r="221" spans="1:22" ht="41.25" customHeight="1">
      <c r="A221" s="629" t="s">
        <v>3</v>
      </c>
      <c r="B221" s="636" t="s">
        <v>1491</v>
      </c>
      <c r="C221" s="627"/>
      <c r="D221" s="627"/>
      <c r="E221" s="627"/>
      <c r="F221" s="626"/>
      <c r="G221" s="624"/>
      <c r="H221" s="624"/>
      <c r="I221" s="624"/>
      <c r="J221" s="624"/>
      <c r="K221" s="624"/>
      <c r="L221" s="624"/>
      <c r="M221" s="624">
        <v>78</v>
      </c>
      <c r="N221" s="624">
        <f>G221+M221-H221-L221</f>
        <v>78</v>
      </c>
      <c r="O221" s="637" t="s">
        <v>1538</v>
      </c>
      <c r="P221" s="640"/>
      <c r="U221" s="618">
        <v>78</v>
      </c>
      <c r="V221" s="624"/>
    </row>
    <row r="222" spans="1:22" s="644" customFormat="1" ht="57" customHeight="1">
      <c r="A222" s="635">
        <v>14</v>
      </c>
      <c r="B222" s="634" t="s">
        <v>530</v>
      </c>
      <c r="C222" s="633">
        <f t="shared" ref="C222:M222" si="71">C223+C226</f>
        <v>65</v>
      </c>
      <c r="D222" s="633">
        <f t="shared" si="71"/>
        <v>65</v>
      </c>
      <c r="E222" s="633">
        <f t="shared" si="71"/>
        <v>2</v>
      </c>
      <c r="F222" s="632">
        <f t="shared" si="71"/>
        <v>0</v>
      </c>
      <c r="G222" s="630">
        <f t="shared" si="71"/>
        <v>14878.099999999999</v>
      </c>
      <c r="H222" s="630">
        <f t="shared" si="71"/>
        <v>210.10000000000002</v>
      </c>
      <c r="I222" s="630">
        <f t="shared" si="71"/>
        <v>210.10000000000002</v>
      </c>
      <c r="J222" s="630">
        <f t="shared" si="71"/>
        <v>0</v>
      </c>
      <c r="K222" s="630">
        <f t="shared" si="71"/>
        <v>0</v>
      </c>
      <c r="L222" s="630">
        <f t="shared" si="71"/>
        <v>0</v>
      </c>
      <c r="M222" s="630">
        <f t="shared" si="71"/>
        <v>23859</v>
      </c>
      <c r="N222" s="630">
        <f>G222+M222-H222-L222</f>
        <v>38527</v>
      </c>
      <c r="O222" s="657"/>
      <c r="U222" s="618"/>
      <c r="V222" s="630"/>
    </row>
    <row r="223" spans="1:22" s="644" customFormat="1" ht="36" customHeight="1">
      <c r="A223" s="635" t="s">
        <v>299</v>
      </c>
      <c r="B223" s="634" t="s">
        <v>338</v>
      </c>
      <c r="C223" s="633">
        <f t="shared" ref="C223:N223" si="72">C224+C225</f>
        <v>54</v>
      </c>
      <c r="D223" s="633">
        <f t="shared" si="72"/>
        <v>54</v>
      </c>
      <c r="E223" s="633">
        <f t="shared" si="72"/>
        <v>2</v>
      </c>
      <c r="F223" s="632">
        <f t="shared" si="72"/>
        <v>0</v>
      </c>
      <c r="G223" s="630">
        <f t="shared" si="72"/>
        <v>12993.8</v>
      </c>
      <c r="H223" s="630">
        <f t="shared" si="72"/>
        <v>184.8</v>
      </c>
      <c r="I223" s="630">
        <f t="shared" si="72"/>
        <v>184.8</v>
      </c>
      <c r="J223" s="630">
        <f t="shared" si="72"/>
        <v>0</v>
      </c>
      <c r="K223" s="630">
        <f t="shared" si="72"/>
        <v>0</v>
      </c>
      <c r="L223" s="630">
        <f t="shared" si="72"/>
        <v>0</v>
      </c>
      <c r="M223" s="630">
        <f t="shared" si="72"/>
        <v>19454</v>
      </c>
      <c r="N223" s="630">
        <f t="shared" si="72"/>
        <v>32263</v>
      </c>
      <c r="O223" s="646"/>
      <c r="U223" s="645"/>
      <c r="V223" s="630"/>
    </row>
    <row r="224" spans="1:22" ht="275.25" customHeight="1">
      <c r="A224" s="629"/>
      <c r="B224" s="636" t="s">
        <v>337</v>
      </c>
      <c r="C224" s="627">
        <v>47</v>
      </c>
      <c r="D224" s="627">
        <v>47</v>
      </c>
      <c r="E224" s="627">
        <v>0</v>
      </c>
      <c r="F224" s="626"/>
      <c r="G224" s="624">
        <v>11280.4</v>
      </c>
      <c r="H224" s="624">
        <f>SUM(I224:K224)</f>
        <v>162.4</v>
      </c>
      <c r="I224" s="624">
        <v>162.4</v>
      </c>
      <c r="J224" s="624"/>
      <c r="K224" s="624"/>
      <c r="L224" s="624"/>
      <c r="M224" s="624">
        <v>15877</v>
      </c>
      <c r="N224" s="624">
        <f>G224+M224-H224-L224</f>
        <v>26995</v>
      </c>
      <c r="O224" s="669" t="s">
        <v>1551</v>
      </c>
      <c r="P224" s="668">
        <f>1439+90+500+400+450+300+300+550+350+8000</f>
        <v>12379</v>
      </c>
      <c r="R224" s="617">
        <f>600+1400+1800+600+100+2000+1500</f>
        <v>8000</v>
      </c>
      <c r="U224" s="618">
        <f>2128+160+900+450+742+400+46+250+200+550+350+701+9000</f>
        <v>15877</v>
      </c>
      <c r="V224" s="624"/>
    </row>
    <row r="225" spans="1:22" ht="188.25" customHeight="1">
      <c r="A225" s="629"/>
      <c r="B225" s="636" t="s">
        <v>834</v>
      </c>
      <c r="C225" s="627">
        <v>7</v>
      </c>
      <c r="D225" s="627">
        <v>7</v>
      </c>
      <c r="E225" s="627">
        <v>2</v>
      </c>
      <c r="F225" s="626"/>
      <c r="G225" s="624">
        <v>1713.4</v>
      </c>
      <c r="H225" s="624">
        <f>SUM(I225:K225)</f>
        <v>22.400000000000002</v>
      </c>
      <c r="I225" s="624">
        <v>22.400000000000002</v>
      </c>
      <c r="J225" s="624"/>
      <c r="K225" s="624"/>
      <c r="L225" s="624"/>
      <c r="M225" s="624">
        <v>3577</v>
      </c>
      <c r="N225" s="624">
        <f>G225+M225-H225-L225</f>
        <v>5268</v>
      </c>
      <c r="O225" s="667" t="s">
        <v>1550</v>
      </c>
      <c r="P225" s="666">
        <f>10+139+440+130+50+900+298+396+116+41+151+149+83</f>
        <v>2903</v>
      </c>
      <c r="U225" s="618">
        <f>16+220+550+200+70+1200+466+116+396+240+103</f>
        <v>3577</v>
      </c>
      <c r="V225" s="624"/>
    </row>
    <row r="226" spans="1:22" s="644" customFormat="1" ht="36" customHeight="1">
      <c r="A226" s="635" t="s">
        <v>297</v>
      </c>
      <c r="B226" s="634" t="s">
        <v>336</v>
      </c>
      <c r="C226" s="656">
        <f t="shared" ref="C226:N226" si="73">C227+C228</f>
        <v>11</v>
      </c>
      <c r="D226" s="656">
        <f t="shared" si="73"/>
        <v>11</v>
      </c>
      <c r="E226" s="656">
        <f t="shared" si="73"/>
        <v>0</v>
      </c>
      <c r="F226" s="632">
        <f t="shared" si="73"/>
        <v>0</v>
      </c>
      <c r="G226" s="630">
        <f t="shared" si="73"/>
        <v>1884.3</v>
      </c>
      <c r="H226" s="630">
        <f t="shared" si="73"/>
        <v>25.3</v>
      </c>
      <c r="I226" s="630">
        <f t="shared" si="73"/>
        <v>25.3</v>
      </c>
      <c r="J226" s="630">
        <f t="shared" si="73"/>
        <v>0</v>
      </c>
      <c r="K226" s="630">
        <f t="shared" si="73"/>
        <v>0</v>
      </c>
      <c r="L226" s="630">
        <f t="shared" si="73"/>
        <v>0</v>
      </c>
      <c r="M226" s="630">
        <f t="shared" si="73"/>
        <v>4405</v>
      </c>
      <c r="N226" s="630">
        <f t="shared" si="73"/>
        <v>6264</v>
      </c>
      <c r="O226" s="646"/>
      <c r="U226" s="645"/>
      <c r="V226" s="630"/>
    </row>
    <row r="227" spans="1:22" ht="149.25" customHeight="1">
      <c r="A227" s="629" t="s">
        <v>276</v>
      </c>
      <c r="B227" s="628" t="s">
        <v>1549</v>
      </c>
      <c r="C227" s="627"/>
      <c r="D227" s="627"/>
      <c r="E227" s="627"/>
      <c r="F227" s="626"/>
      <c r="G227" s="624"/>
      <c r="H227" s="624"/>
      <c r="I227" s="624"/>
      <c r="J227" s="624"/>
      <c r="K227" s="624"/>
      <c r="L227" s="624"/>
      <c r="M227" s="624">
        <v>4222</v>
      </c>
      <c r="N227" s="624">
        <f>G227+M227-H227-L227</f>
        <v>4222</v>
      </c>
      <c r="O227" s="631" t="s">
        <v>1548</v>
      </c>
      <c r="U227" s="618">
        <f>1772+2200+250</f>
        <v>4222</v>
      </c>
      <c r="V227" s="624"/>
    </row>
    <row r="228" spans="1:22" ht="75.75" customHeight="1">
      <c r="A228" s="629" t="s">
        <v>276</v>
      </c>
      <c r="B228" s="628" t="s">
        <v>333</v>
      </c>
      <c r="C228" s="627">
        <v>11</v>
      </c>
      <c r="D228" s="627">
        <v>11</v>
      </c>
      <c r="E228" s="627">
        <v>0</v>
      </c>
      <c r="F228" s="626"/>
      <c r="G228" s="624">
        <v>1884.3</v>
      </c>
      <c r="H228" s="624">
        <f>SUM(I228:K228)</f>
        <v>25.3</v>
      </c>
      <c r="I228" s="624">
        <v>25.3</v>
      </c>
      <c r="J228" s="624"/>
      <c r="K228" s="624"/>
      <c r="L228" s="624"/>
      <c r="M228" s="624">
        <v>183</v>
      </c>
      <c r="N228" s="624">
        <f>G228+M228-H228-L228</f>
        <v>2042.0000000000002</v>
      </c>
      <c r="O228" s="665" t="s">
        <v>1547</v>
      </c>
      <c r="P228" s="664">
        <f>10+25+50</f>
        <v>85</v>
      </c>
      <c r="U228" s="618">
        <f>16+50+117</f>
        <v>183</v>
      </c>
      <c r="V228" s="624"/>
    </row>
    <row r="229" spans="1:22" s="644" customFormat="1" ht="225.75" customHeight="1">
      <c r="A229" s="635">
        <v>15</v>
      </c>
      <c r="B229" s="634" t="s">
        <v>332</v>
      </c>
      <c r="C229" s="633">
        <v>35</v>
      </c>
      <c r="D229" s="633">
        <v>35</v>
      </c>
      <c r="E229" s="633">
        <v>14</v>
      </c>
      <c r="F229" s="632"/>
      <c r="G229" s="630">
        <v>8876</v>
      </c>
      <c r="H229" s="630">
        <f>SUM(I229:K229)</f>
        <v>123</v>
      </c>
      <c r="I229" s="630">
        <v>123</v>
      </c>
      <c r="J229" s="630"/>
      <c r="K229" s="630"/>
      <c r="L229" s="630"/>
      <c r="M229" s="630">
        <v>15417</v>
      </c>
      <c r="N229" s="630">
        <f>G229+M229-H229-L229</f>
        <v>24170</v>
      </c>
      <c r="O229" s="663" t="s">
        <v>1546</v>
      </c>
      <c r="P229" s="662">
        <f>70+1225+8000+350+1000+200+1000</f>
        <v>11845</v>
      </c>
      <c r="U229" s="618">
        <f>1848+95+9000+1000+1000+350+210+556+1358</f>
        <v>15417</v>
      </c>
      <c r="V229" s="630"/>
    </row>
    <row r="230" spans="1:22" ht="57" customHeight="1">
      <c r="A230" s="635">
        <v>16</v>
      </c>
      <c r="B230" s="634" t="s">
        <v>331</v>
      </c>
      <c r="C230" s="633">
        <f t="shared" ref="C230:N230" si="74">SUM(C231:C231)</f>
        <v>39</v>
      </c>
      <c r="D230" s="633">
        <f t="shared" si="74"/>
        <v>39</v>
      </c>
      <c r="E230" s="633">
        <f t="shared" si="74"/>
        <v>6</v>
      </c>
      <c r="F230" s="633">
        <f t="shared" si="74"/>
        <v>0</v>
      </c>
      <c r="G230" s="633">
        <f t="shared" si="74"/>
        <v>8414.5999999999985</v>
      </c>
      <c r="H230" s="633">
        <f t="shared" si="74"/>
        <v>136.6</v>
      </c>
      <c r="I230" s="633">
        <f t="shared" si="74"/>
        <v>136.6</v>
      </c>
      <c r="J230" s="633">
        <f t="shared" si="74"/>
        <v>0</v>
      </c>
      <c r="K230" s="633">
        <f t="shared" si="74"/>
        <v>0</v>
      </c>
      <c r="L230" s="633">
        <f t="shared" si="74"/>
        <v>0</v>
      </c>
      <c r="M230" s="633">
        <f t="shared" si="74"/>
        <v>3728</v>
      </c>
      <c r="N230" s="633">
        <f t="shared" si="74"/>
        <v>12005.999999999998</v>
      </c>
      <c r="O230" s="625"/>
      <c r="V230" s="630"/>
    </row>
    <row r="231" spans="1:22" ht="259.5" customHeight="1">
      <c r="A231" s="629" t="s">
        <v>3</v>
      </c>
      <c r="B231" s="636" t="s">
        <v>320</v>
      </c>
      <c r="C231" s="627">
        <v>39</v>
      </c>
      <c r="D231" s="627">
        <v>39</v>
      </c>
      <c r="E231" s="627">
        <v>6</v>
      </c>
      <c r="F231" s="626"/>
      <c r="G231" s="624">
        <v>8414.5999999999985</v>
      </c>
      <c r="H231" s="624">
        <f>SUM(I231:K231)</f>
        <v>136.6</v>
      </c>
      <c r="I231" s="624">
        <v>136.6</v>
      </c>
      <c r="J231" s="624"/>
      <c r="K231" s="624"/>
      <c r="L231" s="624"/>
      <c r="M231" s="624">
        <v>3728</v>
      </c>
      <c r="N231" s="624">
        <f>G231+M231-H231-L231</f>
        <v>12005.999999999998</v>
      </c>
      <c r="O231" s="625" t="s">
        <v>1545</v>
      </c>
      <c r="P231" s="617">
        <f>496+65+30+29+100+50+20+50+80+80+80+50+1330+1273+1000</f>
        <v>4733</v>
      </c>
      <c r="U231" s="648">
        <f>736+90+30+30+70+78+50+50+50+100+80+100+1300+500+464</f>
        <v>3728</v>
      </c>
      <c r="V231" s="624"/>
    </row>
    <row r="232" spans="1:22" ht="36" customHeight="1">
      <c r="A232" s="635">
        <v>17</v>
      </c>
      <c r="B232" s="634" t="s">
        <v>328</v>
      </c>
      <c r="C232" s="633">
        <f t="shared" ref="C232:N232" si="75">C233+C235+C239+C238</f>
        <v>66</v>
      </c>
      <c r="D232" s="633">
        <f t="shared" si="75"/>
        <v>66</v>
      </c>
      <c r="E232" s="633">
        <f t="shared" si="75"/>
        <v>2</v>
      </c>
      <c r="F232" s="633">
        <f t="shared" si="75"/>
        <v>280</v>
      </c>
      <c r="G232" s="633">
        <f t="shared" si="75"/>
        <v>13432.4</v>
      </c>
      <c r="H232" s="633">
        <f t="shared" si="75"/>
        <v>212.4</v>
      </c>
      <c r="I232" s="633">
        <f t="shared" si="75"/>
        <v>212.4</v>
      </c>
      <c r="J232" s="633">
        <f t="shared" si="75"/>
        <v>0</v>
      </c>
      <c r="K232" s="633">
        <f t="shared" si="75"/>
        <v>0</v>
      </c>
      <c r="L232" s="633">
        <f t="shared" si="75"/>
        <v>0</v>
      </c>
      <c r="M232" s="633">
        <f t="shared" si="75"/>
        <v>41298</v>
      </c>
      <c r="N232" s="633">
        <f t="shared" si="75"/>
        <v>54518</v>
      </c>
      <c r="O232" s="631"/>
      <c r="V232" s="633"/>
    </row>
    <row r="233" spans="1:22" s="644" customFormat="1" ht="57" customHeight="1">
      <c r="A233" s="635" t="s">
        <v>299</v>
      </c>
      <c r="B233" s="634" t="s">
        <v>327</v>
      </c>
      <c r="C233" s="633">
        <f t="shared" ref="C233:N233" si="76">SUM(C234:C234)</f>
        <v>54</v>
      </c>
      <c r="D233" s="633">
        <f t="shared" si="76"/>
        <v>54</v>
      </c>
      <c r="E233" s="633">
        <f t="shared" si="76"/>
        <v>0</v>
      </c>
      <c r="F233" s="632">
        <f t="shared" si="76"/>
        <v>260</v>
      </c>
      <c r="G233" s="630">
        <f t="shared" si="76"/>
        <v>11421.8</v>
      </c>
      <c r="H233" s="630">
        <f t="shared" si="76"/>
        <v>184.8</v>
      </c>
      <c r="I233" s="630">
        <f t="shared" si="76"/>
        <v>184.8</v>
      </c>
      <c r="J233" s="630">
        <f t="shared" si="76"/>
        <v>0</v>
      </c>
      <c r="K233" s="630">
        <f t="shared" si="76"/>
        <v>0</v>
      </c>
      <c r="L233" s="630">
        <f t="shared" si="76"/>
        <v>0</v>
      </c>
      <c r="M233" s="630">
        <f t="shared" si="76"/>
        <v>33542</v>
      </c>
      <c r="N233" s="630">
        <f t="shared" si="76"/>
        <v>44779</v>
      </c>
      <c r="O233" s="646"/>
      <c r="U233" s="645"/>
      <c r="V233" s="630"/>
    </row>
    <row r="234" spans="1:22" ht="387" customHeight="1">
      <c r="A234" s="629" t="s">
        <v>3</v>
      </c>
      <c r="B234" s="636" t="s">
        <v>326</v>
      </c>
      <c r="C234" s="627">
        <v>54</v>
      </c>
      <c r="D234" s="627">
        <v>54</v>
      </c>
      <c r="E234" s="627">
        <v>0</v>
      </c>
      <c r="F234" s="626">
        <v>260</v>
      </c>
      <c r="G234" s="624">
        <v>11421.8</v>
      </c>
      <c r="H234" s="624">
        <f>SUM(I234:K234)</f>
        <v>184.8</v>
      </c>
      <c r="I234" s="624">
        <v>184.8</v>
      </c>
      <c r="J234" s="624"/>
      <c r="K234" s="624"/>
      <c r="L234" s="624"/>
      <c r="M234" s="624">
        <v>33542</v>
      </c>
      <c r="N234" s="624">
        <f>G234+M234-H234-L234</f>
        <v>44779</v>
      </c>
      <c r="O234" s="661" t="s">
        <v>1544</v>
      </c>
      <c r="P234" s="660">
        <f>80+555+14+25+200+30+20+90+60+160+140+100+200+600+10+70</f>
        <v>2354</v>
      </c>
      <c r="U234" s="618">
        <f>182+901+18+25+300+52+48+11+200+36+160+200+100+600+20+14000+2500+80+100+10132+3251+626</f>
        <v>33542</v>
      </c>
      <c r="V234" s="624"/>
    </row>
    <row r="235" spans="1:22" s="644" customFormat="1" ht="57" customHeight="1">
      <c r="A235" s="635" t="s">
        <v>297</v>
      </c>
      <c r="B235" s="634" t="s">
        <v>1543</v>
      </c>
      <c r="C235" s="633">
        <f t="shared" ref="C235:N235" si="77">SUM(C236:C237)</f>
        <v>12</v>
      </c>
      <c r="D235" s="633">
        <f t="shared" si="77"/>
        <v>12</v>
      </c>
      <c r="E235" s="633">
        <f t="shared" si="77"/>
        <v>2</v>
      </c>
      <c r="F235" s="633">
        <f t="shared" si="77"/>
        <v>20</v>
      </c>
      <c r="G235" s="633">
        <f t="shared" si="77"/>
        <v>2010.6</v>
      </c>
      <c r="H235" s="633">
        <f t="shared" si="77"/>
        <v>27.6</v>
      </c>
      <c r="I235" s="633">
        <f t="shared" si="77"/>
        <v>27.6</v>
      </c>
      <c r="J235" s="633">
        <f t="shared" si="77"/>
        <v>0</v>
      </c>
      <c r="K235" s="633">
        <f t="shared" si="77"/>
        <v>0</v>
      </c>
      <c r="L235" s="633">
        <f t="shared" si="77"/>
        <v>0</v>
      </c>
      <c r="M235" s="633">
        <f t="shared" si="77"/>
        <v>3792</v>
      </c>
      <c r="N235" s="633">
        <f t="shared" si="77"/>
        <v>5775</v>
      </c>
      <c r="O235" s="646"/>
      <c r="U235" s="645"/>
      <c r="V235" s="630"/>
    </row>
    <row r="236" spans="1:22" ht="150.75" customHeight="1">
      <c r="A236" s="629" t="s">
        <v>276</v>
      </c>
      <c r="B236" s="636" t="s">
        <v>1542</v>
      </c>
      <c r="C236" s="627">
        <v>12</v>
      </c>
      <c r="D236" s="627">
        <v>12</v>
      </c>
      <c r="E236" s="627">
        <v>2</v>
      </c>
      <c r="F236" s="626">
        <v>20</v>
      </c>
      <c r="G236" s="624">
        <v>2010.6</v>
      </c>
      <c r="H236" s="624">
        <f>SUM(I236:K236)</f>
        <v>27.6</v>
      </c>
      <c r="I236" s="624">
        <v>27.6</v>
      </c>
      <c r="J236" s="624"/>
      <c r="K236" s="624"/>
      <c r="L236" s="624"/>
      <c r="M236" s="624">
        <v>1795</v>
      </c>
      <c r="N236" s="624">
        <f>G236+M236-H236-L236</f>
        <v>3778</v>
      </c>
      <c r="O236" s="639" t="s">
        <v>1541</v>
      </c>
      <c r="P236" s="658">
        <f>16+30+80+80+150+30+107+200+10</f>
        <v>703</v>
      </c>
      <c r="U236" s="618">
        <f>77+75+85+95+80+307+897+119+60</f>
        <v>1795</v>
      </c>
      <c r="V236" s="624"/>
    </row>
    <row r="237" spans="1:22" ht="106.5" customHeight="1">
      <c r="A237" s="629" t="s">
        <v>3</v>
      </c>
      <c r="B237" s="636" t="s">
        <v>1540</v>
      </c>
      <c r="C237" s="627"/>
      <c r="D237" s="627"/>
      <c r="E237" s="627"/>
      <c r="F237" s="626"/>
      <c r="G237" s="624"/>
      <c r="H237" s="624"/>
      <c r="I237" s="624"/>
      <c r="J237" s="624"/>
      <c r="K237" s="624"/>
      <c r="L237" s="624"/>
      <c r="M237" s="624">
        <v>1997</v>
      </c>
      <c r="N237" s="624">
        <f>G237+M237-H237-L237</f>
        <v>1997</v>
      </c>
      <c r="O237" s="659" t="s">
        <v>1539</v>
      </c>
      <c r="P237" s="658"/>
      <c r="U237" s="618">
        <v>1997</v>
      </c>
      <c r="V237" s="624"/>
    </row>
    <row r="238" spans="1:22" s="644" customFormat="1" ht="36" customHeight="1">
      <c r="A238" s="635" t="s">
        <v>295</v>
      </c>
      <c r="B238" s="634" t="s">
        <v>403</v>
      </c>
      <c r="C238" s="633"/>
      <c r="D238" s="633"/>
      <c r="E238" s="633"/>
      <c r="F238" s="632"/>
      <c r="G238" s="630"/>
      <c r="H238" s="630"/>
      <c r="I238" s="630"/>
      <c r="J238" s="630"/>
      <c r="K238" s="630"/>
      <c r="L238" s="630"/>
      <c r="M238" s="630">
        <v>3464</v>
      </c>
      <c r="N238" s="630">
        <f>G238+M238-H238-L238</f>
        <v>3464</v>
      </c>
      <c r="O238" s="659" t="s">
        <v>1538</v>
      </c>
      <c r="P238" s="658"/>
      <c r="U238" s="645">
        <v>3464</v>
      </c>
      <c r="V238" s="630"/>
    </row>
    <row r="239" spans="1:22" s="644" customFormat="1" ht="57" customHeight="1">
      <c r="A239" s="635" t="s">
        <v>291</v>
      </c>
      <c r="B239" s="634" t="s">
        <v>294</v>
      </c>
      <c r="C239" s="633"/>
      <c r="D239" s="633"/>
      <c r="E239" s="633"/>
      <c r="F239" s="632"/>
      <c r="G239" s="630"/>
      <c r="H239" s="630"/>
      <c r="I239" s="630"/>
      <c r="J239" s="630"/>
      <c r="K239" s="630"/>
      <c r="L239" s="630"/>
      <c r="M239" s="630">
        <v>500</v>
      </c>
      <c r="N239" s="630">
        <f>G239+M239-H239-L239</f>
        <v>500</v>
      </c>
      <c r="O239" s="639" t="s">
        <v>1537</v>
      </c>
      <c r="U239" s="645">
        <v>500</v>
      </c>
      <c r="V239" s="630"/>
    </row>
    <row r="240" spans="1:22" ht="36" customHeight="1">
      <c r="A240" s="635">
        <v>18</v>
      </c>
      <c r="B240" s="634" t="s">
        <v>322</v>
      </c>
      <c r="C240" s="633">
        <f t="shared" ref="C240:N240" si="78">C241+C242</f>
        <v>24</v>
      </c>
      <c r="D240" s="633">
        <f t="shared" si="78"/>
        <v>24</v>
      </c>
      <c r="E240" s="633">
        <f t="shared" si="78"/>
        <v>5</v>
      </c>
      <c r="F240" s="632">
        <f t="shared" si="78"/>
        <v>0</v>
      </c>
      <c r="G240" s="630">
        <f t="shared" si="78"/>
        <v>5018.8999999999996</v>
      </c>
      <c r="H240" s="630">
        <f t="shared" si="78"/>
        <v>79.900000000000006</v>
      </c>
      <c r="I240" s="630">
        <f t="shared" si="78"/>
        <v>79.900000000000006</v>
      </c>
      <c r="J240" s="630">
        <f t="shared" si="78"/>
        <v>0</v>
      </c>
      <c r="K240" s="630">
        <f t="shared" si="78"/>
        <v>0</v>
      </c>
      <c r="L240" s="630">
        <f t="shared" si="78"/>
        <v>0</v>
      </c>
      <c r="M240" s="630">
        <f t="shared" si="78"/>
        <v>8548</v>
      </c>
      <c r="N240" s="630">
        <f t="shared" si="78"/>
        <v>13487</v>
      </c>
      <c r="O240" s="631"/>
      <c r="V240" s="630"/>
    </row>
    <row r="241" spans="1:22" ht="228.75" customHeight="1">
      <c r="A241" s="629" t="s">
        <v>3</v>
      </c>
      <c r="B241" s="636" t="s">
        <v>320</v>
      </c>
      <c r="C241" s="627">
        <v>19</v>
      </c>
      <c r="D241" s="627">
        <v>19</v>
      </c>
      <c r="E241" s="627">
        <v>5</v>
      </c>
      <c r="F241" s="626"/>
      <c r="G241" s="624">
        <v>4294.3999999999996</v>
      </c>
      <c r="H241" s="624">
        <f>SUM(I241:K241)</f>
        <v>68.400000000000006</v>
      </c>
      <c r="I241" s="624">
        <v>68.400000000000006</v>
      </c>
      <c r="J241" s="624"/>
      <c r="K241" s="624"/>
      <c r="L241" s="624"/>
      <c r="M241" s="624">
        <v>7603</v>
      </c>
      <c r="N241" s="624">
        <f>G241+M241-H241-L241</f>
        <v>11829</v>
      </c>
      <c r="O241" s="631" t="s">
        <v>1536</v>
      </c>
      <c r="P241" s="617">
        <f>377+30+25+5+40+20+5000+800+500+600+150+300</f>
        <v>7847</v>
      </c>
      <c r="U241" s="648">
        <f>556+50+25+60+48+5400+452+153+220+300+37+20+20+20+242</f>
        <v>7603</v>
      </c>
      <c r="V241" s="624"/>
    </row>
    <row r="242" spans="1:22" ht="75.75" customHeight="1">
      <c r="A242" s="629" t="s">
        <v>3</v>
      </c>
      <c r="B242" s="636" t="s">
        <v>1535</v>
      </c>
      <c r="C242" s="627">
        <v>5</v>
      </c>
      <c r="D242" s="627">
        <v>5</v>
      </c>
      <c r="E242" s="627">
        <v>0</v>
      </c>
      <c r="F242" s="626"/>
      <c r="G242" s="624">
        <v>724.5</v>
      </c>
      <c r="H242" s="624">
        <f>SUM(I242:K242)</f>
        <v>11.5</v>
      </c>
      <c r="I242" s="624">
        <v>11.5</v>
      </c>
      <c r="J242" s="624"/>
      <c r="K242" s="624"/>
      <c r="L242" s="624"/>
      <c r="M242" s="624">
        <v>945</v>
      </c>
      <c r="N242" s="624">
        <f>G242+M242-H242-L242</f>
        <v>1658</v>
      </c>
      <c r="O242" s="631" t="s">
        <v>1534</v>
      </c>
      <c r="P242" s="617">
        <f>5+150+445+450</f>
        <v>1050</v>
      </c>
      <c r="U242" s="648">
        <f>8+67+279+546+45</f>
        <v>945</v>
      </c>
      <c r="V242" s="624"/>
    </row>
    <row r="243" spans="1:22" ht="57" customHeight="1">
      <c r="A243" s="635">
        <v>19</v>
      </c>
      <c r="B243" s="634" t="s">
        <v>321</v>
      </c>
      <c r="C243" s="656">
        <f t="shared" ref="C243:N243" si="79">C244+C245+C246+C251</f>
        <v>38</v>
      </c>
      <c r="D243" s="656">
        <f t="shared" si="79"/>
        <v>38</v>
      </c>
      <c r="E243" s="656">
        <f t="shared" si="79"/>
        <v>5</v>
      </c>
      <c r="F243" s="656">
        <f t="shared" si="79"/>
        <v>50</v>
      </c>
      <c r="G243" s="656">
        <f t="shared" si="79"/>
        <v>7553.8</v>
      </c>
      <c r="H243" s="656">
        <f t="shared" si="79"/>
        <v>117.80000000000001</v>
      </c>
      <c r="I243" s="656">
        <f t="shared" si="79"/>
        <v>117.80000000000001</v>
      </c>
      <c r="J243" s="656">
        <f t="shared" si="79"/>
        <v>0</v>
      </c>
      <c r="K243" s="656">
        <f t="shared" si="79"/>
        <v>0</v>
      </c>
      <c r="L243" s="656">
        <f t="shared" si="79"/>
        <v>0</v>
      </c>
      <c r="M243" s="656">
        <f t="shared" si="79"/>
        <v>36960</v>
      </c>
      <c r="N243" s="656">
        <f t="shared" si="79"/>
        <v>44396</v>
      </c>
      <c r="O243" s="657"/>
      <c r="V243" s="656"/>
    </row>
    <row r="244" spans="1:22" ht="247.5" customHeight="1">
      <c r="A244" s="629" t="s">
        <v>276</v>
      </c>
      <c r="B244" s="636" t="s">
        <v>320</v>
      </c>
      <c r="C244" s="627">
        <v>24</v>
      </c>
      <c r="D244" s="627">
        <v>24</v>
      </c>
      <c r="E244" s="627">
        <v>5</v>
      </c>
      <c r="F244" s="626">
        <v>50</v>
      </c>
      <c r="G244" s="624">
        <v>5467.6</v>
      </c>
      <c r="H244" s="624">
        <f>SUM(I244:K244)</f>
        <v>85.600000000000009</v>
      </c>
      <c r="I244" s="624">
        <v>85.600000000000009</v>
      </c>
      <c r="J244" s="624"/>
      <c r="K244" s="624"/>
      <c r="L244" s="624"/>
      <c r="M244" s="624">
        <v>1320</v>
      </c>
      <c r="N244" s="624">
        <f>G244+M244-H244-L244</f>
        <v>6702</v>
      </c>
      <c r="O244" s="631" t="s">
        <v>1533</v>
      </c>
      <c r="P244" s="617">
        <f>415.5+36+25+10+50+80+90+20+10+15+400</f>
        <v>1151.5</v>
      </c>
      <c r="U244" s="648">
        <f>526+65+20+7+40+80+90+21+15+143+313</f>
        <v>1320</v>
      </c>
      <c r="V244" s="624"/>
    </row>
    <row r="245" spans="1:22" ht="166.5" customHeight="1">
      <c r="A245" s="629" t="s">
        <v>276</v>
      </c>
      <c r="B245" s="636" t="s">
        <v>319</v>
      </c>
      <c r="C245" s="627">
        <v>14</v>
      </c>
      <c r="D245" s="627">
        <v>14</v>
      </c>
      <c r="E245" s="627">
        <v>0</v>
      </c>
      <c r="F245" s="626"/>
      <c r="G245" s="624">
        <v>2086.1999999999998</v>
      </c>
      <c r="H245" s="624">
        <f>SUM(I245:K245)</f>
        <v>32.200000000000003</v>
      </c>
      <c r="I245" s="624">
        <v>32.200000000000003</v>
      </c>
      <c r="J245" s="624"/>
      <c r="K245" s="624"/>
      <c r="L245" s="624"/>
      <c r="M245" s="624">
        <v>2261</v>
      </c>
      <c r="N245" s="624">
        <f>G245+M245-H245-L245</f>
        <v>4315</v>
      </c>
      <c r="O245" s="631" t="s">
        <v>1532</v>
      </c>
      <c r="P245" s="655">
        <f>16+300+15+350+177+50</f>
        <v>908</v>
      </c>
      <c r="U245" s="648">
        <f>25+600+20+1325+131+160</f>
        <v>2261</v>
      </c>
      <c r="V245" s="624"/>
    </row>
    <row r="246" spans="1:22" ht="36" customHeight="1">
      <c r="A246" s="629" t="s">
        <v>276</v>
      </c>
      <c r="B246" s="636" t="s">
        <v>318</v>
      </c>
      <c r="C246" s="624">
        <f t="shared" ref="C246:N246" si="80">C247+C248+C250</f>
        <v>0</v>
      </c>
      <c r="D246" s="624">
        <f t="shared" si="80"/>
        <v>0</v>
      </c>
      <c r="E246" s="624">
        <f t="shared" si="80"/>
        <v>0</v>
      </c>
      <c r="F246" s="624">
        <f t="shared" si="80"/>
        <v>0</v>
      </c>
      <c r="G246" s="624">
        <f t="shared" si="80"/>
        <v>0</v>
      </c>
      <c r="H246" s="624">
        <f t="shared" si="80"/>
        <v>0</v>
      </c>
      <c r="I246" s="624">
        <f t="shared" si="80"/>
        <v>0</v>
      </c>
      <c r="J246" s="624">
        <f t="shared" si="80"/>
        <v>0</v>
      </c>
      <c r="K246" s="624">
        <f t="shared" si="80"/>
        <v>0</v>
      </c>
      <c r="L246" s="624">
        <f t="shared" si="80"/>
        <v>0</v>
      </c>
      <c r="M246" s="624">
        <f t="shared" si="80"/>
        <v>33261</v>
      </c>
      <c r="N246" s="624">
        <f t="shared" si="80"/>
        <v>33261</v>
      </c>
      <c r="O246" s="631"/>
      <c r="P246" s="655"/>
      <c r="V246" s="624"/>
    </row>
    <row r="247" spans="1:22" ht="149.25" customHeight="1">
      <c r="A247" s="629" t="s">
        <v>60</v>
      </c>
      <c r="B247" s="636" t="s">
        <v>1531</v>
      </c>
      <c r="C247" s="627"/>
      <c r="D247" s="627"/>
      <c r="E247" s="627"/>
      <c r="F247" s="654"/>
      <c r="G247" s="653"/>
      <c r="H247" s="653"/>
      <c r="I247" s="653"/>
      <c r="J247" s="653"/>
      <c r="K247" s="653"/>
      <c r="L247" s="653"/>
      <c r="M247" s="624">
        <v>3000</v>
      </c>
      <c r="N247" s="624">
        <f>G247+M247-H247-L247</f>
        <v>3000</v>
      </c>
      <c r="O247" s="631" t="s">
        <v>1530</v>
      </c>
      <c r="P247" s="617">
        <f>1706+200+300+500+2000+10000+2000</f>
        <v>16706</v>
      </c>
      <c r="U247" s="648">
        <f>200+300+500+2000</f>
        <v>3000</v>
      </c>
      <c r="V247" s="624"/>
    </row>
    <row r="248" spans="1:22" ht="387.75" customHeight="1">
      <c r="A248" s="1099" t="s">
        <v>60</v>
      </c>
      <c r="B248" s="1100" t="s">
        <v>316</v>
      </c>
      <c r="C248" s="1086"/>
      <c r="D248" s="1086"/>
      <c r="E248" s="1086"/>
      <c r="F248" s="1111"/>
      <c r="G248" s="1083"/>
      <c r="H248" s="1083"/>
      <c r="I248" s="1083"/>
      <c r="J248" s="1083"/>
      <c r="K248" s="1083"/>
      <c r="L248" s="1083"/>
      <c r="M248" s="1083">
        <v>30161</v>
      </c>
      <c r="N248" s="1083">
        <f>G248+M248-H248-L248</f>
        <v>30161</v>
      </c>
      <c r="O248" s="643" t="s">
        <v>1529</v>
      </c>
      <c r="P248" s="617">
        <f>100+4000+480+100+115+100+300+100+3000</f>
        <v>8295</v>
      </c>
      <c r="U248" s="648">
        <f>120+4175+360+100+100+200+200+1906+2000+3300+1800+1200+4300+1050</f>
        <v>20811</v>
      </c>
      <c r="V248" s="1105"/>
    </row>
    <row r="249" spans="1:22" ht="169.5" customHeight="1">
      <c r="A249" s="1099"/>
      <c r="B249" s="1100"/>
      <c r="C249" s="1086"/>
      <c r="D249" s="1086"/>
      <c r="E249" s="1086"/>
      <c r="F249" s="1111"/>
      <c r="G249" s="1083"/>
      <c r="H249" s="1083"/>
      <c r="I249" s="1083"/>
      <c r="J249" s="1083"/>
      <c r="K249" s="1083"/>
      <c r="L249" s="1083"/>
      <c r="M249" s="1083"/>
      <c r="N249" s="1083"/>
      <c r="O249" s="643" t="s">
        <v>1528</v>
      </c>
      <c r="P249" s="617">
        <f>2000+2000+500+2000+2000+3200+30+10000+2000+3000+5000+240+600</f>
        <v>32570</v>
      </c>
      <c r="U249" s="648">
        <f>50+7000+1700+600</f>
        <v>9350</v>
      </c>
      <c r="V249" s="1106"/>
    </row>
    <row r="250" spans="1:22" ht="57" customHeight="1">
      <c r="A250" s="629" t="s">
        <v>60</v>
      </c>
      <c r="B250" s="636" t="s">
        <v>1527</v>
      </c>
      <c r="C250" s="651"/>
      <c r="D250" s="651"/>
      <c r="E250" s="651"/>
      <c r="F250" s="650"/>
      <c r="G250" s="649"/>
      <c r="H250" s="649"/>
      <c r="I250" s="649"/>
      <c r="J250" s="649"/>
      <c r="K250" s="649"/>
      <c r="L250" s="649"/>
      <c r="M250" s="649">
        <v>100</v>
      </c>
      <c r="N250" s="624">
        <f>G250+M250-H250-L250</f>
        <v>100</v>
      </c>
      <c r="O250" s="643" t="s">
        <v>1526</v>
      </c>
      <c r="U250" s="618">
        <v>100</v>
      </c>
      <c r="V250" s="652">
        <v>100</v>
      </c>
    </row>
    <row r="251" spans="1:22" ht="36" customHeight="1">
      <c r="A251" s="629" t="s">
        <v>3</v>
      </c>
      <c r="B251" s="636" t="s">
        <v>1525</v>
      </c>
      <c r="C251" s="651"/>
      <c r="D251" s="651"/>
      <c r="E251" s="651"/>
      <c r="F251" s="650"/>
      <c r="G251" s="649"/>
      <c r="H251" s="649"/>
      <c r="I251" s="649"/>
      <c r="J251" s="649"/>
      <c r="K251" s="649"/>
      <c r="L251" s="649"/>
      <c r="M251" s="649">
        <v>118</v>
      </c>
      <c r="N251" s="624">
        <f>G251+M251-H251-L251</f>
        <v>118</v>
      </c>
      <c r="O251" s="643" t="s">
        <v>1523</v>
      </c>
      <c r="U251" s="618">
        <v>118</v>
      </c>
      <c r="V251" s="649"/>
    </row>
    <row r="252" spans="1:22" s="644" customFormat="1" ht="36" customHeight="1">
      <c r="A252" s="635">
        <v>20</v>
      </c>
      <c r="B252" s="634" t="s">
        <v>315</v>
      </c>
      <c r="C252" s="633">
        <f t="shared" ref="C252:N252" si="81">SUM(C253:C254)</f>
        <v>31</v>
      </c>
      <c r="D252" s="633">
        <f t="shared" si="81"/>
        <v>31</v>
      </c>
      <c r="E252" s="633">
        <f t="shared" si="81"/>
        <v>5</v>
      </c>
      <c r="F252" s="633">
        <f t="shared" si="81"/>
        <v>0</v>
      </c>
      <c r="G252" s="633">
        <f t="shared" si="81"/>
        <v>7872.4000000000005</v>
      </c>
      <c r="H252" s="633">
        <f t="shared" si="81"/>
        <v>109.4</v>
      </c>
      <c r="I252" s="633">
        <f t="shared" si="81"/>
        <v>109.4</v>
      </c>
      <c r="J252" s="633">
        <f t="shared" si="81"/>
        <v>0</v>
      </c>
      <c r="K252" s="633">
        <f t="shared" si="81"/>
        <v>0</v>
      </c>
      <c r="L252" s="633">
        <f t="shared" si="81"/>
        <v>0</v>
      </c>
      <c r="M252" s="633">
        <f t="shared" si="81"/>
        <v>3217</v>
      </c>
      <c r="N252" s="633">
        <f t="shared" si="81"/>
        <v>10980.000000000002</v>
      </c>
      <c r="O252" s="643"/>
      <c r="P252" s="644">
        <f>446+44+35+158+900+30+30+80+480.4+25+600</f>
        <v>2828.4</v>
      </c>
      <c r="U252" s="618"/>
      <c r="V252" s="633"/>
    </row>
    <row r="253" spans="1:22" ht="199.5" customHeight="1">
      <c r="A253" s="629" t="s">
        <v>3</v>
      </c>
      <c r="B253" s="636" t="s">
        <v>419</v>
      </c>
      <c r="C253" s="627">
        <v>31</v>
      </c>
      <c r="D253" s="627">
        <v>31</v>
      </c>
      <c r="E253" s="627">
        <v>5</v>
      </c>
      <c r="F253" s="626"/>
      <c r="G253" s="624">
        <v>7872.4000000000005</v>
      </c>
      <c r="H253" s="624">
        <f>SUM(I253:K253)</f>
        <v>109.4</v>
      </c>
      <c r="I253" s="624">
        <v>109.4</v>
      </c>
      <c r="J253" s="624"/>
      <c r="K253" s="624"/>
      <c r="L253" s="624"/>
      <c r="M253" s="624">
        <v>3122</v>
      </c>
      <c r="N253" s="624">
        <f>G253+M253-H253-L253</f>
        <v>10885.000000000002</v>
      </c>
      <c r="O253" s="643" t="s">
        <v>1524</v>
      </c>
      <c r="U253" s="648">
        <f>617+70+35+166+50+900+40+40+126+25+300+370+383</f>
        <v>3122</v>
      </c>
      <c r="V253" s="624"/>
    </row>
    <row r="254" spans="1:22" ht="36" customHeight="1">
      <c r="A254" s="629" t="s">
        <v>3</v>
      </c>
      <c r="B254" s="636" t="s">
        <v>1500</v>
      </c>
      <c r="C254" s="627"/>
      <c r="D254" s="627"/>
      <c r="E254" s="627"/>
      <c r="F254" s="626"/>
      <c r="G254" s="624"/>
      <c r="H254" s="624"/>
      <c r="I254" s="624"/>
      <c r="J254" s="624"/>
      <c r="K254" s="624"/>
      <c r="L254" s="624"/>
      <c r="M254" s="624">
        <v>95</v>
      </c>
      <c r="N254" s="624">
        <f>G254+M254-H254-L254</f>
        <v>95</v>
      </c>
      <c r="O254" s="643" t="s">
        <v>1523</v>
      </c>
      <c r="U254" s="618">
        <v>95</v>
      </c>
      <c r="V254" s="624"/>
    </row>
    <row r="255" spans="1:22" ht="134.25" customHeight="1">
      <c r="A255" s="635">
        <v>21</v>
      </c>
      <c r="B255" s="634" t="s">
        <v>1433</v>
      </c>
      <c r="C255" s="633">
        <v>24</v>
      </c>
      <c r="D255" s="633">
        <v>24</v>
      </c>
      <c r="E255" s="633">
        <v>5</v>
      </c>
      <c r="F255" s="632"/>
      <c r="G255" s="630">
        <v>5350.6</v>
      </c>
      <c r="H255" s="630">
        <f>SUM(I255:K255)</f>
        <v>85.600000000000009</v>
      </c>
      <c r="I255" s="630">
        <v>85.600000000000009</v>
      </c>
      <c r="J255" s="630"/>
      <c r="K255" s="630"/>
      <c r="L255" s="630"/>
      <c r="M255" s="630">
        <v>2198</v>
      </c>
      <c r="N255" s="630">
        <f>G255+M255-H255-L255</f>
        <v>7463</v>
      </c>
      <c r="O255" s="643" t="s">
        <v>1522</v>
      </c>
      <c r="P255" s="617">
        <f>51+490+555+500+22+40+200</f>
        <v>1858</v>
      </c>
      <c r="U255" s="618">
        <f>71+589+700+500+22+316</f>
        <v>2198</v>
      </c>
      <c r="V255" s="630"/>
    </row>
    <row r="256" spans="1:22" ht="97.5" customHeight="1">
      <c r="A256" s="635">
        <v>22</v>
      </c>
      <c r="B256" s="647" t="s">
        <v>314</v>
      </c>
      <c r="C256" s="633">
        <v>12</v>
      </c>
      <c r="D256" s="633">
        <v>12</v>
      </c>
      <c r="E256" s="633">
        <v>3</v>
      </c>
      <c r="F256" s="632"/>
      <c r="G256" s="630">
        <v>2548.1999999999998</v>
      </c>
      <c r="H256" s="630">
        <f>SUM(I256:K256)</f>
        <v>43.2</v>
      </c>
      <c r="I256" s="630">
        <v>43.2</v>
      </c>
      <c r="J256" s="630"/>
      <c r="K256" s="630"/>
      <c r="L256" s="630"/>
      <c r="M256" s="630">
        <v>755</v>
      </c>
      <c r="N256" s="630">
        <f>G256+M256-H256-L256</f>
        <v>3260</v>
      </c>
      <c r="O256" s="631" t="s">
        <v>1521</v>
      </c>
      <c r="P256" s="617">
        <f>223+15+200</f>
        <v>438</v>
      </c>
      <c r="U256" s="618">
        <f>327+25+250+153</f>
        <v>755</v>
      </c>
      <c r="V256" s="630"/>
    </row>
    <row r="257" spans="1:22" s="644" customFormat="1" ht="57" customHeight="1">
      <c r="A257" s="635" t="s">
        <v>28</v>
      </c>
      <c r="B257" s="634" t="s">
        <v>313</v>
      </c>
      <c r="C257" s="633">
        <f t="shared" ref="C257:N257" si="82">C262+C269+C258</f>
        <v>258</v>
      </c>
      <c r="D257" s="633">
        <f t="shared" si="82"/>
        <v>208</v>
      </c>
      <c r="E257" s="633">
        <f t="shared" si="82"/>
        <v>0</v>
      </c>
      <c r="F257" s="633">
        <f t="shared" si="82"/>
        <v>0</v>
      </c>
      <c r="G257" s="633">
        <f t="shared" si="82"/>
        <v>45953.54</v>
      </c>
      <c r="H257" s="633">
        <f t="shared" si="82"/>
        <v>1687.54</v>
      </c>
      <c r="I257" s="633">
        <f t="shared" si="82"/>
        <v>698.54000000000008</v>
      </c>
      <c r="J257" s="633">
        <f t="shared" si="82"/>
        <v>0</v>
      </c>
      <c r="K257" s="633">
        <f t="shared" si="82"/>
        <v>989</v>
      </c>
      <c r="L257" s="633">
        <f t="shared" si="82"/>
        <v>436</v>
      </c>
      <c r="M257" s="633">
        <f t="shared" si="82"/>
        <v>59950</v>
      </c>
      <c r="N257" s="633">
        <f t="shared" si="82"/>
        <v>103780</v>
      </c>
      <c r="O257" s="646"/>
      <c r="U257" s="618"/>
      <c r="V257" s="633"/>
    </row>
    <row r="258" spans="1:22" s="644" customFormat="1" ht="57" customHeight="1">
      <c r="A258" s="635" t="s">
        <v>1</v>
      </c>
      <c r="B258" s="634" t="s">
        <v>1520</v>
      </c>
      <c r="C258" s="633">
        <f t="shared" ref="C258:N258" si="83">C259</f>
        <v>41</v>
      </c>
      <c r="D258" s="633">
        <f t="shared" si="83"/>
        <v>39</v>
      </c>
      <c r="E258" s="633">
        <f t="shared" si="83"/>
        <v>0</v>
      </c>
      <c r="F258" s="633">
        <f t="shared" si="83"/>
        <v>0</v>
      </c>
      <c r="G258" s="633">
        <f t="shared" si="83"/>
        <v>6509.1</v>
      </c>
      <c r="H258" s="633">
        <f t="shared" si="83"/>
        <v>113.10000000000001</v>
      </c>
      <c r="I258" s="633">
        <f t="shared" si="83"/>
        <v>92.100000000000009</v>
      </c>
      <c r="J258" s="633">
        <f t="shared" si="83"/>
        <v>0</v>
      </c>
      <c r="K258" s="633">
        <f t="shared" si="83"/>
        <v>21</v>
      </c>
      <c r="L258" s="633">
        <f t="shared" si="83"/>
        <v>3</v>
      </c>
      <c r="M258" s="633">
        <f t="shared" si="83"/>
        <v>16577</v>
      </c>
      <c r="N258" s="633">
        <f t="shared" si="83"/>
        <v>22970</v>
      </c>
      <c r="O258" s="646"/>
      <c r="U258" s="618"/>
      <c r="V258" s="633"/>
    </row>
    <row r="259" spans="1:22" ht="75.75" customHeight="1">
      <c r="A259" s="629">
        <v>1</v>
      </c>
      <c r="B259" s="636" t="s">
        <v>1519</v>
      </c>
      <c r="C259" s="627">
        <f t="shared" ref="C259:N259" si="84">SUM(C260:C261)</f>
        <v>41</v>
      </c>
      <c r="D259" s="627">
        <f t="shared" si="84"/>
        <v>39</v>
      </c>
      <c r="E259" s="627">
        <f t="shared" si="84"/>
        <v>0</v>
      </c>
      <c r="F259" s="627">
        <f t="shared" si="84"/>
        <v>0</v>
      </c>
      <c r="G259" s="627">
        <f t="shared" si="84"/>
        <v>6509.1</v>
      </c>
      <c r="H259" s="627">
        <f t="shared" si="84"/>
        <v>113.10000000000001</v>
      </c>
      <c r="I259" s="627">
        <f t="shared" si="84"/>
        <v>92.100000000000009</v>
      </c>
      <c r="J259" s="627">
        <f t="shared" si="84"/>
        <v>0</v>
      </c>
      <c r="K259" s="627">
        <f t="shared" si="84"/>
        <v>21</v>
      </c>
      <c r="L259" s="627">
        <f t="shared" si="84"/>
        <v>3</v>
      </c>
      <c r="M259" s="627">
        <f t="shared" si="84"/>
        <v>16577</v>
      </c>
      <c r="N259" s="627">
        <f t="shared" si="84"/>
        <v>22970</v>
      </c>
      <c r="O259" s="631"/>
      <c r="V259" s="624"/>
    </row>
    <row r="260" spans="1:22" ht="353.25" customHeight="1">
      <c r="A260" s="629" t="s">
        <v>3</v>
      </c>
      <c r="B260" s="636" t="s">
        <v>419</v>
      </c>
      <c r="C260" s="627">
        <v>41</v>
      </c>
      <c r="D260" s="627">
        <v>39</v>
      </c>
      <c r="E260" s="627">
        <v>0</v>
      </c>
      <c r="F260" s="626"/>
      <c r="G260" s="624">
        <v>6509.1</v>
      </c>
      <c r="H260" s="624">
        <v>113.10000000000001</v>
      </c>
      <c r="I260" s="624">
        <v>92.100000000000009</v>
      </c>
      <c r="J260" s="624"/>
      <c r="K260" s="624">
        <v>21</v>
      </c>
      <c r="L260" s="624">
        <v>3</v>
      </c>
      <c r="M260" s="624">
        <v>16077</v>
      </c>
      <c r="N260" s="624">
        <v>22470</v>
      </c>
      <c r="O260" s="631" t="s">
        <v>1795</v>
      </c>
      <c r="P260" s="617">
        <v>16077</v>
      </c>
      <c r="U260" s="618">
        <v>10968</v>
      </c>
      <c r="V260" s="624"/>
    </row>
    <row r="261" spans="1:22" ht="75.75" customHeight="1">
      <c r="A261" s="629" t="s">
        <v>3</v>
      </c>
      <c r="B261" s="636" t="s">
        <v>1518</v>
      </c>
      <c r="C261" s="627"/>
      <c r="D261" s="627"/>
      <c r="E261" s="627"/>
      <c r="F261" s="626"/>
      <c r="G261" s="624"/>
      <c r="H261" s="624"/>
      <c r="I261" s="624"/>
      <c r="J261" s="624"/>
      <c r="K261" s="624"/>
      <c r="L261" s="624"/>
      <c r="M261" s="624">
        <v>500</v>
      </c>
      <c r="N261" s="624">
        <f>G261+M261-H261-L261</f>
        <v>500</v>
      </c>
      <c r="O261" s="631" t="s">
        <v>1517</v>
      </c>
      <c r="U261" s="618">
        <f>200+160+140</f>
        <v>500</v>
      </c>
      <c r="V261" s="624">
        <v>500</v>
      </c>
    </row>
    <row r="262" spans="1:22" s="644" customFormat="1" ht="74.25" customHeight="1">
      <c r="A262" s="635" t="s">
        <v>2</v>
      </c>
      <c r="B262" s="634" t="s">
        <v>312</v>
      </c>
      <c r="C262" s="633">
        <f t="shared" ref="C262:N262" si="85">C263+C266</f>
        <v>101</v>
      </c>
      <c r="D262" s="633">
        <f t="shared" si="85"/>
        <v>89</v>
      </c>
      <c r="E262" s="633">
        <f t="shared" si="85"/>
        <v>0</v>
      </c>
      <c r="F262" s="633">
        <f t="shared" si="85"/>
        <v>0</v>
      </c>
      <c r="G262" s="633">
        <f t="shared" si="85"/>
        <v>23419.439999999999</v>
      </c>
      <c r="H262" s="633">
        <f t="shared" si="85"/>
        <v>925.43999999999994</v>
      </c>
      <c r="I262" s="633">
        <f t="shared" si="85"/>
        <v>362.44</v>
      </c>
      <c r="J262" s="633">
        <f t="shared" si="85"/>
        <v>0</v>
      </c>
      <c r="K262" s="633">
        <f t="shared" si="85"/>
        <v>563</v>
      </c>
      <c r="L262" s="633">
        <f t="shared" si="85"/>
        <v>242</v>
      </c>
      <c r="M262" s="633">
        <f t="shared" si="85"/>
        <v>10306</v>
      </c>
      <c r="N262" s="633">
        <f t="shared" si="85"/>
        <v>32558</v>
      </c>
      <c r="O262" s="646"/>
      <c r="U262" s="618"/>
      <c r="V262" s="630"/>
    </row>
    <row r="263" spans="1:22" s="644" customFormat="1" ht="57" customHeight="1">
      <c r="A263" s="635">
        <v>1</v>
      </c>
      <c r="B263" s="634" t="s">
        <v>1516</v>
      </c>
      <c r="C263" s="633">
        <f t="shared" ref="C263:N263" si="86">SUM(C264:C265)</f>
        <v>60</v>
      </c>
      <c r="D263" s="633">
        <f t="shared" si="86"/>
        <v>48</v>
      </c>
      <c r="E263" s="633">
        <f t="shared" si="86"/>
        <v>0</v>
      </c>
      <c r="F263" s="633">
        <f t="shared" si="86"/>
        <v>0</v>
      </c>
      <c r="G263" s="633">
        <f t="shared" si="86"/>
        <v>11632.64</v>
      </c>
      <c r="H263" s="633">
        <f t="shared" si="86"/>
        <v>244.64</v>
      </c>
      <c r="I263" s="633">
        <f t="shared" si="86"/>
        <v>222.64</v>
      </c>
      <c r="J263" s="633">
        <f t="shared" si="86"/>
        <v>0</v>
      </c>
      <c r="K263" s="633">
        <f t="shared" si="86"/>
        <v>22</v>
      </c>
      <c r="L263" s="633">
        <f t="shared" si="86"/>
        <v>7</v>
      </c>
      <c r="M263" s="633">
        <f t="shared" si="86"/>
        <v>9121</v>
      </c>
      <c r="N263" s="633">
        <f t="shared" si="86"/>
        <v>20502</v>
      </c>
      <c r="O263" s="646"/>
      <c r="P263" s="644">
        <f>80+50+804+200+14</f>
        <v>1148</v>
      </c>
      <c r="U263" s="645"/>
      <c r="V263" s="630"/>
    </row>
    <row r="264" spans="1:22" ht="75.75" customHeight="1">
      <c r="A264" s="629" t="s">
        <v>3</v>
      </c>
      <c r="B264" s="636" t="s">
        <v>419</v>
      </c>
      <c r="C264" s="627">
        <v>60</v>
      </c>
      <c r="D264" s="627">
        <v>48</v>
      </c>
      <c r="E264" s="627">
        <v>0</v>
      </c>
      <c r="F264" s="626"/>
      <c r="G264" s="624">
        <v>11632.64</v>
      </c>
      <c r="H264" s="624">
        <f>SUM(I264:K264)</f>
        <v>244.64</v>
      </c>
      <c r="I264" s="624">
        <v>222.64</v>
      </c>
      <c r="J264" s="624"/>
      <c r="K264" s="624">
        <v>22</v>
      </c>
      <c r="L264" s="624">
        <v>7</v>
      </c>
      <c r="M264" s="624">
        <v>1152</v>
      </c>
      <c r="N264" s="624">
        <f>G264+M264-H264-L264</f>
        <v>12533</v>
      </c>
      <c r="O264" s="631" t="s">
        <v>1515</v>
      </c>
      <c r="P264" s="617">
        <f>80+50+804+200+14</f>
        <v>1148</v>
      </c>
      <c r="U264" s="618">
        <f>80+120+200+230+522</f>
        <v>1152</v>
      </c>
      <c r="V264" s="624"/>
    </row>
    <row r="265" spans="1:22" ht="96" customHeight="1">
      <c r="A265" s="629" t="s">
        <v>3</v>
      </c>
      <c r="B265" s="636" t="s">
        <v>1514</v>
      </c>
      <c r="C265" s="627"/>
      <c r="D265" s="627"/>
      <c r="E265" s="627"/>
      <c r="F265" s="626"/>
      <c r="G265" s="624"/>
      <c r="H265" s="624"/>
      <c r="I265" s="624"/>
      <c r="J265" s="624"/>
      <c r="K265" s="624"/>
      <c r="L265" s="624"/>
      <c r="M265" s="624">
        <v>7969</v>
      </c>
      <c r="N265" s="624">
        <f>G265+M265-H265-L265</f>
        <v>7969</v>
      </c>
      <c r="O265" s="631" t="s">
        <v>1513</v>
      </c>
      <c r="U265" s="618">
        <f>1925+6644</f>
        <v>8569</v>
      </c>
      <c r="V265" s="624">
        <v>7969</v>
      </c>
    </row>
    <row r="266" spans="1:22" s="644" customFormat="1" ht="57" customHeight="1">
      <c r="A266" s="635">
        <v>2</v>
      </c>
      <c r="B266" s="634" t="s">
        <v>311</v>
      </c>
      <c r="C266" s="633">
        <f t="shared" ref="C266:N266" si="87">SUM(C267:C268)</f>
        <v>41</v>
      </c>
      <c r="D266" s="633">
        <f t="shared" si="87"/>
        <v>41</v>
      </c>
      <c r="E266" s="633">
        <f t="shared" si="87"/>
        <v>0</v>
      </c>
      <c r="F266" s="633">
        <f t="shared" si="87"/>
        <v>0</v>
      </c>
      <c r="G266" s="633">
        <f t="shared" si="87"/>
        <v>11786.8</v>
      </c>
      <c r="H266" s="633">
        <f t="shared" si="87"/>
        <v>680.8</v>
      </c>
      <c r="I266" s="633">
        <f t="shared" si="87"/>
        <v>139.80000000000001</v>
      </c>
      <c r="J266" s="633">
        <f t="shared" si="87"/>
        <v>0</v>
      </c>
      <c r="K266" s="633">
        <f t="shared" si="87"/>
        <v>541</v>
      </c>
      <c r="L266" s="633">
        <f t="shared" si="87"/>
        <v>235</v>
      </c>
      <c r="M266" s="633">
        <f t="shared" si="87"/>
        <v>1185</v>
      </c>
      <c r="N266" s="633">
        <f t="shared" si="87"/>
        <v>12056</v>
      </c>
      <c r="O266" s="646"/>
      <c r="P266" s="644">
        <f>50+70+78</f>
        <v>198</v>
      </c>
      <c r="U266" s="645"/>
      <c r="V266" s="630"/>
    </row>
    <row r="267" spans="1:22" ht="100.5" customHeight="1">
      <c r="A267" s="629" t="s">
        <v>3</v>
      </c>
      <c r="B267" s="636" t="s">
        <v>419</v>
      </c>
      <c r="C267" s="627">
        <v>41</v>
      </c>
      <c r="D267" s="627">
        <v>41</v>
      </c>
      <c r="E267" s="627">
        <v>0</v>
      </c>
      <c r="F267" s="626"/>
      <c r="G267" s="624">
        <v>11786.8</v>
      </c>
      <c r="H267" s="624">
        <f>SUM(I267:K267)</f>
        <v>680.8</v>
      </c>
      <c r="I267" s="624">
        <v>139.80000000000001</v>
      </c>
      <c r="J267" s="624"/>
      <c r="K267" s="624">
        <v>541</v>
      </c>
      <c r="L267" s="624">
        <v>235</v>
      </c>
      <c r="M267" s="624">
        <v>884</v>
      </c>
      <c r="N267" s="624">
        <f>G267+M267-H267-L267</f>
        <v>11755</v>
      </c>
      <c r="O267" s="631" t="s">
        <v>1512</v>
      </c>
      <c r="P267" s="617">
        <f>50+70+78</f>
        <v>198</v>
      </c>
      <c r="U267" s="618">
        <f>125+156+90+513</f>
        <v>884</v>
      </c>
      <c r="V267" s="624"/>
    </row>
    <row r="268" spans="1:22" ht="57" customHeight="1">
      <c r="A268" s="629" t="s">
        <v>3</v>
      </c>
      <c r="B268" s="636" t="s">
        <v>1500</v>
      </c>
      <c r="C268" s="627"/>
      <c r="D268" s="627"/>
      <c r="E268" s="627"/>
      <c r="F268" s="626"/>
      <c r="G268" s="624"/>
      <c r="H268" s="624"/>
      <c r="I268" s="624"/>
      <c r="J268" s="624"/>
      <c r="K268" s="624"/>
      <c r="L268" s="624"/>
      <c r="M268" s="624">
        <v>301</v>
      </c>
      <c r="N268" s="624">
        <f>G268+M268-H268-L268</f>
        <v>301</v>
      </c>
      <c r="O268" s="631" t="s">
        <v>1511</v>
      </c>
      <c r="U268" s="618">
        <v>301</v>
      </c>
      <c r="V268" s="624"/>
    </row>
    <row r="269" spans="1:22" ht="75.75" customHeight="1">
      <c r="A269" s="635" t="s">
        <v>4</v>
      </c>
      <c r="B269" s="634" t="s">
        <v>1510</v>
      </c>
      <c r="C269" s="633">
        <f t="shared" ref="C269:I269" si="88">C270</f>
        <v>116</v>
      </c>
      <c r="D269" s="633">
        <f t="shared" si="88"/>
        <v>80</v>
      </c>
      <c r="E269" s="633">
        <f t="shared" si="88"/>
        <v>0</v>
      </c>
      <c r="F269" s="632">
        <f t="shared" si="88"/>
        <v>0</v>
      </c>
      <c r="G269" s="630">
        <f t="shared" si="88"/>
        <v>16025</v>
      </c>
      <c r="H269" s="630">
        <f t="shared" si="88"/>
        <v>649</v>
      </c>
      <c r="I269" s="630">
        <f t="shared" si="88"/>
        <v>244</v>
      </c>
      <c r="J269" s="630"/>
      <c r="K269" s="630">
        <f>K270</f>
        <v>405</v>
      </c>
      <c r="L269" s="630">
        <f>L270</f>
        <v>191</v>
      </c>
      <c r="M269" s="630">
        <f>M270</f>
        <v>33067</v>
      </c>
      <c r="N269" s="630">
        <f>N270</f>
        <v>48252</v>
      </c>
      <c r="O269" s="631"/>
      <c r="V269" s="630"/>
    </row>
    <row r="270" spans="1:22" ht="57" customHeight="1">
      <c r="A270" s="635">
        <v>1</v>
      </c>
      <c r="B270" s="634" t="s">
        <v>310</v>
      </c>
      <c r="C270" s="633">
        <f t="shared" ref="C270:N270" si="89">SUM(C271:C274)</f>
        <v>116</v>
      </c>
      <c r="D270" s="633">
        <f t="shared" si="89"/>
        <v>80</v>
      </c>
      <c r="E270" s="633">
        <f t="shared" si="89"/>
        <v>0</v>
      </c>
      <c r="F270" s="633">
        <f t="shared" si="89"/>
        <v>0</v>
      </c>
      <c r="G270" s="633">
        <f t="shared" si="89"/>
        <v>16025</v>
      </c>
      <c r="H270" s="633">
        <f t="shared" si="89"/>
        <v>649</v>
      </c>
      <c r="I270" s="633">
        <f t="shared" si="89"/>
        <v>244</v>
      </c>
      <c r="J270" s="633">
        <f t="shared" si="89"/>
        <v>0</v>
      </c>
      <c r="K270" s="633">
        <f t="shared" si="89"/>
        <v>405</v>
      </c>
      <c r="L270" s="633">
        <f t="shared" si="89"/>
        <v>191</v>
      </c>
      <c r="M270" s="633">
        <f t="shared" si="89"/>
        <v>33067</v>
      </c>
      <c r="N270" s="633">
        <f t="shared" si="89"/>
        <v>48252</v>
      </c>
      <c r="O270" s="631"/>
      <c r="V270" s="633"/>
    </row>
    <row r="271" spans="1:22" ht="106.5" customHeight="1">
      <c r="A271" s="629" t="s">
        <v>276</v>
      </c>
      <c r="B271" s="636" t="s">
        <v>309</v>
      </c>
      <c r="C271" s="627">
        <v>116</v>
      </c>
      <c r="D271" s="627">
        <v>80</v>
      </c>
      <c r="E271" s="627">
        <v>0</v>
      </c>
      <c r="F271" s="626"/>
      <c r="G271" s="624">
        <v>16025</v>
      </c>
      <c r="H271" s="624">
        <f>SUM(I271:K271)</f>
        <v>649</v>
      </c>
      <c r="I271" s="624">
        <v>244</v>
      </c>
      <c r="J271" s="624"/>
      <c r="K271" s="624">
        <v>405</v>
      </c>
      <c r="L271" s="624">
        <v>191</v>
      </c>
      <c r="M271" s="624">
        <v>1177</v>
      </c>
      <c r="N271" s="624">
        <f>G271+M271-H271-L271</f>
        <v>16362</v>
      </c>
      <c r="O271" s="631" t="s">
        <v>1509</v>
      </c>
      <c r="P271" s="617">
        <f>80+15+100</f>
        <v>195</v>
      </c>
      <c r="U271" s="618">
        <f>125+20+100+932</f>
        <v>1177</v>
      </c>
      <c r="V271" s="624"/>
    </row>
    <row r="272" spans="1:22" ht="186.75" customHeight="1">
      <c r="A272" s="629" t="s">
        <v>276</v>
      </c>
      <c r="B272" s="636" t="s">
        <v>308</v>
      </c>
      <c r="C272" s="627"/>
      <c r="D272" s="627"/>
      <c r="E272" s="633"/>
      <c r="F272" s="632"/>
      <c r="G272" s="630"/>
      <c r="H272" s="624"/>
      <c r="I272" s="624"/>
      <c r="J272" s="624"/>
      <c r="K272" s="624"/>
      <c r="L272" s="624"/>
      <c r="M272" s="624">
        <v>8390</v>
      </c>
      <c r="N272" s="624">
        <f>G272+M272-H272-L272</f>
        <v>8390</v>
      </c>
      <c r="O272" s="788" t="s">
        <v>1789</v>
      </c>
      <c r="P272" s="617">
        <f>300+500+100+3900+670+1160+180+500+96+144+800</f>
        <v>8350</v>
      </c>
      <c r="U272" s="618">
        <f>3900+670+500+300+100+500+96+144+1160+800+220</f>
        <v>8390</v>
      </c>
      <c r="V272" s="624"/>
    </row>
    <row r="273" spans="1:22" ht="57" customHeight="1">
      <c r="A273" s="629" t="s">
        <v>3</v>
      </c>
      <c r="B273" s="628" t="s">
        <v>318</v>
      </c>
      <c r="C273" s="627"/>
      <c r="D273" s="627"/>
      <c r="E273" s="627"/>
      <c r="F273" s="626"/>
      <c r="G273" s="624"/>
      <c r="H273" s="624"/>
      <c r="I273" s="624"/>
      <c r="J273" s="624"/>
      <c r="K273" s="624"/>
      <c r="L273" s="624"/>
      <c r="M273" s="624">
        <v>5000</v>
      </c>
      <c r="N273" s="624">
        <f>G273+M273-H273-L273</f>
        <v>5000</v>
      </c>
      <c r="O273" s="643" t="s">
        <v>1508</v>
      </c>
      <c r="V273" s="624"/>
    </row>
    <row r="274" spans="1:22" ht="57" customHeight="1">
      <c r="A274" s="629" t="s">
        <v>276</v>
      </c>
      <c r="B274" s="636" t="s">
        <v>307</v>
      </c>
      <c r="C274" s="627"/>
      <c r="D274" s="627"/>
      <c r="E274" s="627"/>
      <c r="F274" s="626"/>
      <c r="G274" s="624"/>
      <c r="H274" s="624"/>
      <c r="I274" s="624"/>
      <c r="J274" s="624"/>
      <c r="K274" s="624"/>
      <c r="L274" s="624"/>
      <c r="M274" s="624">
        <v>18500</v>
      </c>
      <c r="N274" s="624">
        <f>G274+M274-H274-L274</f>
        <v>18500</v>
      </c>
      <c r="O274" s="631" t="s">
        <v>1507</v>
      </c>
      <c r="V274" s="624"/>
    </row>
    <row r="275" spans="1:22" ht="57" customHeight="1">
      <c r="A275" s="635" t="s">
        <v>212</v>
      </c>
      <c r="B275" s="634" t="s">
        <v>305</v>
      </c>
      <c r="C275" s="633">
        <f t="shared" ref="C275:I275" si="90">C276+C283</f>
        <v>0</v>
      </c>
      <c r="D275" s="633">
        <f t="shared" si="90"/>
        <v>0</v>
      </c>
      <c r="E275" s="633">
        <f t="shared" si="90"/>
        <v>0</v>
      </c>
      <c r="F275" s="632">
        <f t="shared" si="90"/>
        <v>0</v>
      </c>
      <c r="G275" s="630">
        <f t="shared" si="90"/>
        <v>0</v>
      </c>
      <c r="H275" s="630">
        <f t="shared" si="90"/>
        <v>0</v>
      </c>
      <c r="I275" s="630">
        <f t="shared" si="90"/>
        <v>0</v>
      </c>
      <c r="J275" s="630"/>
      <c r="K275" s="630">
        <f>K276+K283</f>
        <v>0</v>
      </c>
      <c r="L275" s="630">
        <f>L276+L283</f>
        <v>0</v>
      </c>
      <c r="M275" s="630">
        <f>M276+M283</f>
        <v>123478</v>
      </c>
      <c r="N275" s="630">
        <f>N276+N283</f>
        <v>123478</v>
      </c>
      <c r="O275" s="631"/>
      <c r="V275" s="630"/>
    </row>
    <row r="276" spans="1:22" ht="36" customHeight="1">
      <c r="A276" s="635">
        <v>1</v>
      </c>
      <c r="B276" s="634" t="s">
        <v>304</v>
      </c>
      <c r="C276" s="633">
        <f t="shared" ref="C276:I276" si="91">C277+C280</f>
        <v>0</v>
      </c>
      <c r="D276" s="633">
        <f t="shared" si="91"/>
        <v>0</v>
      </c>
      <c r="E276" s="633">
        <f t="shared" si="91"/>
        <v>0</v>
      </c>
      <c r="F276" s="632">
        <f t="shared" si="91"/>
        <v>0</v>
      </c>
      <c r="G276" s="630">
        <f t="shared" si="91"/>
        <v>0</v>
      </c>
      <c r="H276" s="630">
        <f t="shared" si="91"/>
        <v>0</v>
      </c>
      <c r="I276" s="630">
        <f t="shared" si="91"/>
        <v>0</v>
      </c>
      <c r="J276" s="630"/>
      <c r="K276" s="630">
        <f>K277+K280</f>
        <v>0</v>
      </c>
      <c r="L276" s="630">
        <f>L277+L280</f>
        <v>0</v>
      </c>
      <c r="M276" s="630">
        <f>M277+M280</f>
        <v>89069</v>
      </c>
      <c r="N276" s="630">
        <f>N277+N280</f>
        <v>89069</v>
      </c>
      <c r="O276" s="631"/>
      <c r="V276" s="630"/>
    </row>
    <row r="277" spans="1:22" ht="57" customHeight="1">
      <c r="A277" s="629" t="s">
        <v>119</v>
      </c>
      <c r="B277" s="636" t="s">
        <v>1506</v>
      </c>
      <c r="C277" s="627">
        <f t="shared" ref="C277:N277" si="92">SUM(C278:C279)</f>
        <v>0</v>
      </c>
      <c r="D277" s="627">
        <f t="shared" si="92"/>
        <v>0</v>
      </c>
      <c r="E277" s="627">
        <f t="shared" si="92"/>
        <v>0</v>
      </c>
      <c r="F277" s="627">
        <f t="shared" si="92"/>
        <v>0</v>
      </c>
      <c r="G277" s="627">
        <f t="shared" si="92"/>
        <v>0</v>
      </c>
      <c r="H277" s="627">
        <f t="shared" si="92"/>
        <v>0</v>
      </c>
      <c r="I277" s="627">
        <f t="shared" si="92"/>
        <v>0</v>
      </c>
      <c r="J277" s="627">
        <f t="shared" si="92"/>
        <v>0</v>
      </c>
      <c r="K277" s="627">
        <f t="shared" si="92"/>
        <v>0</v>
      </c>
      <c r="L277" s="627">
        <f t="shared" si="92"/>
        <v>0</v>
      </c>
      <c r="M277" s="627">
        <f t="shared" si="92"/>
        <v>57411</v>
      </c>
      <c r="N277" s="627">
        <f t="shared" si="92"/>
        <v>57411</v>
      </c>
      <c r="O277" s="631"/>
      <c r="P277" s="617">
        <f>2000+5061+9300+8000+20000</f>
        <v>44361</v>
      </c>
      <c r="V277" s="627"/>
    </row>
    <row r="278" spans="1:22" ht="168" customHeight="1">
      <c r="A278" s="629" t="s">
        <v>3</v>
      </c>
      <c r="B278" s="636" t="s">
        <v>1502</v>
      </c>
      <c r="C278" s="627"/>
      <c r="D278" s="627"/>
      <c r="E278" s="627"/>
      <c r="F278" s="626"/>
      <c r="G278" s="624"/>
      <c r="H278" s="624"/>
      <c r="I278" s="624"/>
      <c r="J278" s="624"/>
      <c r="K278" s="624"/>
      <c r="L278" s="624"/>
      <c r="M278" s="624">
        <v>57200</v>
      </c>
      <c r="N278" s="624">
        <f>G278+M278-H278-L278</f>
        <v>57200</v>
      </c>
      <c r="O278" s="642" t="s">
        <v>1505</v>
      </c>
      <c r="U278" s="618">
        <f>2500+10000+5500+400+23000+9000+4800+2000</f>
        <v>57200</v>
      </c>
      <c r="V278" s="624"/>
    </row>
    <row r="279" spans="1:22" ht="75.75" customHeight="1">
      <c r="A279" s="629" t="s">
        <v>3</v>
      </c>
      <c r="B279" s="636" t="s">
        <v>1500</v>
      </c>
      <c r="C279" s="627"/>
      <c r="D279" s="627"/>
      <c r="E279" s="627"/>
      <c r="F279" s="626"/>
      <c r="G279" s="624"/>
      <c r="H279" s="624"/>
      <c r="I279" s="624"/>
      <c r="J279" s="624"/>
      <c r="K279" s="624"/>
      <c r="L279" s="624"/>
      <c r="M279" s="624">
        <v>211</v>
      </c>
      <c r="N279" s="624">
        <f>G279+M279-H279-L279</f>
        <v>211</v>
      </c>
      <c r="O279" s="625" t="s">
        <v>1504</v>
      </c>
      <c r="U279" s="618">
        <v>211</v>
      </c>
      <c r="V279" s="624"/>
    </row>
    <row r="280" spans="1:22" ht="57" customHeight="1">
      <c r="A280" s="629" t="s">
        <v>122</v>
      </c>
      <c r="B280" s="636" t="s">
        <v>1503</v>
      </c>
      <c r="C280" s="627">
        <f t="shared" ref="C280:N280" si="93">SUM(C281:C282)</f>
        <v>0</v>
      </c>
      <c r="D280" s="627">
        <f t="shared" si="93"/>
        <v>0</v>
      </c>
      <c r="E280" s="627">
        <f t="shared" si="93"/>
        <v>0</v>
      </c>
      <c r="F280" s="627">
        <f t="shared" si="93"/>
        <v>0</v>
      </c>
      <c r="G280" s="627">
        <f t="shared" si="93"/>
        <v>0</v>
      </c>
      <c r="H280" s="627">
        <f t="shared" si="93"/>
        <v>0</v>
      </c>
      <c r="I280" s="627">
        <f t="shared" si="93"/>
        <v>0</v>
      </c>
      <c r="J280" s="627">
        <f t="shared" si="93"/>
        <v>0</v>
      </c>
      <c r="K280" s="627">
        <f t="shared" si="93"/>
        <v>0</v>
      </c>
      <c r="L280" s="627">
        <f t="shared" si="93"/>
        <v>0</v>
      </c>
      <c r="M280" s="627">
        <f t="shared" si="93"/>
        <v>31658</v>
      </c>
      <c r="N280" s="627">
        <f t="shared" si="93"/>
        <v>31658</v>
      </c>
      <c r="O280" s="631"/>
      <c r="P280" s="641">
        <f>600+900+1300+650+1600+150+120+500+2200+450+1500+300+80+1200+250+200+700+15</f>
        <v>12715</v>
      </c>
      <c r="R280" s="640"/>
      <c r="V280" s="627"/>
    </row>
    <row r="281" spans="1:22" ht="364.5" customHeight="1">
      <c r="A281" s="629"/>
      <c r="B281" s="636" t="s">
        <v>1502</v>
      </c>
      <c r="C281" s="627"/>
      <c r="D281" s="627"/>
      <c r="E281" s="633"/>
      <c r="F281" s="626"/>
      <c r="G281" s="624"/>
      <c r="H281" s="624"/>
      <c r="I281" s="624"/>
      <c r="J281" s="624"/>
      <c r="K281" s="624"/>
      <c r="L281" s="624"/>
      <c r="M281" s="624">
        <v>31390</v>
      </c>
      <c r="N281" s="624">
        <f>G281+M281-H281-L281</f>
        <v>31390</v>
      </c>
      <c r="O281" s="642" t="s">
        <v>1501</v>
      </c>
      <c r="P281" s="641"/>
      <c r="R281" s="640"/>
      <c r="U281" s="618">
        <f>650+900+1300+650+2000+150+200+500+3000+450+1500+500+100+1200+250+6900+20+5000+5220+200+300+400</f>
        <v>31390</v>
      </c>
      <c r="V281" s="624"/>
    </row>
    <row r="282" spans="1:22" ht="75.75" customHeight="1">
      <c r="A282" s="629"/>
      <c r="B282" s="636" t="s">
        <v>1500</v>
      </c>
      <c r="C282" s="627"/>
      <c r="D282" s="627"/>
      <c r="E282" s="633"/>
      <c r="F282" s="626"/>
      <c r="G282" s="624"/>
      <c r="H282" s="624"/>
      <c r="I282" s="624"/>
      <c r="J282" s="624"/>
      <c r="K282" s="624"/>
      <c r="L282" s="624"/>
      <c r="M282" s="624">
        <v>268</v>
      </c>
      <c r="N282" s="624">
        <f>G282+M282-H282-L282</f>
        <v>268</v>
      </c>
      <c r="O282" s="625" t="s">
        <v>1499</v>
      </c>
      <c r="P282" s="641"/>
      <c r="R282" s="640"/>
      <c r="U282" s="618">
        <v>268</v>
      </c>
      <c r="V282" s="624"/>
    </row>
    <row r="283" spans="1:22" ht="36" customHeight="1">
      <c r="A283" s="635">
        <v>2</v>
      </c>
      <c r="B283" s="634" t="s">
        <v>301</v>
      </c>
      <c r="C283" s="633"/>
      <c r="D283" s="633"/>
      <c r="E283" s="633"/>
      <c r="F283" s="632"/>
      <c r="G283" s="630">
        <f>G284</f>
        <v>0</v>
      </c>
      <c r="H283" s="630">
        <f>H284</f>
        <v>0</v>
      </c>
      <c r="I283" s="630">
        <f>I284</f>
        <v>0</v>
      </c>
      <c r="J283" s="630"/>
      <c r="K283" s="630">
        <f>K284</f>
        <v>0</v>
      </c>
      <c r="L283" s="630">
        <f>L284</f>
        <v>0</v>
      </c>
      <c r="M283" s="630">
        <f>M284</f>
        <v>34409</v>
      </c>
      <c r="N283" s="630">
        <f>N284</f>
        <v>34409</v>
      </c>
      <c r="O283" s="631"/>
      <c r="V283" s="630"/>
    </row>
    <row r="284" spans="1:22" ht="36" customHeight="1">
      <c r="A284" s="635" t="s">
        <v>128</v>
      </c>
      <c r="B284" s="634" t="s">
        <v>300</v>
      </c>
      <c r="C284" s="630">
        <f t="shared" ref="C284:N284" si="94">C285+C286+C287+C289+C288</f>
        <v>0</v>
      </c>
      <c r="D284" s="630">
        <f t="shared" si="94"/>
        <v>0</v>
      </c>
      <c r="E284" s="630">
        <f t="shared" si="94"/>
        <v>0</v>
      </c>
      <c r="F284" s="630">
        <f t="shared" si="94"/>
        <v>0</v>
      </c>
      <c r="G284" s="630">
        <f t="shared" si="94"/>
        <v>0</v>
      </c>
      <c r="H284" s="630">
        <f t="shared" si="94"/>
        <v>0</v>
      </c>
      <c r="I284" s="630">
        <f t="shared" si="94"/>
        <v>0</v>
      </c>
      <c r="J284" s="630">
        <f t="shared" si="94"/>
        <v>0</v>
      </c>
      <c r="K284" s="630">
        <f t="shared" si="94"/>
        <v>0</v>
      </c>
      <c r="L284" s="630">
        <f t="shared" si="94"/>
        <v>0</v>
      </c>
      <c r="M284" s="630">
        <f t="shared" si="94"/>
        <v>34409</v>
      </c>
      <c r="N284" s="630">
        <f t="shared" si="94"/>
        <v>34409</v>
      </c>
      <c r="O284" s="631"/>
      <c r="V284" s="630"/>
    </row>
    <row r="285" spans="1:22" ht="267" customHeight="1">
      <c r="A285" s="629" t="s">
        <v>299</v>
      </c>
      <c r="B285" s="636" t="s">
        <v>298</v>
      </c>
      <c r="C285" s="627"/>
      <c r="D285" s="627"/>
      <c r="E285" s="633"/>
      <c r="F285" s="626"/>
      <c r="G285" s="624"/>
      <c r="H285" s="624"/>
      <c r="I285" s="624"/>
      <c r="J285" s="624"/>
      <c r="K285" s="624"/>
      <c r="L285" s="624"/>
      <c r="M285" s="624">
        <v>31038</v>
      </c>
      <c r="N285" s="624">
        <f>G285+M285-H285-L285</f>
        <v>31038</v>
      </c>
      <c r="O285" s="639" t="s">
        <v>1498</v>
      </c>
      <c r="P285" s="638">
        <f>270+300+100+150+200+230+1000+2000+500+300+100+900+200+300+300+100+150+6108+1500+15</f>
        <v>14723</v>
      </c>
      <c r="U285" s="618">
        <f>6208+460+250+350+200+500+1000+300+500+100+150+100+18580+100+150+1590+200+300</f>
        <v>31038</v>
      </c>
      <c r="V285" s="624"/>
    </row>
    <row r="286" spans="1:22" ht="36" customHeight="1">
      <c r="A286" s="629" t="s">
        <v>297</v>
      </c>
      <c r="B286" s="636" t="s">
        <v>296</v>
      </c>
      <c r="C286" s="627"/>
      <c r="D286" s="627"/>
      <c r="E286" s="633"/>
      <c r="F286" s="626"/>
      <c r="G286" s="624"/>
      <c r="H286" s="624"/>
      <c r="I286" s="624"/>
      <c r="J286" s="624"/>
      <c r="K286" s="624"/>
      <c r="L286" s="624"/>
      <c r="M286" s="624">
        <v>400</v>
      </c>
      <c r="N286" s="624">
        <f>G286+M286-H286-L286</f>
        <v>400</v>
      </c>
      <c r="O286" s="631"/>
      <c r="U286" s="618">
        <v>400</v>
      </c>
      <c r="V286" s="624"/>
    </row>
    <row r="287" spans="1:22" ht="75.75" customHeight="1">
      <c r="A287" s="629" t="s">
        <v>295</v>
      </c>
      <c r="B287" s="636" t="s">
        <v>294</v>
      </c>
      <c r="C287" s="627"/>
      <c r="D287" s="627"/>
      <c r="E287" s="633"/>
      <c r="F287" s="626"/>
      <c r="G287" s="624"/>
      <c r="H287" s="624"/>
      <c r="I287" s="624"/>
      <c r="J287" s="624"/>
      <c r="K287" s="624"/>
      <c r="L287" s="624"/>
      <c r="M287" s="624">
        <v>900</v>
      </c>
      <c r="N287" s="624">
        <f>G287+M287-H287-L287</f>
        <v>900</v>
      </c>
      <c r="O287" s="631" t="s">
        <v>1497</v>
      </c>
      <c r="U287" s="618">
        <f>200+200+500</f>
        <v>900</v>
      </c>
      <c r="V287" s="624"/>
    </row>
    <row r="288" spans="1:22" ht="36" customHeight="1">
      <c r="A288" s="629" t="s">
        <v>291</v>
      </c>
      <c r="B288" s="636" t="s">
        <v>1491</v>
      </c>
      <c r="C288" s="627"/>
      <c r="D288" s="627"/>
      <c r="E288" s="633"/>
      <c r="F288" s="626"/>
      <c r="G288" s="624"/>
      <c r="H288" s="624"/>
      <c r="I288" s="624"/>
      <c r="J288" s="624"/>
      <c r="K288" s="624"/>
      <c r="L288" s="624"/>
      <c r="M288" s="624">
        <v>71</v>
      </c>
      <c r="N288" s="624">
        <f>G288+M288-H288-L288</f>
        <v>71</v>
      </c>
      <c r="O288" s="631" t="s">
        <v>1496</v>
      </c>
      <c r="U288" s="618">
        <v>71</v>
      </c>
      <c r="V288" s="624"/>
    </row>
    <row r="289" spans="1:22" ht="36" customHeight="1">
      <c r="A289" s="629" t="s">
        <v>429</v>
      </c>
      <c r="B289" s="636" t="s">
        <v>290</v>
      </c>
      <c r="C289" s="627"/>
      <c r="D289" s="627"/>
      <c r="E289" s="633"/>
      <c r="F289" s="626"/>
      <c r="G289" s="624"/>
      <c r="H289" s="624"/>
      <c r="I289" s="624"/>
      <c r="J289" s="624"/>
      <c r="K289" s="624"/>
      <c r="L289" s="624"/>
      <c r="M289" s="624">
        <v>2000</v>
      </c>
      <c r="N289" s="624">
        <f>G289+M289-H289-L289</f>
        <v>2000</v>
      </c>
      <c r="O289" s="631" t="s">
        <v>1495</v>
      </c>
      <c r="U289" s="618">
        <v>2000</v>
      </c>
      <c r="V289" s="624"/>
    </row>
    <row r="290" spans="1:22" ht="90.75" customHeight="1">
      <c r="A290" s="635" t="s">
        <v>216</v>
      </c>
      <c r="B290" s="634" t="s">
        <v>289</v>
      </c>
      <c r="C290" s="630">
        <f t="shared" ref="C290:N290" si="95">C291+C292+C295+C296+C297+C298+C299+C300+C301+C302</f>
        <v>0</v>
      </c>
      <c r="D290" s="630">
        <f t="shared" si="95"/>
        <v>0</v>
      </c>
      <c r="E290" s="630">
        <f t="shared" si="95"/>
        <v>0</v>
      </c>
      <c r="F290" s="630">
        <f t="shared" si="95"/>
        <v>0</v>
      </c>
      <c r="G290" s="630">
        <f t="shared" si="95"/>
        <v>0</v>
      </c>
      <c r="H290" s="630">
        <f t="shared" si="95"/>
        <v>0</v>
      </c>
      <c r="I290" s="630">
        <f t="shared" si="95"/>
        <v>0</v>
      </c>
      <c r="J290" s="630">
        <f t="shared" si="95"/>
        <v>0</v>
      </c>
      <c r="K290" s="630">
        <f t="shared" si="95"/>
        <v>0</v>
      </c>
      <c r="L290" s="630">
        <f t="shared" si="95"/>
        <v>0</v>
      </c>
      <c r="M290" s="630">
        <f t="shared" si="95"/>
        <v>7306</v>
      </c>
      <c r="N290" s="630">
        <f t="shared" si="95"/>
        <v>7306</v>
      </c>
      <c r="O290" s="631"/>
      <c r="V290" s="630"/>
    </row>
    <row r="291" spans="1:22" ht="36" customHeight="1">
      <c r="A291" s="629">
        <v>1</v>
      </c>
      <c r="B291" s="636" t="s">
        <v>839</v>
      </c>
      <c r="C291" s="627"/>
      <c r="D291" s="627"/>
      <c r="E291" s="627"/>
      <c r="F291" s="626"/>
      <c r="G291" s="624"/>
      <c r="H291" s="624"/>
      <c r="I291" s="624"/>
      <c r="J291" s="624"/>
      <c r="K291" s="624"/>
      <c r="L291" s="624"/>
      <c r="M291" s="624">
        <v>700</v>
      </c>
      <c r="N291" s="624">
        <f>G291+M291-H291-L291</f>
        <v>700</v>
      </c>
      <c r="O291" s="631" t="s">
        <v>1494</v>
      </c>
      <c r="U291" s="618">
        <v>700</v>
      </c>
      <c r="V291" s="624"/>
    </row>
    <row r="292" spans="1:22" ht="57" customHeight="1">
      <c r="A292" s="629">
        <v>2</v>
      </c>
      <c r="B292" s="636" t="s">
        <v>287</v>
      </c>
      <c r="C292" s="624">
        <f t="shared" ref="C292:N292" si="96">SUM(C293:C294)</f>
        <v>0</v>
      </c>
      <c r="D292" s="624">
        <f t="shared" si="96"/>
        <v>0</v>
      </c>
      <c r="E292" s="624">
        <f t="shared" si="96"/>
        <v>0</v>
      </c>
      <c r="F292" s="624">
        <f t="shared" si="96"/>
        <v>0</v>
      </c>
      <c r="G292" s="624">
        <f t="shared" si="96"/>
        <v>0</v>
      </c>
      <c r="H292" s="624">
        <f t="shared" si="96"/>
        <v>0</v>
      </c>
      <c r="I292" s="624">
        <f t="shared" si="96"/>
        <v>0</v>
      </c>
      <c r="J292" s="624">
        <f t="shared" si="96"/>
        <v>0</v>
      </c>
      <c r="K292" s="624">
        <f t="shared" si="96"/>
        <v>0</v>
      </c>
      <c r="L292" s="624">
        <f t="shared" si="96"/>
        <v>0</v>
      </c>
      <c r="M292" s="624">
        <f t="shared" si="96"/>
        <v>201</v>
      </c>
      <c r="N292" s="624">
        <f t="shared" si="96"/>
        <v>201</v>
      </c>
      <c r="O292" s="637"/>
      <c r="P292" s="617">
        <f>100+20+15+200+90</f>
        <v>425</v>
      </c>
      <c r="V292" s="624"/>
    </row>
    <row r="293" spans="1:22" ht="74.25" customHeight="1">
      <c r="A293" s="629" t="s">
        <v>3</v>
      </c>
      <c r="B293" s="636" t="s">
        <v>1493</v>
      </c>
      <c r="C293" s="627"/>
      <c r="D293" s="627"/>
      <c r="E293" s="627"/>
      <c r="F293" s="626"/>
      <c r="G293" s="624"/>
      <c r="H293" s="624"/>
      <c r="I293" s="624"/>
      <c r="J293" s="624"/>
      <c r="K293" s="624"/>
      <c r="L293" s="624"/>
      <c r="M293" s="624">
        <v>20</v>
      </c>
      <c r="N293" s="624">
        <f t="shared" ref="N293:N302" si="97">G293+M293-H293-L293</f>
        <v>20</v>
      </c>
      <c r="O293" s="637" t="s">
        <v>1492</v>
      </c>
      <c r="U293" s="618">
        <v>20</v>
      </c>
      <c r="V293" s="624"/>
    </row>
    <row r="294" spans="1:22" ht="36" customHeight="1">
      <c r="A294" s="629" t="s">
        <v>3</v>
      </c>
      <c r="B294" s="636" t="s">
        <v>1491</v>
      </c>
      <c r="C294" s="627"/>
      <c r="D294" s="627"/>
      <c r="E294" s="627"/>
      <c r="F294" s="626"/>
      <c r="G294" s="624"/>
      <c r="H294" s="624"/>
      <c r="I294" s="624"/>
      <c r="J294" s="624"/>
      <c r="K294" s="624"/>
      <c r="L294" s="624"/>
      <c r="M294" s="624">
        <v>181</v>
      </c>
      <c r="N294" s="624">
        <f t="shared" si="97"/>
        <v>181</v>
      </c>
      <c r="O294" s="637" t="s">
        <v>1490</v>
      </c>
      <c r="U294" s="618">
        <v>181</v>
      </c>
      <c r="V294" s="624"/>
    </row>
    <row r="295" spans="1:22" ht="86.25" customHeight="1">
      <c r="A295" s="629">
        <v>3</v>
      </c>
      <c r="B295" s="636" t="s">
        <v>849</v>
      </c>
      <c r="C295" s="627"/>
      <c r="D295" s="627"/>
      <c r="E295" s="627"/>
      <c r="F295" s="626"/>
      <c r="G295" s="624"/>
      <c r="H295" s="624"/>
      <c r="I295" s="624"/>
      <c r="J295" s="624"/>
      <c r="K295" s="624"/>
      <c r="L295" s="624"/>
      <c r="M295" s="624">
        <v>1215</v>
      </c>
      <c r="N295" s="624">
        <f t="shared" si="97"/>
        <v>1215</v>
      </c>
      <c r="O295" s="631" t="s">
        <v>1489</v>
      </c>
      <c r="P295" s="617">
        <f>500+216</f>
        <v>716</v>
      </c>
      <c r="U295" s="618">
        <f>600+122+313+180</f>
        <v>1215</v>
      </c>
      <c r="V295" s="624"/>
    </row>
    <row r="296" spans="1:22" ht="36" customHeight="1">
      <c r="A296" s="629">
        <v>4</v>
      </c>
      <c r="B296" s="636" t="s">
        <v>1488</v>
      </c>
      <c r="C296" s="627"/>
      <c r="D296" s="627"/>
      <c r="E296" s="627"/>
      <c r="F296" s="626"/>
      <c r="G296" s="624"/>
      <c r="H296" s="624"/>
      <c r="I296" s="624"/>
      <c r="J296" s="624"/>
      <c r="K296" s="624"/>
      <c r="L296" s="624"/>
      <c r="M296" s="624">
        <v>300</v>
      </c>
      <c r="N296" s="624">
        <f t="shared" si="97"/>
        <v>300</v>
      </c>
      <c r="O296" s="631" t="s">
        <v>1487</v>
      </c>
      <c r="U296" s="618">
        <v>300</v>
      </c>
      <c r="V296" s="624"/>
    </row>
    <row r="297" spans="1:22" ht="53.25" customHeight="1">
      <c r="A297" s="629">
        <v>5</v>
      </c>
      <c r="B297" s="636" t="s">
        <v>285</v>
      </c>
      <c r="C297" s="627"/>
      <c r="D297" s="627"/>
      <c r="E297" s="627"/>
      <c r="F297" s="626"/>
      <c r="G297" s="624"/>
      <c r="H297" s="624"/>
      <c r="I297" s="624"/>
      <c r="J297" s="624"/>
      <c r="K297" s="624"/>
      <c r="L297" s="624"/>
      <c r="M297" s="624">
        <v>600</v>
      </c>
      <c r="N297" s="624">
        <f t="shared" si="97"/>
        <v>600</v>
      </c>
      <c r="O297" s="631" t="s">
        <v>1486</v>
      </c>
      <c r="U297" s="618">
        <v>600</v>
      </c>
      <c r="V297" s="624"/>
    </row>
    <row r="298" spans="1:22" ht="57" customHeight="1">
      <c r="A298" s="629">
        <v>6</v>
      </c>
      <c r="B298" s="636" t="s">
        <v>283</v>
      </c>
      <c r="C298" s="627"/>
      <c r="D298" s="627"/>
      <c r="E298" s="627"/>
      <c r="F298" s="626"/>
      <c r="G298" s="624"/>
      <c r="H298" s="624"/>
      <c r="I298" s="624"/>
      <c r="J298" s="624"/>
      <c r="K298" s="624"/>
      <c r="L298" s="624"/>
      <c r="M298" s="624">
        <v>400</v>
      </c>
      <c r="N298" s="624">
        <f t="shared" si="97"/>
        <v>400</v>
      </c>
      <c r="O298" s="631" t="s">
        <v>1485</v>
      </c>
      <c r="U298" s="618">
        <v>400</v>
      </c>
      <c r="V298" s="624"/>
    </row>
    <row r="299" spans="1:22" ht="54.75" customHeight="1">
      <c r="A299" s="629">
        <v>7</v>
      </c>
      <c r="B299" s="636" t="s">
        <v>1484</v>
      </c>
      <c r="C299" s="627"/>
      <c r="D299" s="627"/>
      <c r="E299" s="627"/>
      <c r="F299" s="626"/>
      <c r="G299" s="624"/>
      <c r="H299" s="624"/>
      <c r="I299" s="624"/>
      <c r="J299" s="624"/>
      <c r="K299" s="624"/>
      <c r="L299" s="624"/>
      <c r="M299" s="624">
        <v>800</v>
      </c>
      <c r="N299" s="624">
        <f t="shared" si="97"/>
        <v>800</v>
      </c>
      <c r="O299" s="631" t="s">
        <v>281</v>
      </c>
      <c r="U299" s="618">
        <v>800</v>
      </c>
      <c r="V299" s="624"/>
    </row>
    <row r="300" spans="1:22" ht="57" customHeight="1">
      <c r="A300" s="629">
        <v>8</v>
      </c>
      <c r="B300" s="636" t="s">
        <v>1483</v>
      </c>
      <c r="C300" s="627"/>
      <c r="D300" s="627"/>
      <c r="E300" s="627"/>
      <c r="F300" s="626"/>
      <c r="G300" s="624"/>
      <c r="H300" s="624"/>
      <c r="I300" s="624"/>
      <c r="J300" s="624"/>
      <c r="K300" s="624"/>
      <c r="L300" s="624"/>
      <c r="M300" s="624">
        <v>190</v>
      </c>
      <c r="N300" s="624">
        <f t="shared" si="97"/>
        <v>190</v>
      </c>
      <c r="O300" s="631" t="s">
        <v>1482</v>
      </c>
      <c r="U300" s="618">
        <v>190</v>
      </c>
      <c r="V300" s="624"/>
    </row>
    <row r="301" spans="1:22" ht="57" customHeight="1">
      <c r="A301" s="629">
        <v>9</v>
      </c>
      <c r="B301" s="631" t="s">
        <v>1481</v>
      </c>
      <c r="C301" s="627"/>
      <c r="D301" s="627"/>
      <c r="E301" s="627"/>
      <c r="F301" s="626"/>
      <c r="G301" s="624"/>
      <c r="H301" s="624"/>
      <c r="I301" s="624"/>
      <c r="J301" s="624"/>
      <c r="K301" s="624"/>
      <c r="L301" s="624"/>
      <c r="M301" s="624">
        <v>1000</v>
      </c>
      <c r="N301" s="624">
        <f t="shared" si="97"/>
        <v>1000</v>
      </c>
      <c r="O301" s="631" t="s">
        <v>1480</v>
      </c>
      <c r="U301" s="618">
        <v>1000</v>
      </c>
      <c r="V301" s="624"/>
    </row>
    <row r="302" spans="1:22" ht="57" customHeight="1">
      <c r="A302" s="629">
        <v>10</v>
      </c>
      <c r="B302" s="631" t="s">
        <v>1479</v>
      </c>
      <c r="C302" s="627"/>
      <c r="D302" s="627"/>
      <c r="E302" s="627"/>
      <c r="F302" s="626"/>
      <c r="G302" s="624"/>
      <c r="H302" s="624"/>
      <c r="I302" s="624"/>
      <c r="J302" s="624"/>
      <c r="K302" s="624"/>
      <c r="L302" s="624"/>
      <c r="M302" s="624">
        <v>1900</v>
      </c>
      <c r="N302" s="624">
        <f t="shared" si="97"/>
        <v>1900</v>
      </c>
      <c r="O302" s="631" t="s">
        <v>1478</v>
      </c>
      <c r="P302" s="617">
        <f>1200+900+700</f>
        <v>2800</v>
      </c>
      <c r="U302" s="618">
        <v>1900</v>
      </c>
      <c r="V302" s="624"/>
    </row>
    <row r="303" spans="1:22" ht="54.75" customHeight="1">
      <c r="A303" s="635" t="s">
        <v>221</v>
      </c>
      <c r="B303" s="634" t="s">
        <v>278</v>
      </c>
      <c r="C303" s="633"/>
      <c r="D303" s="633"/>
      <c r="E303" s="633"/>
      <c r="F303" s="632"/>
      <c r="G303" s="630">
        <f>SUM(G304:G304)</f>
        <v>0</v>
      </c>
      <c r="H303" s="630">
        <f>SUM(H304:H304)</f>
        <v>0</v>
      </c>
      <c r="I303" s="630">
        <f>SUM(I304:I304)</f>
        <v>0</v>
      </c>
      <c r="J303" s="630"/>
      <c r="K303" s="630">
        <f>SUM(K304:K304)</f>
        <v>0</v>
      </c>
      <c r="L303" s="630">
        <f>SUM(L304:L304)</f>
        <v>0</v>
      </c>
      <c r="M303" s="630">
        <f>SUM(M304:M304)</f>
        <v>6000</v>
      </c>
      <c r="N303" s="630">
        <f>SUM(N304:N304)</f>
        <v>6000</v>
      </c>
      <c r="O303" s="631"/>
      <c r="V303" s="630"/>
    </row>
    <row r="304" spans="1:22" ht="54.75" customHeight="1">
      <c r="A304" s="629" t="s">
        <v>276</v>
      </c>
      <c r="B304" s="628" t="s">
        <v>275</v>
      </c>
      <c r="C304" s="627"/>
      <c r="D304" s="627"/>
      <c r="E304" s="627"/>
      <c r="F304" s="626"/>
      <c r="G304" s="624"/>
      <c r="H304" s="624"/>
      <c r="I304" s="624"/>
      <c r="J304" s="624"/>
      <c r="K304" s="624"/>
      <c r="L304" s="624"/>
      <c r="M304" s="624">
        <v>6000</v>
      </c>
      <c r="N304" s="624">
        <f>G304+M304-H304-L304</f>
        <v>6000</v>
      </c>
      <c r="O304" s="625"/>
      <c r="V304" s="624"/>
    </row>
  </sheetData>
  <mergeCells count="93">
    <mergeCell ref="A209:A210"/>
    <mergeCell ref="G248:G249"/>
    <mergeCell ref="N147:N149"/>
    <mergeCell ref="F209:F210"/>
    <mergeCell ref="N209:N210"/>
    <mergeCell ref="A248:A249"/>
    <mergeCell ref="B248:B249"/>
    <mergeCell ref="C248:C249"/>
    <mergeCell ref="E248:E249"/>
    <mergeCell ref="F248:F249"/>
    <mergeCell ref="D248:D249"/>
    <mergeCell ref="G209:G210"/>
    <mergeCell ref="H209:H210"/>
    <mergeCell ref="I209:I210"/>
    <mergeCell ref="K209:K210"/>
    <mergeCell ref="L209:L210"/>
    <mergeCell ref="O209:O210"/>
    <mergeCell ref="N174:N176"/>
    <mergeCell ref="O135:O136"/>
    <mergeCell ref="B209:B210"/>
    <mergeCell ref="C209:C210"/>
    <mergeCell ref="D209:D210"/>
    <mergeCell ref="E209:E210"/>
    <mergeCell ref="N135:N136"/>
    <mergeCell ref="M147:M149"/>
    <mergeCell ref="L135:L136"/>
    <mergeCell ref="M135:M136"/>
    <mergeCell ref="H147:H149"/>
    <mergeCell ref="G147:G149"/>
    <mergeCell ref="F147:F149"/>
    <mergeCell ref="E147:E149"/>
    <mergeCell ref="D147:D149"/>
    <mergeCell ref="V4:V6"/>
    <mergeCell ref="V135:V136"/>
    <mergeCell ref="V147:V149"/>
    <mergeCell ref="V174:V176"/>
    <mergeCell ref="V248:V249"/>
    <mergeCell ref="H248:H249"/>
    <mergeCell ref="I248:I249"/>
    <mergeCell ref="J248:J249"/>
    <mergeCell ref="H174:H176"/>
    <mergeCell ref="J174:J175"/>
    <mergeCell ref="F174:F176"/>
    <mergeCell ref="D174:D176"/>
    <mergeCell ref="I174:I176"/>
    <mergeCell ref="K174:K176"/>
    <mergeCell ref="G174:G176"/>
    <mergeCell ref="A174:A176"/>
    <mergeCell ref="B174:B176"/>
    <mergeCell ref="C174:C176"/>
    <mergeCell ref="E174:E176"/>
    <mergeCell ref="E4:E6"/>
    <mergeCell ref="A147:A149"/>
    <mergeCell ref="A135:A136"/>
    <mergeCell ref="B135:B136"/>
    <mergeCell ref="C135:C136"/>
    <mergeCell ref="C147:C149"/>
    <mergeCell ref="B147:B149"/>
    <mergeCell ref="N248:N249"/>
    <mergeCell ref="K5:K6"/>
    <mergeCell ref="K248:K249"/>
    <mergeCell ref="L174:L176"/>
    <mergeCell ref="M174:M176"/>
    <mergeCell ref="L248:L249"/>
    <mergeCell ref="M248:M249"/>
    <mergeCell ref="M209:M210"/>
    <mergeCell ref="L147:L149"/>
    <mergeCell ref="K135:K136"/>
    <mergeCell ref="K147:K149"/>
    <mergeCell ref="A1:O1"/>
    <mergeCell ref="A2:O2"/>
    <mergeCell ref="A4:A6"/>
    <mergeCell ref="B4:B6"/>
    <mergeCell ref="C4:C6"/>
    <mergeCell ref="M4:M6"/>
    <mergeCell ref="F4:F6"/>
    <mergeCell ref="G4:G6"/>
    <mergeCell ref="H4:K4"/>
    <mergeCell ref="N4:N6"/>
    <mergeCell ref="O4:O6"/>
    <mergeCell ref="H5:H6"/>
    <mergeCell ref="I5:I6"/>
    <mergeCell ref="J5:J6"/>
    <mergeCell ref="L4:L6"/>
    <mergeCell ref="D4:D6"/>
    <mergeCell ref="J147:J149"/>
    <mergeCell ref="G135:G136"/>
    <mergeCell ref="H135:H136"/>
    <mergeCell ref="F135:F136"/>
    <mergeCell ref="D135:D136"/>
    <mergeCell ref="E135:E136"/>
    <mergeCell ref="I135:I136"/>
    <mergeCell ref="I147:I149"/>
  </mergeCells>
  <printOptions horizontalCentered="1"/>
  <pageMargins left="0.21" right="0.11811023622047245" top="0.45" bottom="0.43" header="0.31496062992125984" footer="0.31496062992125984"/>
  <pageSetup paperSize="9" scale="40" fitToHeight="100" orientation="landscape" r:id="rId1"/>
  <headerFooter>
    <oddFooter>&amp;C&amp;P</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G23"/>
  <sheetViews>
    <sheetView topLeftCell="A16" workbookViewId="0">
      <selection activeCell="B9" sqref="B9"/>
    </sheetView>
  </sheetViews>
  <sheetFormatPr defaultColWidth="8.875" defaultRowHeight="15"/>
  <cols>
    <col min="1" max="1" width="5.375" style="739" customWidth="1"/>
    <col min="2" max="2" width="49.75" style="739" customWidth="1"/>
    <col min="3" max="3" width="12.75" style="740" customWidth="1"/>
    <col min="4" max="4" width="12" style="740" customWidth="1"/>
    <col min="5" max="5" width="14.25" style="740" customWidth="1"/>
    <col min="6" max="6" width="8.75" style="739" customWidth="1"/>
    <col min="7" max="7" width="12" style="739" bestFit="1" customWidth="1"/>
    <col min="8" max="16384" width="8.875" style="739"/>
  </cols>
  <sheetData>
    <row r="1" spans="1:7" ht="65.25" customHeight="1">
      <c r="A1" s="1112" t="s">
        <v>1705</v>
      </c>
      <c r="B1" s="1112"/>
      <c r="C1" s="1112"/>
      <c r="D1" s="1112"/>
      <c r="E1" s="1112"/>
    </row>
    <row r="2" spans="1:7" ht="24.75" customHeight="1">
      <c r="A2" s="1114" t="str">
        <f>'B1'!A2:Q2</f>
        <v>(Kèm theo Quyết định số: 2255/QĐ-UBND ngày 15 tháng 12 năm 2024 của UBND tỉnh Lạng Sơn)</v>
      </c>
      <c r="B2" s="1114"/>
      <c r="C2" s="1114"/>
      <c r="D2" s="1114"/>
      <c r="E2" s="1114"/>
    </row>
    <row r="3" spans="1:7" ht="20.25" customHeight="1">
      <c r="A3" s="761"/>
      <c r="B3" s="761"/>
      <c r="C3" s="1113" t="s">
        <v>1085</v>
      </c>
      <c r="D3" s="1113"/>
      <c r="E3" s="1113"/>
    </row>
    <row r="4" spans="1:7" ht="42.75" customHeight="1">
      <c r="A4" s="760" t="s">
        <v>88</v>
      </c>
      <c r="B4" s="760" t="s">
        <v>254</v>
      </c>
      <c r="C4" s="759" t="s">
        <v>533</v>
      </c>
      <c r="D4" s="759" t="s">
        <v>532</v>
      </c>
      <c r="E4" s="759" t="s">
        <v>531</v>
      </c>
    </row>
    <row r="5" spans="1:7" ht="24" customHeight="1">
      <c r="A5" s="758"/>
      <c r="B5" s="757" t="s">
        <v>249</v>
      </c>
      <c r="C5" s="756">
        <f>C6+C8+C11+C13+C15+C17+C19+C20+C22</f>
        <v>475522</v>
      </c>
      <c r="D5" s="756">
        <f>D6+D8+D11+D13+D15+D17+D19+D20+D22</f>
        <v>40607</v>
      </c>
      <c r="E5" s="756">
        <f>E6+E8+E11+E13+E15+E17+E19+E20+E22</f>
        <v>434915</v>
      </c>
      <c r="G5" s="755"/>
    </row>
    <row r="6" spans="1:7" ht="24" customHeight="1">
      <c r="A6" s="746">
        <v>1</v>
      </c>
      <c r="B6" s="745" t="s">
        <v>530</v>
      </c>
      <c r="C6" s="744">
        <f>C7</f>
        <v>9500</v>
      </c>
      <c r="D6" s="744">
        <v>961</v>
      </c>
      <c r="E6" s="744">
        <v>8539</v>
      </c>
    </row>
    <row r="7" spans="1:7" ht="24" customHeight="1">
      <c r="A7" s="749" t="s">
        <v>3</v>
      </c>
      <c r="B7" s="748" t="s">
        <v>1704</v>
      </c>
      <c r="C7" s="747">
        <f>SUM(D7:E7)</f>
        <v>9500</v>
      </c>
      <c r="D7" s="747">
        <v>961</v>
      </c>
      <c r="E7" s="747">
        <v>8539</v>
      </c>
    </row>
    <row r="8" spans="1:7" ht="24" customHeight="1">
      <c r="A8" s="746">
        <v>2</v>
      </c>
      <c r="B8" s="745" t="s">
        <v>273</v>
      </c>
      <c r="C8" s="744">
        <f>SUM(C9:C10)</f>
        <v>310600</v>
      </c>
      <c r="D8" s="744">
        <f>SUM(D9:D10)</f>
        <v>1140</v>
      </c>
      <c r="E8" s="744">
        <f>SUM(E9:E10)</f>
        <v>309460</v>
      </c>
    </row>
    <row r="9" spans="1:7" ht="24" customHeight="1">
      <c r="A9" s="749" t="s">
        <v>3</v>
      </c>
      <c r="B9" s="748" t="s">
        <v>845</v>
      </c>
      <c r="C9" s="747">
        <f>SUM(D9:E9)</f>
        <v>25500</v>
      </c>
      <c r="D9" s="753">
        <v>510</v>
      </c>
      <c r="E9" s="753">
        <v>24990</v>
      </c>
    </row>
    <row r="10" spans="1:7" ht="24" customHeight="1">
      <c r="A10" s="749" t="s">
        <v>3</v>
      </c>
      <c r="B10" s="754" t="s">
        <v>528</v>
      </c>
      <c r="C10" s="747">
        <f>SUM(D10:E10)</f>
        <v>285100</v>
      </c>
      <c r="D10" s="753">
        <v>630</v>
      </c>
      <c r="E10" s="753">
        <v>284470</v>
      </c>
    </row>
    <row r="11" spans="1:7" ht="24" customHeight="1">
      <c r="A11" s="752">
        <v>3</v>
      </c>
      <c r="B11" s="745" t="s">
        <v>346</v>
      </c>
      <c r="C11" s="744">
        <f>C12</f>
        <v>1400</v>
      </c>
      <c r="D11" s="744">
        <v>320</v>
      </c>
      <c r="E11" s="744">
        <v>1080</v>
      </c>
    </row>
    <row r="12" spans="1:7" ht="24" customHeight="1">
      <c r="A12" s="751" t="s">
        <v>3</v>
      </c>
      <c r="B12" s="748" t="s">
        <v>527</v>
      </c>
      <c r="C12" s="747">
        <f>SUM(D12:E12)</f>
        <v>1400</v>
      </c>
      <c r="D12" s="747">
        <v>320</v>
      </c>
      <c r="E12" s="747">
        <v>1080</v>
      </c>
    </row>
    <row r="13" spans="1:7" ht="39.75" customHeight="1">
      <c r="A13" s="752">
        <v>4</v>
      </c>
      <c r="B13" s="745" t="s">
        <v>545</v>
      </c>
      <c r="C13" s="744">
        <f>SUM(D13:E13)</f>
        <v>91622</v>
      </c>
      <c r="D13" s="744">
        <f>SUM(D14)</f>
        <v>35412</v>
      </c>
      <c r="E13" s="744">
        <f>SUM(E14)</f>
        <v>56210</v>
      </c>
    </row>
    <row r="14" spans="1:7" ht="24" customHeight="1">
      <c r="A14" s="751" t="s">
        <v>3</v>
      </c>
      <c r="B14" s="748" t="s">
        <v>526</v>
      </c>
      <c r="C14" s="747">
        <f>SUM(D14:E14)</f>
        <v>91622</v>
      </c>
      <c r="D14" s="790">
        <f>35000+412</f>
        <v>35412</v>
      </c>
      <c r="E14" s="790">
        <f>52500+3710</f>
        <v>56210</v>
      </c>
    </row>
    <row r="15" spans="1:7" ht="24" customHeight="1">
      <c r="A15" s="746">
        <v>5</v>
      </c>
      <c r="B15" s="745" t="s">
        <v>366</v>
      </c>
      <c r="C15" s="744">
        <f>C16</f>
        <v>4800</v>
      </c>
      <c r="D15" s="744">
        <f>D16</f>
        <v>355</v>
      </c>
      <c r="E15" s="744">
        <f>E16</f>
        <v>4445</v>
      </c>
    </row>
    <row r="16" spans="1:7" ht="24" customHeight="1">
      <c r="A16" s="751" t="s">
        <v>3</v>
      </c>
      <c r="B16" s="748" t="s">
        <v>1703</v>
      </c>
      <c r="C16" s="747">
        <f>SUM(D16:E16)</f>
        <v>4800</v>
      </c>
      <c r="D16" s="747">
        <v>355</v>
      </c>
      <c r="E16" s="747">
        <v>4445</v>
      </c>
    </row>
    <row r="17" spans="1:5" ht="24" customHeight="1">
      <c r="A17" s="752">
        <v>6</v>
      </c>
      <c r="B17" s="745" t="s">
        <v>524</v>
      </c>
      <c r="C17" s="744">
        <f>C18</f>
        <v>16300</v>
      </c>
      <c r="D17" s="744">
        <f>D18</f>
        <v>0</v>
      </c>
      <c r="E17" s="744">
        <f>E18</f>
        <v>16300</v>
      </c>
    </row>
    <row r="18" spans="1:5" ht="24" customHeight="1">
      <c r="A18" s="751" t="s">
        <v>3</v>
      </c>
      <c r="B18" s="748" t="s">
        <v>523</v>
      </c>
      <c r="C18" s="747">
        <f>SUM(D18:E18)</f>
        <v>16300</v>
      </c>
      <c r="D18" s="747"/>
      <c r="E18" s="750">
        <v>16300</v>
      </c>
    </row>
    <row r="19" spans="1:5" ht="24" customHeight="1">
      <c r="A19" s="746">
        <v>7</v>
      </c>
      <c r="B19" s="745" t="s">
        <v>846</v>
      </c>
      <c r="C19" s="744">
        <f>SUM(D19:E19)</f>
        <v>24300</v>
      </c>
      <c r="D19" s="744"/>
      <c r="E19" s="744">
        <v>24300</v>
      </c>
    </row>
    <row r="20" spans="1:5" ht="24" customHeight="1">
      <c r="A20" s="746">
        <v>8</v>
      </c>
      <c r="B20" s="745" t="s">
        <v>495</v>
      </c>
      <c r="C20" s="744">
        <f>C21</f>
        <v>13500</v>
      </c>
      <c r="D20" s="744">
        <f>D21</f>
        <v>2419</v>
      </c>
      <c r="E20" s="744">
        <f>E21</f>
        <v>11081</v>
      </c>
    </row>
    <row r="21" spans="1:5" ht="24" customHeight="1">
      <c r="A21" s="749" t="s">
        <v>3</v>
      </c>
      <c r="B21" s="748" t="s">
        <v>522</v>
      </c>
      <c r="C21" s="747">
        <f>SUM(D21:E21)</f>
        <v>13500</v>
      </c>
      <c r="D21" s="747">
        <v>2419</v>
      </c>
      <c r="E21" s="747">
        <v>11081</v>
      </c>
    </row>
    <row r="22" spans="1:5" ht="24" customHeight="1">
      <c r="A22" s="746">
        <v>9</v>
      </c>
      <c r="B22" s="745" t="s">
        <v>448</v>
      </c>
      <c r="C22" s="744">
        <f>C23</f>
        <v>3500</v>
      </c>
      <c r="D22" s="744">
        <f>D23</f>
        <v>0</v>
      </c>
      <c r="E22" s="744">
        <f>E23</f>
        <v>3500</v>
      </c>
    </row>
    <row r="23" spans="1:5" ht="39.75" customHeight="1">
      <c r="A23" s="743" t="s">
        <v>276</v>
      </c>
      <c r="B23" s="742" t="s">
        <v>521</v>
      </c>
      <c r="C23" s="741">
        <f>SUM(D23:E23)</f>
        <v>3500</v>
      </c>
      <c r="D23" s="741"/>
      <c r="E23" s="741">
        <v>3500</v>
      </c>
    </row>
  </sheetData>
  <mergeCells count="3">
    <mergeCell ref="A1:E1"/>
    <mergeCell ref="C3:E3"/>
    <mergeCell ref="A2:E2"/>
  </mergeCells>
  <printOptions horizontalCentered="1"/>
  <pageMargins left="0.59055118110236227" right="0.19685039370078741" top="0.59055118110236227" bottom="0.59055118110236227" header="0.31496062992125984" footer="0.31496062992125984"/>
  <pageSetup paperSize="9" fitToHeight="10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239"/>
  <sheetViews>
    <sheetView zoomScale="70" zoomScaleNormal="70" workbookViewId="0">
      <pane xSplit="2" ySplit="6" topLeftCell="C200" activePane="bottomRight" state="frozen"/>
      <selection activeCell="A2" sqref="A2:E2"/>
      <selection pane="topRight" activeCell="A2" sqref="A2:E2"/>
      <selection pane="bottomLeft" activeCell="A2" sqref="A2:E2"/>
      <selection pane="bottomRight" activeCell="E21" sqref="E21"/>
    </sheetView>
  </sheetViews>
  <sheetFormatPr defaultColWidth="8.875" defaultRowHeight="18.75"/>
  <cols>
    <col min="1" max="1" width="6.25" style="903" customWidth="1"/>
    <col min="2" max="2" width="23.25" style="904" customWidth="1"/>
    <col min="3" max="3" width="33.25" style="904" customWidth="1"/>
    <col min="4" max="4" width="14.25" style="905" customWidth="1"/>
    <col min="5" max="5" width="11.75" style="905" customWidth="1"/>
    <col min="6" max="6" width="12" style="905" customWidth="1"/>
    <col min="7" max="7" width="14.25" style="905" customWidth="1"/>
    <col min="8" max="8" width="15.75" style="905" customWidth="1"/>
    <col min="9" max="9" width="12.625" style="905" customWidth="1"/>
    <col min="10" max="10" width="11" style="905" customWidth="1"/>
    <col min="11" max="11" width="16.625" style="905" customWidth="1"/>
    <col min="12" max="12" width="15.75" style="905" customWidth="1"/>
    <col min="13" max="13" width="16.75" style="905" customWidth="1"/>
    <col min="14" max="14" width="13.875" style="905" customWidth="1"/>
    <col min="15" max="15" width="14.625" style="905" customWidth="1"/>
    <col min="16" max="16" width="10.375" style="904" customWidth="1"/>
    <col min="17" max="16384" width="8.875" style="791"/>
  </cols>
  <sheetData>
    <row r="1" spans="1:16" ht="34.5" customHeight="1">
      <c r="A1" s="1115" t="s">
        <v>1786</v>
      </c>
      <c r="B1" s="1115"/>
      <c r="C1" s="1115"/>
      <c r="D1" s="1115"/>
      <c r="E1" s="1115"/>
      <c r="F1" s="1115"/>
      <c r="G1" s="1115"/>
      <c r="H1" s="1115"/>
      <c r="I1" s="1115"/>
      <c r="J1" s="1115"/>
      <c r="K1" s="1115"/>
      <c r="L1" s="1115"/>
      <c r="M1" s="1115"/>
      <c r="N1" s="1115"/>
      <c r="O1" s="1115"/>
      <c r="P1" s="1115"/>
    </row>
    <row r="2" spans="1:16" s="792" customFormat="1" ht="34.5" customHeight="1">
      <c r="A2" s="1119" t="str">
        <f>'B 4'!A2:E2</f>
        <v>(Kèm theo Quyết định số: 2255/QĐ-UBND ngày 15 tháng 12 năm 2024 của UBND tỉnh Lạng Sơn)</v>
      </c>
      <c r="B2" s="1119"/>
      <c r="C2" s="1119"/>
      <c r="D2" s="1119"/>
      <c r="E2" s="1119"/>
      <c r="F2" s="1119"/>
      <c r="G2" s="1119"/>
      <c r="H2" s="1119"/>
      <c r="I2" s="1119"/>
      <c r="J2" s="1119"/>
      <c r="K2" s="1119"/>
      <c r="L2" s="1119"/>
      <c r="M2" s="1119"/>
      <c r="N2" s="1119"/>
      <c r="O2" s="1119"/>
      <c r="P2" s="1119"/>
    </row>
    <row r="3" spans="1:16" s="795" customFormat="1">
      <c r="A3" s="793"/>
      <c r="B3" s="793"/>
      <c r="C3" s="793"/>
      <c r="D3" s="794"/>
      <c r="E3" s="785"/>
      <c r="F3" s="785"/>
      <c r="G3" s="794"/>
      <c r="H3" s="794"/>
      <c r="I3" s="794"/>
      <c r="J3" s="794"/>
      <c r="K3" s="794"/>
      <c r="L3" s="794"/>
      <c r="M3" s="794"/>
      <c r="N3" s="1116" t="s">
        <v>1785</v>
      </c>
      <c r="O3" s="1116"/>
      <c r="P3" s="1116"/>
    </row>
    <row r="4" spans="1:16" ht="27" customHeight="1">
      <c r="A4" s="1117" t="s">
        <v>0</v>
      </c>
      <c r="B4" s="1117" t="s">
        <v>739</v>
      </c>
      <c r="C4" s="1117" t="s">
        <v>738</v>
      </c>
      <c r="D4" s="1118" t="s">
        <v>85</v>
      </c>
      <c r="E4" s="1118" t="s">
        <v>90</v>
      </c>
      <c r="F4" s="1118"/>
      <c r="G4" s="1118"/>
      <c r="H4" s="1118" t="s">
        <v>737</v>
      </c>
      <c r="I4" s="1118" t="s">
        <v>736</v>
      </c>
      <c r="J4" s="1118" t="s">
        <v>735</v>
      </c>
      <c r="K4" s="1118" t="s">
        <v>734</v>
      </c>
      <c r="L4" s="1118" t="s">
        <v>90</v>
      </c>
      <c r="M4" s="1118"/>
      <c r="N4" s="1118"/>
      <c r="O4" s="1118"/>
      <c r="P4" s="1117" t="s">
        <v>245</v>
      </c>
    </row>
    <row r="5" spans="1:16" ht="129.75" customHeight="1">
      <c r="A5" s="1117"/>
      <c r="B5" s="1117"/>
      <c r="C5" s="1117"/>
      <c r="D5" s="1118"/>
      <c r="E5" s="796" t="s">
        <v>733</v>
      </c>
      <c r="F5" s="796" t="s">
        <v>732</v>
      </c>
      <c r="G5" s="796" t="s">
        <v>731</v>
      </c>
      <c r="H5" s="1118"/>
      <c r="I5" s="1118"/>
      <c r="J5" s="1118"/>
      <c r="K5" s="1118"/>
      <c r="L5" s="796" t="s">
        <v>730</v>
      </c>
      <c r="M5" s="796" t="s">
        <v>729</v>
      </c>
      <c r="N5" s="796" t="s">
        <v>728</v>
      </c>
      <c r="O5" s="796" t="s">
        <v>727</v>
      </c>
      <c r="P5" s="1117"/>
    </row>
    <row r="6" spans="1:16" ht="37.5">
      <c r="A6" s="797" t="s">
        <v>27</v>
      </c>
      <c r="B6" s="797" t="s">
        <v>28</v>
      </c>
      <c r="C6" s="797" t="s">
        <v>212</v>
      </c>
      <c r="D6" s="798" t="s">
        <v>726</v>
      </c>
      <c r="E6" s="799">
        <v>2</v>
      </c>
      <c r="F6" s="799">
        <v>3</v>
      </c>
      <c r="G6" s="799">
        <v>4</v>
      </c>
      <c r="H6" s="798" t="s">
        <v>725</v>
      </c>
      <c r="I6" s="799">
        <v>6</v>
      </c>
      <c r="J6" s="799">
        <v>7</v>
      </c>
      <c r="K6" s="798" t="s">
        <v>724</v>
      </c>
      <c r="L6" s="799">
        <v>9</v>
      </c>
      <c r="M6" s="798" t="s">
        <v>723</v>
      </c>
      <c r="N6" s="799">
        <v>11</v>
      </c>
      <c r="O6" s="799">
        <v>12</v>
      </c>
      <c r="P6" s="797">
        <v>13</v>
      </c>
    </row>
    <row r="7" spans="1:16" ht="31.5" customHeight="1">
      <c r="A7" s="800"/>
      <c r="B7" s="801" t="s">
        <v>249</v>
      </c>
      <c r="C7" s="800"/>
      <c r="D7" s="802">
        <f t="shared" ref="D7:O7" si="0">D8+D14+D42+D49+D55+D60+D63+D65+D71+D78+D84+D88+D91+D97+D99+D102+D108+D133</f>
        <v>141012.09299999999</v>
      </c>
      <c r="E7" s="802">
        <f t="shared" si="0"/>
        <v>3549</v>
      </c>
      <c r="F7" s="802">
        <f t="shared" si="0"/>
        <v>8337</v>
      </c>
      <c r="G7" s="802">
        <f t="shared" si="0"/>
        <v>129126.09299999999</v>
      </c>
      <c r="H7" s="802">
        <f t="shared" si="0"/>
        <v>141012.09299999999</v>
      </c>
      <c r="I7" s="802">
        <f t="shared" si="0"/>
        <v>5427.3499999999995</v>
      </c>
      <c r="J7" s="802">
        <f t="shared" si="0"/>
        <v>3092.9159999999997</v>
      </c>
      <c r="K7" s="802">
        <f t="shared" si="0"/>
        <v>132491.82700000002</v>
      </c>
      <c r="L7" s="802">
        <f t="shared" si="0"/>
        <v>100125.56199999998</v>
      </c>
      <c r="M7" s="802">
        <f t="shared" si="0"/>
        <v>12635</v>
      </c>
      <c r="N7" s="802">
        <f t="shared" si="0"/>
        <v>1090</v>
      </c>
      <c r="O7" s="802">
        <f t="shared" si="0"/>
        <v>18641.264999999999</v>
      </c>
      <c r="P7" s="803"/>
    </row>
    <row r="8" spans="1:16" ht="31.5" customHeight="1">
      <c r="A8" s="804">
        <v>1</v>
      </c>
      <c r="B8" s="805" t="s">
        <v>1784</v>
      </c>
      <c r="C8" s="805"/>
      <c r="D8" s="806">
        <f t="shared" ref="D8:O8" si="1">D9</f>
        <v>5802</v>
      </c>
      <c r="E8" s="806">
        <f t="shared" si="1"/>
        <v>0</v>
      </c>
      <c r="F8" s="806">
        <f t="shared" si="1"/>
        <v>0</v>
      </c>
      <c r="G8" s="806">
        <f t="shared" si="1"/>
        <v>5802</v>
      </c>
      <c r="H8" s="806">
        <f t="shared" si="1"/>
        <v>5802</v>
      </c>
      <c r="I8" s="806">
        <f t="shared" si="1"/>
        <v>0</v>
      </c>
      <c r="J8" s="806">
        <f t="shared" si="1"/>
        <v>165</v>
      </c>
      <c r="K8" s="806">
        <f t="shared" si="1"/>
        <v>5637</v>
      </c>
      <c r="L8" s="806">
        <f t="shared" si="1"/>
        <v>5240</v>
      </c>
      <c r="M8" s="806">
        <f t="shared" si="1"/>
        <v>159</v>
      </c>
      <c r="N8" s="806">
        <f t="shared" si="1"/>
        <v>71</v>
      </c>
      <c r="O8" s="806">
        <f t="shared" si="1"/>
        <v>167</v>
      </c>
      <c r="P8" s="807"/>
    </row>
    <row r="9" spans="1:16" ht="31.5" customHeight="1">
      <c r="A9" s="808" t="s">
        <v>276</v>
      </c>
      <c r="B9" s="809" t="s">
        <v>690</v>
      </c>
      <c r="C9" s="809"/>
      <c r="D9" s="810">
        <f t="shared" ref="D9:O9" si="2">SUM(D10:D13)</f>
        <v>5802</v>
      </c>
      <c r="E9" s="810">
        <f t="shared" si="2"/>
        <v>0</v>
      </c>
      <c r="F9" s="810">
        <f t="shared" si="2"/>
        <v>0</v>
      </c>
      <c r="G9" s="810">
        <f t="shared" si="2"/>
        <v>5802</v>
      </c>
      <c r="H9" s="810">
        <f t="shared" si="2"/>
        <v>5802</v>
      </c>
      <c r="I9" s="810">
        <f t="shared" si="2"/>
        <v>0</v>
      </c>
      <c r="J9" s="810">
        <f t="shared" si="2"/>
        <v>165</v>
      </c>
      <c r="K9" s="810">
        <f t="shared" si="2"/>
        <v>5637</v>
      </c>
      <c r="L9" s="810">
        <f t="shared" si="2"/>
        <v>5240</v>
      </c>
      <c r="M9" s="810">
        <f t="shared" si="2"/>
        <v>159</v>
      </c>
      <c r="N9" s="810">
        <f t="shared" si="2"/>
        <v>71</v>
      </c>
      <c r="O9" s="810">
        <f t="shared" si="2"/>
        <v>167</v>
      </c>
      <c r="P9" s="784"/>
    </row>
    <row r="10" spans="1:16" ht="31.5" customHeight="1">
      <c r="A10" s="808"/>
      <c r="B10" s="809"/>
      <c r="C10" s="809" t="s">
        <v>689</v>
      </c>
      <c r="D10" s="810">
        <v>4142</v>
      </c>
      <c r="E10" s="810"/>
      <c r="F10" s="810"/>
      <c r="G10" s="810">
        <v>4142</v>
      </c>
      <c r="H10" s="810">
        <v>4142</v>
      </c>
      <c r="I10" s="810"/>
      <c r="J10" s="810"/>
      <c r="K10" s="810">
        <v>4142</v>
      </c>
      <c r="L10" s="810">
        <v>4142</v>
      </c>
      <c r="M10" s="810"/>
      <c r="N10" s="810"/>
      <c r="O10" s="810"/>
      <c r="P10" s="811"/>
    </row>
    <row r="11" spans="1:16" ht="31.5" customHeight="1">
      <c r="A11" s="808"/>
      <c r="B11" s="809"/>
      <c r="C11" s="809" t="s">
        <v>670</v>
      </c>
      <c r="D11" s="810">
        <v>1450</v>
      </c>
      <c r="E11" s="810"/>
      <c r="F11" s="810"/>
      <c r="G11" s="810">
        <v>1450</v>
      </c>
      <c r="H11" s="810">
        <v>1450</v>
      </c>
      <c r="I11" s="810"/>
      <c r="J11" s="810">
        <v>145</v>
      </c>
      <c r="K11" s="810">
        <v>1305</v>
      </c>
      <c r="L11" s="810">
        <v>938</v>
      </c>
      <c r="M11" s="810">
        <v>147</v>
      </c>
      <c r="N11" s="810">
        <v>66</v>
      </c>
      <c r="O11" s="810">
        <v>154</v>
      </c>
      <c r="P11" s="811"/>
    </row>
    <row r="12" spans="1:16" ht="31.5" customHeight="1">
      <c r="A12" s="808"/>
      <c r="B12" s="809"/>
      <c r="C12" s="809" t="s">
        <v>688</v>
      </c>
      <c r="D12" s="810">
        <v>200</v>
      </c>
      <c r="E12" s="810"/>
      <c r="F12" s="810"/>
      <c r="G12" s="810">
        <v>200</v>
      </c>
      <c r="H12" s="810">
        <v>200</v>
      </c>
      <c r="I12" s="810"/>
      <c r="J12" s="810">
        <v>20</v>
      </c>
      <c r="K12" s="810">
        <v>180</v>
      </c>
      <c r="L12" s="810">
        <v>150</v>
      </c>
      <c r="M12" s="810">
        <v>12</v>
      </c>
      <c r="N12" s="810">
        <v>5</v>
      </c>
      <c r="O12" s="810">
        <v>13</v>
      </c>
      <c r="P12" s="811"/>
    </row>
    <row r="13" spans="1:16" ht="31.5" customHeight="1">
      <c r="A13" s="808"/>
      <c r="B13" s="809"/>
      <c r="C13" s="809" t="s">
        <v>38</v>
      </c>
      <c r="D13" s="810">
        <v>10</v>
      </c>
      <c r="E13" s="810"/>
      <c r="F13" s="810"/>
      <c r="G13" s="810">
        <v>10</v>
      </c>
      <c r="H13" s="810">
        <v>10</v>
      </c>
      <c r="I13" s="810"/>
      <c r="J13" s="810"/>
      <c r="K13" s="810">
        <v>10</v>
      </c>
      <c r="L13" s="810">
        <v>10</v>
      </c>
      <c r="M13" s="810"/>
      <c r="N13" s="810"/>
      <c r="O13" s="810"/>
      <c r="P13" s="811"/>
    </row>
    <row r="14" spans="1:16" ht="31.5" customHeight="1">
      <c r="A14" s="812">
        <v>2</v>
      </c>
      <c r="B14" s="813" t="s">
        <v>273</v>
      </c>
      <c r="C14" s="812"/>
      <c r="D14" s="814">
        <f t="shared" ref="D14:O14" si="3">D15+D18+D20+D25+D29+D31+D34+D36+D38+D40</f>
        <v>67912.5</v>
      </c>
      <c r="E14" s="814">
        <f t="shared" si="3"/>
        <v>0</v>
      </c>
      <c r="F14" s="814">
        <f t="shared" si="3"/>
        <v>730</v>
      </c>
      <c r="G14" s="814">
        <f t="shared" si="3"/>
        <v>67182.5</v>
      </c>
      <c r="H14" s="814">
        <f t="shared" si="3"/>
        <v>67912.5</v>
      </c>
      <c r="I14" s="814">
        <f t="shared" si="3"/>
        <v>119</v>
      </c>
      <c r="J14" s="814">
        <f t="shared" si="3"/>
        <v>141.5</v>
      </c>
      <c r="K14" s="814">
        <f t="shared" si="3"/>
        <v>67652</v>
      </c>
      <c r="L14" s="814">
        <f t="shared" si="3"/>
        <v>65403.7</v>
      </c>
      <c r="M14" s="814">
        <f t="shared" si="3"/>
        <v>795</v>
      </c>
      <c r="N14" s="814">
        <f t="shared" si="3"/>
        <v>0</v>
      </c>
      <c r="O14" s="814">
        <f t="shared" si="3"/>
        <v>1453.2999999999993</v>
      </c>
      <c r="P14" s="815"/>
    </row>
    <row r="15" spans="1:16" ht="31.5" customHeight="1">
      <c r="A15" s="812" t="s">
        <v>276</v>
      </c>
      <c r="B15" s="813" t="s">
        <v>401</v>
      </c>
      <c r="C15" s="813"/>
      <c r="D15" s="814">
        <v>400</v>
      </c>
      <c r="E15" s="814">
        <v>0</v>
      </c>
      <c r="F15" s="814">
        <v>400</v>
      </c>
      <c r="G15" s="814">
        <v>0</v>
      </c>
      <c r="H15" s="814">
        <v>400</v>
      </c>
      <c r="I15" s="814">
        <v>95</v>
      </c>
      <c r="J15" s="814">
        <v>0</v>
      </c>
      <c r="K15" s="814">
        <v>305</v>
      </c>
      <c r="L15" s="814">
        <v>305</v>
      </c>
      <c r="M15" s="814">
        <v>0</v>
      </c>
      <c r="N15" s="814">
        <v>0</v>
      </c>
      <c r="O15" s="814">
        <v>0</v>
      </c>
      <c r="P15" s="815"/>
    </row>
    <row r="16" spans="1:16" ht="31.5" customHeight="1">
      <c r="A16" s="816"/>
      <c r="B16" s="817"/>
      <c r="C16" s="817" t="s">
        <v>1783</v>
      </c>
      <c r="D16" s="818">
        <v>250</v>
      </c>
      <c r="E16" s="818"/>
      <c r="F16" s="818">
        <v>250</v>
      </c>
      <c r="G16" s="818"/>
      <c r="H16" s="818">
        <v>250</v>
      </c>
      <c r="I16" s="818">
        <v>50</v>
      </c>
      <c r="J16" s="818"/>
      <c r="K16" s="818">
        <v>200</v>
      </c>
      <c r="L16" s="818">
        <v>200</v>
      </c>
      <c r="M16" s="818"/>
      <c r="N16" s="818"/>
      <c r="O16" s="818">
        <v>0</v>
      </c>
      <c r="P16" s="819"/>
    </row>
    <row r="17" spans="1:16" ht="31.5" customHeight="1">
      <c r="A17" s="816"/>
      <c r="B17" s="817"/>
      <c r="C17" s="817" t="s">
        <v>1782</v>
      </c>
      <c r="D17" s="818">
        <v>150</v>
      </c>
      <c r="E17" s="818"/>
      <c r="F17" s="818">
        <v>150</v>
      </c>
      <c r="G17" s="818"/>
      <c r="H17" s="818">
        <v>150</v>
      </c>
      <c r="I17" s="818">
        <v>45</v>
      </c>
      <c r="J17" s="818"/>
      <c r="K17" s="818">
        <v>105</v>
      </c>
      <c r="L17" s="818">
        <v>105</v>
      </c>
      <c r="M17" s="818"/>
      <c r="N17" s="818"/>
      <c r="O17" s="818"/>
      <c r="P17" s="819"/>
    </row>
    <row r="18" spans="1:16" ht="48.75" customHeight="1">
      <c r="A18" s="812" t="s">
        <v>276</v>
      </c>
      <c r="B18" s="820" t="s">
        <v>400</v>
      </c>
      <c r="C18" s="813"/>
      <c r="D18" s="814">
        <v>30</v>
      </c>
      <c r="E18" s="814">
        <v>0</v>
      </c>
      <c r="F18" s="814">
        <v>30</v>
      </c>
      <c r="G18" s="814">
        <v>0</v>
      </c>
      <c r="H18" s="814">
        <v>30</v>
      </c>
      <c r="I18" s="814">
        <v>9</v>
      </c>
      <c r="J18" s="814">
        <v>0</v>
      </c>
      <c r="K18" s="814">
        <v>21</v>
      </c>
      <c r="L18" s="814">
        <v>21</v>
      </c>
      <c r="M18" s="814">
        <v>0</v>
      </c>
      <c r="N18" s="814">
        <v>0</v>
      </c>
      <c r="O18" s="814">
        <v>0</v>
      </c>
      <c r="P18" s="815"/>
    </row>
    <row r="19" spans="1:16" ht="48.75" customHeight="1">
      <c r="A19" s="816"/>
      <c r="B19" s="817"/>
      <c r="C19" s="817" t="s">
        <v>1781</v>
      </c>
      <c r="D19" s="818">
        <v>30</v>
      </c>
      <c r="E19" s="818"/>
      <c r="F19" s="818">
        <v>30</v>
      </c>
      <c r="G19" s="818"/>
      <c r="H19" s="818">
        <v>30</v>
      </c>
      <c r="I19" s="818">
        <v>9</v>
      </c>
      <c r="J19" s="818"/>
      <c r="K19" s="818">
        <v>21</v>
      </c>
      <c r="L19" s="818">
        <v>21</v>
      </c>
      <c r="M19" s="818"/>
      <c r="N19" s="818"/>
      <c r="O19" s="818"/>
      <c r="P19" s="819"/>
    </row>
    <row r="20" spans="1:16" ht="48.75" customHeight="1">
      <c r="A20" s="812" t="s">
        <v>276</v>
      </c>
      <c r="B20" s="813" t="s">
        <v>1780</v>
      </c>
      <c r="C20" s="813"/>
      <c r="D20" s="814">
        <f t="shared" ref="D20:O20" si="4">SUM(D21:D24)</f>
        <v>2252.5</v>
      </c>
      <c r="E20" s="814">
        <f t="shared" si="4"/>
        <v>0</v>
      </c>
      <c r="F20" s="814">
        <f t="shared" si="4"/>
        <v>0</v>
      </c>
      <c r="G20" s="814">
        <f t="shared" si="4"/>
        <v>2252.5</v>
      </c>
      <c r="H20" s="814">
        <f t="shared" si="4"/>
        <v>2252.5</v>
      </c>
      <c r="I20" s="814">
        <f t="shared" si="4"/>
        <v>0</v>
      </c>
      <c r="J20" s="814">
        <f t="shared" si="4"/>
        <v>49.5</v>
      </c>
      <c r="K20" s="814">
        <f t="shared" si="4"/>
        <v>2203</v>
      </c>
      <c r="L20" s="814">
        <f t="shared" si="4"/>
        <v>1983</v>
      </c>
      <c r="M20" s="814">
        <f t="shared" si="4"/>
        <v>87</v>
      </c>
      <c r="N20" s="814">
        <f t="shared" si="4"/>
        <v>0</v>
      </c>
      <c r="O20" s="814">
        <f t="shared" si="4"/>
        <v>133</v>
      </c>
      <c r="P20" s="815"/>
    </row>
    <row r="21" spans="1:16" ht="31.5" customHeight="1">
      <c r="A21" s="816"/>
      <c r="B21" s="817"/>
      <c r="C21" s="817" t="s">
        <v>589</v>
      </c>
      <c r="D21" s="818">
        <v>1992.5</v>
      </c>
      <c r="E21" s="818"/>
      <c r="F21" s="818"/>
      <c r="G21" s="818">
        <v>1992.5</v>
      </c>
      <c r="H21" s="818">
        <f>SUM(I21:K21)</f>
        <v>1992.5</v>
      </c>
      <c r="I21" s="818"/>
      <c r="J21" s="818">
        <v>39.5</v>
      </c>
      <c r="K21" s="818">
        <f>SUM(L21:O21)</f>
        <v>1953</v>
      </c>
      <c r="L21" s="818">
        <v>1787</v>
      </c>
      <c r="M21" s="818">
        <v>66</v>
      </c>
      <c r="N21" s="818"/>
      <c r="O21" s="818">
        <v>100</v>
      </c>
      <c r="P21" s="819"/>
    </row>
    <row r="22" spans="1:16" ht="31.5" customHeight="1">
      <c r="A22" s="816"/>
      <c r="B22" s="817"/>
      <c r="C22" s="817" t="s">
        <v>1708</v>
      </c>
      <c r="D22" s="818">
        <v>150</v>
      </c>
      <c r="E22" s="818"/>
      <c r="F22" s="818"/>
      <c r="G22" s="818">
        <v>150</v>
      </c>
      <c r="H22" s="818">
        <f>SUM(I22:K22)</f>
        <v>150</v>
      </c>
      <c r="I22" s="818"/>
      <c r="J22" s="818">
        <v>3</v>
      </c>
      <c r="K22" s="818">
        <f>SUM(L22:O22)</f>
        <v>147</v>
      </c>
      <c r="L22" s="818">
        <v>147</v>
      </c>
      <c r="M22" s="818">
        <v>0</v>
      </c>
      <c r="N22" s="818"/>
      <c r="O22" s="818"/>
      <c r="P22" s="819"/>
    </row>
    <row r="23" spans="1:16" ht="31.5" customHeight="1">
      <c r="A23" s="816"/>
      <c r="B23" s="817"/>
      <c r="C23" s="817" t="s">
        <v>1779</v>
      </c>
      <c r="D23" s="818">
        <v>50</v>
      </c>
      <c r="E23" s="818"/>
      <c r="F23" s="818"/>
      <c r="G23" s="818">
        <v>50</v>
      </c>
      <c r="H23" s="818">
        <f>SUM(I23:K23)</f>
        <v>50</v>
      </c>
      <c r="I23" s="818"/>
      <c r="J23" s="818">
        <v>1</v>
      </c>
      <c r="K23" s="818">
        <f>SUM(L23:O23)</f>
        <v>49</v>
      </c>
      <c r="L23" s="818">
        <v>49</v>
      </c>
      <c r="M23" s="818">
        <v>0</v>
      </c>
      <c r="N23" s="818"/>
      <c r="O23" s="818">
        <v>0</v>
      </c>
      <c r="P23" s="819"/>
    </row>
    <row r="24" spans="1:16" ht="48.75" customHeight="1">
      <c r="A24" s="816"/>
      <c r="B24" s="817"/>
      <c r="C24" s="817" t="s">
        <v>1778</v>
      </c>
      <c r="D24" s="818">
        <v>60</v>
      </c>
      <c r="E24" s="818"/>
      <c r="F24" s="818"/>
      <c r="G24" s="818">
        <v>60</v>
      </c>
      <c r="H24" s="818">
        <f>SUM(I24:K24)</f>
        <v>60</v>
      </c>
      <c r="I24" s="818"/>
      <c r="J24" s="818">
        <v>6</v>
      </c>
      <c r="K24" s="818">
        <f>SUM(L24:O24)</f>
        <v>54</v>
      </c>
      <c r="L24" s="818"/>
      <c r="M24" s="818">
        <v>21</v>
      </c>
      <c r="N24" s="818"/>
      <c r="O24" s="818">
        <v>33</v>
      </c>
      <c r="P24" s="819"/>
    </row>
    <row r="25" spans="1:16" ht="31.5" customHeight="1">
      <c r="A25" s="812" t="s">
        <v>276</v>
      </c>
      <c r="B25" s="813" t="s">
        <v>912</v>
      </c>
      <c r="C25" s="813"/>
      <c r="D25" s="814">
        <v>30290</v>
      </c>
      <c r="E25" s="814">
        <v>0</v>
      </c>
      <c r="F25" s="814">
        <v>0</v>
      </c>
      <c r="G25" s="814">
        <v>30290</v>
      </c>
      <c r="H25" s="814">
        <v>30290</v>
      </c>
      <c r="I25" s="814">
        <v>0</v>
      </c>
      <c r="J25" s="814">
        <v>29</v>
      </c>
      <c r="K25" s="814">
        <v>30261</v>
      </c>
      <c r="L25" s="814">
        <f>SUM(L26:L28)</f>
        <v>29600.7</v>
      </c>
      <c r="M25" s="814">
        <f>SUM(M26:M28)</f>
        <v>231</v>
      </c>
      <c r="N25" s="814">
        <f>SUM(N26:N28)</f>
        <v>0</v>
      </c>
      <c r="O25" s="814">
        <f>SUM(O26:O28)</f>
        <v>429.29999999999927</v>
      </c>
      <c r="P25" s="815"/>
    </row>
    <row r="26" spans="1:16" ht="31.5" customHeight="1">
      <c r="A26" s="816"/>
      <c r="B26" s="817"/>
      <c r="C26" s="817" t="s">
        <v>601</v>
      </c>
      <c r="D26" s="818">
        <v>700</v>
      </c>
      <c r="E26" s="818"/>
      <c r="F26" s="818"/>
      <c r="G26" s="818">
        <v>700</v>
      </c>
      <c r="H26" s="818">
        <v>700</v>
      </c>
      <c r="I26" s="818"/>
      <c r="J26" s="818"/>
      <c r="K26" s="818">
        <v>700</v>
      </c>
      <c r="L26" s="818">
        <v>700</v>
      </c>
      <c r="M26" s="818"/>
      <c r="N26" s="818"/>
      <c r="O26" s="818"/>
      <c r="P26" s="819"/>
    </row>
    <row r="27" spans="1:16" ht="48.75" customHeight="1">
      <c r="A27" s="816"/>
      <c r="B27" s="817"/>
      <c r="C27" s="817" t="s">
        <v>1775</v>
      </c>
      <c r="D27" s="818">
        <v>29300</v>
      </c>
      <c r="E27" s="818"/>
      <c r="F27" s="818"/>
      <c r="G27" s="818">
        <v>29300</v>
      </c>
      <c r="H27" s="818">
        <v>29300</v>
      </c>
      <c r="I27" s="818"/>
      <c r="J27" s="818"/>
      <c r="K27" s="818">
        <v>29300</v>
      </c>
      <c r="L27" s="818">
        <v>28639.7</v>
      </c>
      <c r="M27" s="818">
        <v>231</v>
      </c>
      <c r="N27" s="818"/>
      <c r="O27" s="818">
        <f>K27-L27-M27</f>
        <v>429.29999999999927</v>
      </c>
      <c r="P27" s="819"/>
    </row>
    <row r="28" spans="1:16" ht="48.75" customHeight="1">
      <c r="A28" s="816"/>
      <c r="B28" s="817"/>
      <c r="C28" s="817" t="s">
        <v>1777</v>
      </c>
      <c r="D28" s="818">
        <v>290</v>
      </c>
      <c r="E28" s="818"/>
      <c r="F28" s="818"/>
      <c r="G28" s="818">
        <v>290</v>
      </c>
      <c r="H28" s="818">
        <v>290</v>
      </c>
      <c r="I28" s="818"/>
      <c r="J28" s="818">
        <v>29</v>
      </c>
      <c r="K28" s="818">
        <v>261</v>
      </c>
      <c r="L28" s="818">
        <v>261</v>
      </c>
      <c r="M28" s="818"/>
      <c r="N28" s="818"/>
      <c r="O28" s="818"/>
      <c r="P28" s="819"/>
    </row>
    <row r="29" spans="1:16" ht="48.75" customHeight="1">
      <c r="A29" s="812" t="s">
        <v>115</v>
      </c>
      <c r="B29" s="813" t="s">
        <v>1776</v>
      </c>
      <c r="C29" s="813"/>
      <c r="D29" s="814">
        <v>12000</v>
      </c>
      <c r="E29" s="814">
        <v>0</v>
      </c>
      <c r="F29" s="814">
        <v>0</v>
      </c>
      <c r="G29" s="814">
        <v>12000</v>
      </c>
      <c r="H29" s="814">
        <v>12000</v>
      </c>
      <c r="I29" s="814">
        <v>0</v>
      </c>
      <c r="J29" s="814">
        <v>0</v>
      </c>
      <c r="K29" s="814">
        <f>K30</f>
        <v>12000</v>
      </c>
      <c r="L29" s="814">
        <f>L30</f>
        <v>11414</v>
      </c>
      <c r="M29" s="814">
        <f>M30</f>
        <v>205</v>
      </c>
      <c r="N29" s="814">
        <f>N30</f>
        <v>0</v>
      </c>
      <c r="O29" s="814">
        <f>O30</f>
        <v>381</v>
      </c>
      <c r="P29" s="815"/>
    </row>
    <row r="30" spans="1:16" ht="48.75" customHeight="1">
      <c r="A30" s="816"/>
      <c r="B30" s="817"/>
      <c r="C30" s="817" t="s">
        <v>1775</v>
      </c>
      <c r="D30" s="818">
        <v>12000</v>
      </c>
      <c r="E30" s="818"/>
      <c r="F30" s="818"/>
      <c r="G30" s="818">
        <v>12000</v>
      </c>
      <c r="H30" s="818">
        <v>12000</v>
      </c>
      <c r="I30" s="818"/>
      <c r="J30" s="818"/>
      <c r="K30" s="818">
        <v>12000</v>
      </c>
      <c r="L30" s="818">
        <v>11414</v>
      </c>
      <c r="M30" s="818">
        <v>205</v>
      </c>
      <c r="N30" s="818"/>
      <c r="O30" s="818">
        <v>381</v>
      </c>
      <c r="P30" s="819"/>
    </row>
    <row r="31" spans="1:16" ht="48.75" customHeight="1">
      <c r="A31" s="812" t="s">
        <v>276</v>
      </c>
      <c r="B31" s="813" t="s">
        <v>387</v>
      </c>
      <c r="C31" s="813"/>
      <c r="D31" s="814">
        <v>19000</v>
      </c>
      <c r="E31" s="814">
        <v>0</v>
      </c>
      <c r="F31" s="814">
        <v>0</v>
      </c>
      <c r="G31" s="814">
        <v>19000</v>
      </c>
      <c r="H31" s="814">
        <v>19000</v>
      </c>
      <c r="I31" s="814">
        <v>0</v>
      </c>
      <c r="J31" s="814">
        <v>0</v>
      </c>
      <c r="K31" s="814">
        <f>SUM(K32:K33)</f>
        <v>19000</v>
      </c>
      <c r="L31" s="814">
        <f>SUM(L32:L33)</f>
        <v>18390</v>
      </c>
      <c r="M31" s="814">
        <f>SUM(M32:M33)</f>
        <v>213</v>
      </c>
      <c r="N31" s="814">
        <f>SUM(N32:N33)</f>
        <v>0</v>
      </c>
      <c r="O31" s="814">
        <f>SUM(O32:O33)</f>
        <v>397</v>
      </c>
      <c r="P31" s="815"/>
    </row>
    <row r="32" spans="1:16" ht="31.5" customHeight="1">
      <c r="A32" s="816"/>
      <c r="B32" s="817"/>
      <c r="C32" s="817" t="s">
        <v>601</v>
      </c>
      <c r="D32" s="818">
        <v>750</v>
      </c>
      <c r="E32" s="818"/>
      <c r="F32" s="818"/>
      <c r="G32" s="818">
        <v>750</v>
      </c>
      <c r="H32" s="818">
        <v>750</v>
      </c>
      <c r="I32" s="818"/>
      <c r="J32" s="818"/>
      <c r="K32" s="818">
        <v>750</v>
      </c>
      <c r="L32" s="818">
        <v>750</v>
      </c>
      <c r="M32" s="818"/>
      <c r="N32" s="818"/>
      <c r="O32" s="818"/>
      <c r="P32" s="819"/>
    </row>
    <row r="33" spans="1:16" ht="48.75" customHeight="1">
      <c r="A33" s="816"/>
      <c r="B33" s="817"/>
      <c r="C33" s="817" t="s">
        <v>1775</v>
      </c>
      <c r="D33" s="818">
        <v>18250</v>
      </c>
      <c r="E33" s="818"/>
      <c r="F33" s="818"/>
      <c r="G33" s="818">
        <v>18250</v>
      </c>
      <c r="H33" s="818">
        <v>18250</v>
      </c>
      <c r="I33" s="818"/>
      <c r="J33" s="818"/>
      <c r="K33" s="818">
        <v>18250</v>
      </c>
      <c r="L33" s="818">
        <v>17640</v>
      </c>
      <c r="M33" s="818">
        <v>213</v>
      </c>
      <c r="N33" s="818"/>
      <c r="O33" s="818">
        <v>397</v>
      </c>
      <c r="P33" s="819"/>
    </row>
    <row r="34" spans="1:16" ht="48.75" customHeight="1">
      <c r="A34" s="812" t="s">
        <v>276</v>
      </c>
      <c r="B34" s="813" t="s">
        <v>1139</v>
      </c>
      <c r="C34" s="813"/>
      <c r="D34" s="814">
        <v>3000</v>
      </c>
      <c r="E34" s="814">
        <v>0</v>
      </c>
      <c r="F34" s="814">
        <v>0</v>
      </c>
      <c r="G34" s="814">
        <v>3000</v>
      </c>
      <c r="H34" s="814">
        <v>3000</v>
      </c>
      <c r="I34" s="814">
        <v>0</v>
      </c>
      <c r="J34" s="814">
        <v>50</v>
      </c>
      <c r="K34" s="814">
        <v>2950</v>
      </c>
      <c r="L34" s="814">
        <v>2950</v>
      </c>
      <c r="M34" s="814">
        <v>0</v>
      </c>
      <c r="N34" s="814">
        <v>0</v>
      </c>
      <c r="O34" s="814">
        <v>0</v>
      </c>
      <c r="P34" s="815"/>
    </row>
    <row r="35" spans="1:16" ht="31.5" customHeight="1">
      <c r="A35" s="816"/>
      <c r="B35" s="817"/>
      <c r="C35" s="817" t="s">
        <v>1774</v>
      </c>
      <c r="D35" s="818">
        <v>3000</v>
      </c>
      <c r="E35" s="818"/>
      <c r="F35" s="818"/>
      <c r="G35" s="818">
        <v>3000</v>
      </c>
      <c r="H35" s="818">
        <v>3000</v>
      </c>
      <c r="I35" s="818"/>
      <c r="J35" s="818">
        <v>50</v>
      </c>
      <c r="K35" s="818">
        <v>2950</v>
      </c>
      <c r="L35" s="818">
        <v>2950</v>
      </c>
      <c r="M35" s="818">
        <v>0</v>
      </c>
      <c r="N35" s="818">
        <v>0</v>
      </c>
      <c r="O35" s="818">
        <v>0</v>
      </c>
      <c r="P35" s="819"/>
    </row>
    <row r="36" spans="1:16" ht="48.75" customHeight="1">
      <c r="A36" s="812" t="s">
        <v>276</v>
      </c>
      <c r="B36" s="813" t="s">
        <v>914</v>
      </c>
      <c r="C36" s="813"/>
      <c r="D36" s="814">
        <v>300</v>
      </c>
      <c r="E36" s="814">
        <v>0</v>
      </c>
      <c r="F36" s="814">
        <v>300</v>
      </c>
      <c r="G36" s="814">
        <v>0</v>
      </c>
      <c r="H36" s="814">
        <v>300</v>
      </c>
      <c r="I36" s="814">
        <v>15</v>
      </c>
      <c r="J36" s="814">
        <v>0</v>
      </c>
      <c r="K36" s="814">
        <v>285</v>
      </c>
      <c r="L36" s="814">
        <v>285</v>
      </c>
      <c r="M36" s="814">
        <v>0</v>
      </c>
      <c r="N36" s="814">
        <v>0</v>
      </c>
      <c r="O36" s="814">
        <v>0</v>
      </c>
      <c r="P36" s="815"/>
    </row>
    <row r="37" spans="1:16" ht="48.75" customHeight="1">
      <c r="A37" s="816"/>
      <c r="B37" s="817"/>
      <c r="C37" s="817" t="s">
        <v>1773</v>
      </c>
      <c r="D37" s="818">
        <v>300</v>
      </c>
      <c r="E37" s="818"/>
      <c r="F37" s="818">
        <v>300</v>
      </c>
      <c r="G37" s="818"/>
      <c r="H37" s="818">
        <v>300</v>
      </c>
      <c r="I37" s="818">
        <v>15</v>
      </c>
      <c r="J37" s="818"/>
      <c r="K37" s="818">
        <v>285</v>
      </c>
      <c r="L37" s="818">
        <v>285</v>
      </c>
      <c r="M37" s="818"/>
      <c r="N37" s="818"/>
      <c r="O37" s="818">
        <v>0</v>
      </c>
      <c r="P37" s="819"/>
    </row>
    <row r="38" spans="1:16" ht="31.5" customHeight="1">
      <c r="A38" s="812" t="s">
        <v>276</v>
      </c>
      <c r="B38" s="813" t="s">
        <v>915</v>
      </c>
      <c r="C38" s="813"/>
      <c r="D38" s="814">
        <f t="shared" ref="D38:O38" si="5">D39</f>
        <v>240</v>
      </c>
      <c r="E38" s="814">
        <f t="shared" si="5"/>
        <v>0</v>
      </c>
      <c r="F38" s="814">
        <f t="shared" si="5"/>
        <v>0</v>
      </c>
      <c r="G38" s="814">
        <f t="shared" si="5"/>
        <v>240</v>
      </c>
      <c r="H38" s="814">
        <f t="shared" si="5"/>
        <v>240</v>
      </c>
      <c r="I38" s="814">
        <f t="shared" si="5"/>
        <v>0</v>
      </c>
      <c r="J38" s="814">
        <f t="shared" si="5"/>
        <v>5</v>
      </c>
      <c r="K38" s="814">
        <f t="shared" si="5"/>
        <v>235</v>
      </c>
      <c r="L38" s="814">
        <f t="shared" si="5"/>
        <v>180</v>
      </c>
      <c r="M38" s="814">
        <f t="shared" si="5"/>
        <v>19</v>
      </c>
      <c r="N38" s="814">
        <f t="shared" si="5"/>
        <v>0</v>
      </c>
      <c r="O38" s="814">
        <f t="shared" si="5"/>
        <v>36</v>
      </c>
      <c r="P38" s="815"/>
    </row>
    <row r="39" spans="1:16" ht="48.75" customHeight="1">
      <c r="A39" s="816"/>
      <c r="B39" s="817"/>
      <c r="C39" s="817" t="s">
        <v>1772</v>
      </c>
      <c r="D39" s="818">
        <v>240</v>
      </c>
      <c r="E39" s="818"/>
      <c r="F39" s="818"/>
      <c r="G39" s="818">
        <v>240</v>
      </c>
      <c r="H39" s="818">
        <v>240</v>
      </c>
      <c r="I39" s="818"/>
      <c r="J39" s="818">
        <v>5</v>
      </c>
      <c r="K39" s="818">
        <v>235</v>
      </c>
      <c r="L39" s="818">
        <v>180</v>
      </c>
      <c r="M39" s="818">
        <v>19</v>
      </c>
      <c r="N39" s="818"/>
      <c r="O39" s="818">
        <f>K39-L39-M39</f>
        <v>36</v>
      </c>
      <c r="P39" s="819"/>
    </row>
    <row r="40" spans="1:16" ht="88.5" customHeight="1">
      <c r="A40" s="812" t="s">
        <v>276</v>
      </c>
      <c r="B40" s="813" t="s">
        <v>1771</v>
      </c>
      <c r="C40" s="813"/>
      <c r="D40" s="814">
        <v>400</v>
      </c>
      <c r="E40" s="814">
        <v>0</v>
      </c>
      <c r="F40" s="814">
        <v>0</v>
      </c>
      <c r="G40" s="814">
        <v>400</v>
      </c>
      <c r="H40" s="814">
        <v>400</v>
      </c>
      <c r="I40" s="814">
        <v>0</v>
      </c>
      <c r="J40" s="814">
        <v>8</v>
      </c>
      <c r="K40" s="814">
        <f>K41</f>
        <v>392</v>
      </c>
      <c r="L40" s="814">
        <f>L41</f>
        <v>275</v>
      </c>
      <c r="M40" s="814">
        <f>M41</f>
        <v>40</v>
      </c>
      <c r="N40" s="814">
        <f>N41</f>
        <v>0</v>
      </c>
      <c r="O40" s="814">
        <f>O41</f>
        <v>77</v>
      </c>
      <c r="P40" s="815"/>
    </row>
    <row r="41" spans="1:16" ht="31.5" customHeight="1">
      <c r="A41" s="816"/>
      <c r="B41" s="817"/>
      <c r="C41" s="817" t="s">
        <v>1770</v>
      </c>
      <c r="D41" s="818">
        <v>400</v>
      </c>
      <c r="E41" s="818"/>
      <c r="F41" s="818"/>
      <c r="G41" s="818">
        <v>400</v>
      </c>
      <c r="H41" s="818">
        <v>400</v>
      </c>
      <c r="I41" s="818"/>
      <c r="J41" s="818">
        <v>8</v>
      </c>
      <c r="K41" s="818">
        <v>392</v>
      </c>
      <c r="L41" s="818">
        <v>275</v>
      </c>
      <c r="M41" s="818">
        <v>40</v>
      </c>
      <c r="N41" s="818"/>
      <c r="O41" s="818">
        <v>77</v>
      </c>
      <c r="P41" s="819"/>
    </row>
    <row r="42" spans="1:16" ht="48.75" customHeight="1">
      <c r="A42" s="812">
        <v>3</v>
      </c>
      <c r="B42" s="821" t="s">
        <v>364</v>
      </c>
      <c r="C42" s="812"/>
      <c r="D42" s="814">
        <f>SUM(D43:D48)</f>
        <v>3828</v>
      </c>
      <c r="E42" s="814">
        <f t="shared" ref="E42:O42" si="6">SUM(E43:E48)</f>
        <v>20</v>
      </c>
      <c r="F42" s="814">
        <f t="shared" si="6"/>
        <v>20</v>
      </c>
      <c r="G42" s="814">
        <f t="shared" si="6"/>
        <v>3788</v>
      </c>
      <c r="H42" s="814">
        <f t="shared" si="6"/>
        <v>3828</v>
      </c>
      <c r="I42" s="814">
        <f t="shared" si="6"/>
        <v>18</v>
      </c>
      <c r="J42" s="814">
        <f t="shared" si="6"/>
        <v>381</v>
      </c>
      <c r="K42" s="814">
        <f t="shared" si="6"/>
        <v>3429</v>
      </c>
      <c r="L42" s="814">
        <f t="shared" si="6"/>
        <v>2505</v>
      </c>
      <c r="M42" s="814">
        <f t="shared" si="6"/>
        <v>357</v>
      </c>
      <c r="N42" s="814">
        <f t="shared" si="6"/>
        <v>114</v>
      </c>
      <c r="O42" s="814">
        <f t="shared" si="6"/>
        <v>453</v>
      </c>
      <c r="P42" s="822"/>
    </row>
    <row r="43" spans="1:16" ht="31.5" customHeight="1">
      <c r="A43" s="816" t="s">
        <v>276</v>
      </c>
      <c r="B43" s="823" t="s">
        <v>570</v>
      </c>
      <c r="C43" s="823" t="s">
        <v>1769</v>
      </c>
      <c r="D43" s="818">
        <f t="shared" ref="D43:D48" si="7">SUM(E43:G43)</f>
        <v>20</v>
      </c>
      <c r="E43" s="818">
        <v>20</v>
      </c>
      <c r="F43" s="818"/>
      <c r="G43" s="818">
        <v>0</v>
      </c>
      <c r="H43" s="818">
        <f>I43+K43</f>
        <v>20</v>
      </c>
      <c r="I43" s="818">
        <v>18</v>
      </c>
      <c r="J43" s="818"/>
      <c r="K43" s="818">
        <v>2</v>
      </c>
      <c r="L43" s="818">
        <v>2</v>
      </c>
      <c r="M43" s="818"/>
      <c r="N43" s="818">
        <v>0</v>
      </c>
      <c r="O43" s="818">
        <v>0</v>
      </c>
      <c r="P43" s="824"/>
    </row>
    <row r="44" spans="1:16" ht="65.25" customHeight="1">
      <c r="A44" s="816" t="s">
        <v>276</v>
      </c>
      <c r="B44" s="817" t="s">
        <v>1768</v>
      </c>
      <c r="C44" s="817" t="s">
        <v>1767</v>
      </c>
      <c r="D44" s="818">
        <f t="shared" si="7"/>
        <v>2400</v>
      </c>
      <c r="E44" s="818"/>
      <c r="F44" s="818"/>
      <c r="G44" s="818">
        <v>2400</v>
      </c>
      <c r="H44" s="818">
        <v>2400</v>
      </c>
      <c r="I44" s="818"/>
      <c r="J44" s="818">
        <v>240</v>
      </c>
      <c r="K44" s="818">
        <v>2160</v>
      </c>
      <c r="L44" s="818">
        <v>1650</v>
      </c>
      <c r="M44" s="818">
        <v>204</v>
      </c>
      <c r="N44" s="818">
        <v>101</v>
      </c>
      <c r="O44" s="818">
        <f>K44-L44-M44-N44</f>
        <v>205</v>
      </c>
      <c r="P44" s="824"/>
    </row>
    <row r="45" spans="1:16" ht="31.5" customHeight="1">
      <c r="A45" s="816" t="s">
        <v>276</v>
      </c>
      <c r="B45" s="817" t="s">
        <v>360</v>
      </c>
      <c r="C45" s="817" t="s">
        <v>1762</v>
      </c>
      <c r="D45" s="818">
        <f t="shared" si="7"/>
        <v>200</v>
      </c>
      <c r="E45" s="818"/>
      <c r="F45" s="818"/>
      <c r="G45" s="818">
        <v>200</v>
      </c>
      <c r="H45" s="818">
        <f>I45+J45+K45</f>
        <v>200</v>
      </c>
      <c r="I45" s="818"/>
      <c r="J45" s="818">
        <v>20</v>
      </c>
      <c r="K45" s="818">
        <v>180</v>
      </c>
      <c r="L45" s="818">
        <v>120</v>
      </c>
      <c r="M45" s="818">
        <v>12</v>
      </c>
      <c r="N45" s="818"/>
      <c r="O45" s="818">
        <f>K45-L45-M45</f>
        <v>48</v>
      </c>
      <c r="P45" s="824"/>
    </row>
    <row r="46" spans="1:16" ht="48.75" customHeight="1">
      <c r="A46" s="825" t="s">
        <v>276</v>
      </c>
      <c r="B46" s="826" t="s">
        <v>1791</v>
      </c>
      <c r="C46" s="826" t="s">
        <v>1766</v>
      </c>
      <c r="D46" s="827">
        <f t="shared" ref="D46:D47" si="8">SUM(E46:G46)</f>
        <v>700</v>
      </c>
      <c r="E46" s="828"/>
      <c r="F46" s="828"/>
      <c r="G46" s="828">
        <v>700</v>
      </c>
      <c r="H46" s="828">
        <f>SUM(I46:K46)</f>
        <v>700</v>
      </c>
      <c r="I46" s="828"/>
      <c r="J46" s="828">
        <v>70</v>
      </c>
      <c r="K46" s="828">
        <v>630</v>
      </c>
      <c r="L46" s="828">
        <v>422</v>
      </c>
      <c r="M46" s="828">
        <v>83</v>
      </c>
      <c r="N46" s="828">
        <v>13</v>
      </c>
      <c r="O46" s="828">
        <v>112</v>
      </c>
      <c r="P46" s="826"/>
    </row>
    <row r="47" spans="1:16" ht="48.75" customHeight="1">
      <c r="A47" s="825" t="s">
        <v>276</v>
      </c>
      <c r="B47" s="826" t="s">
        <v>1792</v>
      </c>
      <c r="C47" s="826" t="s">
        <v>1766</v>
      </c>
      <c r="D47" s="827">
        <f t="shared" si="8"/>
        <v>200</v>
      </c>
      <c r="E47" s="828"/>
      <c r="F47" s="828"/>
      <c r="G47" s="828">
        <v>200</v>
      </c>
      <c r="H47" s="828">
        <f>SUM(I47:K47)</f>
        <v>200</v>
      </c>
      <c r="I47" s="828"/>
      <c r="J47" s="828">
        <v>20</v>
      </c>
      <c r="K47" s="828">
        <v>180</v>
      </c>
      <c r="L47" s="828">
        <v>145</v>
      </c>
      <c r="M47" s="828">
        <v>14</v>
      </c>
      <c r="N47" s="828">
        <v>0</v>
      </c>
      <c r="O47" s="828">
        <f>K47-L47-M47-N47</f>
        <v>21</v>
      </c>
      <c r="P47" s="826"/>
    </row>
    <row r="48" spans="1:16" ht="31.5" customHeight="1">
      <c r="A48" s="816" t="s">
        <v>276</v>
      </c>
      <c r="B48" s="817" t="s">
        <v>361</v>
      </c>
      <c r="C48" s="817" t="s">
        <v>1766</v>
      </c>
      <c r="D48" s="818">
        <f t="shared" si="7"/>
        <v>308</v>
      </c>
      <c r="E48" s="783"/>
      <c r="F48" s="783">
        <v>20</v>
      </c>
      <c r="G48" s="783">
        <v>288</v>
      </c>
      <c r="H48" s="818">
        <f>SUM(I48:K48)</f>
        <v>308</v>
      </c>
      <c r="I48" s="783"/>
      <c r="J48" s="783">
        <v>31</v>
      </c>
      <c r="K48" s="783">
        <f>D48-J48</f>
        <v>277</v>
      </c>
      <c r="L48" s="783">
        <v>166</v>
      </c>
      <c r="M48" s="818">
        <v>44</v>
      </c>
      <c r="N48" s="818"/>
      <c r="O48" s="818">
        <f>K48-L48-M48</f>
        <v>67</v>
      </c>
      <c r="P48" s="782"/>
    </row>
    <row r="49" spans="1:16" ht="48.75" customHeight="1">
      <c r="A49" s="804">
        <v>4</v>
      </c>
      <c r="B49" s="829" t="s">
        <v>374</v>
      </c>
      <c r="C49" s="804"/>
      <c r="D49" s="806">
        <f t="shared" ref="D49:O49" si="9">D50+D53</f>
        <v>874.5</v>
      </c>
      <c r="E49" s="806">
        <f t="shared" si="9"/>
        <v>3</v>
      </c>
      <c r="F49" s="806">
        <f t="shared" si="9"/>
        <v>85</v>
      </c>
      <c r="G49" s="806">
        <f t="shared" si="9"/>
        <v>786.5</v>
      </c>
      <c r="H49" s="806">
        <f t="shared" si="9"/>
        <v>874.5</v>
      </c>
      <c r="I49" s="806">
        <f t="shared" si="9"/>
        <v>15.75</v>
      </c>
      <c r="J49" s="806">
        <f t="shared" si="9"/>
        <v>40</v>
      </c>
      <c r="K49" s="806">
        <f t="shared" si="9"/>
        <v>818.75</v>
      </c>
      <c r="L49" s="806">
        <f t="shared" si="9"/>
        <v>782.2</v>
      </c>
      <c r="M49" s="806">
        <f t="shared" si="9"/>
        <v>23</v>
      </c>
      <c r="N49" s="806">
        <f t="shared" si="9"/>
        <v>0</v>
      </c>
      <c r="O49" s="806">
        <f t="shared" si="9"/>
        <v>13.549999999999997</v>
      </c>
      <c r="P49" s="807"/>
    </row>
    <row r="50" spans="1:16" ht="31.5" customHeight="1">
      <c r="A50" s="808" t="s">
        <v>276</v>
      </c>
      <c r="B50" s="809" t="s">
        <v>1765</v>
      </c>
      <c r="C50" s="809"/>
      <c r="D50" s="810">
        <f t="shared" ref="D50:O50" si="10">SUM(D51:D52)</f>
        <v>88</v>
      </c>
      <c r="E50" s="810">
        <f t="shared" si="10"/>
        <v>3</v>
      </c>
      <c r="F50" s="810">
        <f t="shared" si="10"/>
        <v>85</v>
      </c>
      <c r="G50" s="810">
        <f t="shared" si="10"/>
        <v>0</v>
      </c>
      <c r="H50" s="810">
        <f t="shared" si="10"/>
        <v>88</v>
      </c>
      <c r="I50" s="810">
        <f t="shared" si="10"/>
        <v>15.75</v>
      </c>
      <c r="J50" s="810">
        <f t="shared" si="10"/>
        <v>0</v>
      </c>
      <c r="K50" s="810">
        <f t="shared" si="10"/>
        <v>72.25</v>
      </c>
      <c r="L50" s="810">
        <f t="shared" si="10"/>
        <v>35.700000000000003</v>
      </c>
      <c r="M50" s="810">
        <f t="shared" si="10"/>
        <v>23</v>
      </c>
      <c r="N50" s="810">
        <f t="shared" si="10"/>
        <v>0</v>
      </c>
      <c r="O50" s="810">
        <f t="shared" si="10"/>
        <v>13.549999999999997</v>
      </c>
      <c r="P50" s="811"/>
    </row>
    <row r="51" spans="1:16" ht="67.5" customHeight="1">
      <c r="A51" s="808"/>
      <c r="B51" s="809"/>
      <c r="C51" s="809" t="s">
        <v>1764</v>
      </c>
      <c r="D51" s="810">
        <v>85</v>
      </c>
      <c r="E51" s="810"/>
      <c r="F51" s="810">
        <v>85</v>
      </c>
      <c r="G51" s="810"/>
      <c r="H51" s="810">
        <f>SUM(I51:K51)</f>
        <v>85</v>
      </c>
      <c r="I51" s="810">
        <v>12.75</v>
      </c>
      <c r="J51" s="810"/>
      <c r="K51" s="810">
        <v>72.25</v>
      </c>
      <c r="L51" s="810">
        <v>35.700000000000003</v>
      </c>
      <c r="M51" s="810">
        <v>23</v>
      </c>
      <c r="N51" s="810">
        <v>0</v>
      </c>
      <c r="O51" s="810">
        <f>K51-L51-M51</f>
        <v>13.549999999999997</v>
      </c>
      <c r="P51" s="811"/>
    </row>
    <row r="52" spans="1:16" ht="48.75" customHeight="1">
      <c r="A52" s="808"/>
      <c r="B52" s="809"/>
      <c r="C52" s="809" t="s">
        <v>1763</v>
      </c>
      <c r="D52" s="810">
        <v>3</v>
      </c>
      <c r="E52" s="810">
        <v>3</v>
      </c>
      <c r="F52" s="810"/>
      <c r="G52" s="810"/>
      <c r="H52" s="810">
        <v>3</v>
      </c>
      <c r="I52" s="810">
        <v>3</v>
      </c>
      <c r="J52" s="810"/>
      <c r="K52" s="810">
        <v>0</v>
      </c>
      <c r="L52" s="810"/>
      <c r="M52" s="810"/>
      <c r="N52" s="810"/>
      <c r="O52" s="810"/>
      <c r="P52" s="811"/>
    </row>
    <row r="53" spans="1:16" ht="132" customHeight="1">
      <c r="A53" s="808" t="s">
        <v>276</v>
      </c>
      <c r="B53" s="830" t="s">
        <v>1573</v>
      </c>
      <c r="C53" s="809"/>
      <c r="D53" s="810">
        <v>786.5</v>
      </c>
      <c r="E53" s="810">
        <v>0</v>
      </c>
      <c r="F53" s="810">
        <v>0</v>
      </c>
      <c r="G53" s="810">
        <v>786.5</v>
      </c>
      <c r="H53" s="810">
        <v>786.5</v>
      </c>
      <c r="I53" s="810">
        <v>0</v>
      </c>
      <c r="J53" s="810">
        <v>40</v>
      </c>
      <c r="K53" s="810">
        <v>746.5</v>
      </c>
      <c r="L53" s="810">
        <v>746.5</v>
      </c>
      <c r="M53" s="810">
        <v>0</v>
      </c>
      <c r="N53" s="810">
        <v>0</v>
      </c>
      <c r="O53" s="810">
        <v>0</v>
      </c>
      <c r="P53" s="811"/>
    </row>
    <row r="54" spans="1:16" ht="31.5" customHeight="1">
      <c r="A54" s="809"/>
      <c r="B54" s="809"/>
      <c r="C54" s="809" t="s">
        <v>1762</v>
      </c>
      <c r="D54" s="810">
        <v>786.5</v>
      </c>
      <c r="E54" s="810"/>
      <c r="F54" s="810"/>
      <c r="G54" s="810">
        <v>786.5</v>
      </c>
      <c r="H54" s="810">
        <v>786.5</v>
      </c>
      <c r="I54" s="810"/>
      <c r="J54" s="810">
        <v>40</v>
      </c>
      <c r="K54" s="810">
        <v>746.5</v>
      </c>
      <c r="L54" s="810">
        <v>746.5</v>
      </c>
      <c r="M54" s="810"/>
      <c r="N54" s="810"/>
      <c r="O54" s="810"/>
      <c r="P54" s="811"/>
    </row>
    <row r="55" spans="1:16" ht="31.5" customHeight="1">
      <c r="A55" s="812">
        <v>5</v>
      </c>
      <c r="B55" s="813" t="s">
        <v>346</v>
      </c>
      <c r="C55" s="813"/>
      <c r="D55" s="781">
        <f t="shared" ref="D55:O55" si="11">D56+D58</f>
        <v>880</v>
      </c>
      <c r="E55" s="781">
        <f t="shared" si="11"/>
        <v>0</v>
      </c>
      <c r="F55" s="781">
        <f t="shared" si="11"/>
        <v>500</v>
      </c>
      <c r="G55" s="781">
        <f t="shared" si="11"/>
        <v>380</v>
      </c>
      <c r="H55" s="781">
        <f t="shared" si="11"/>
        <v>880</v>
      </c>
      <c r="I55" s="781">
        <f t="shared" si="11"/>
        <v>75</v>
      </c>
      <c r="J55" s="781">
        <f t="shared" si="11"/>
        <v>38</v>
      </c>
      <c r="K55" s="781">
        <f t="shared" si="11"/>
        <v>767</v>
      </c>
      <c r="L55" s="781">
        <f t="shared" si="11"/>
        <v>295</v>
      </c>
      <c r="M55" s="781">
        <f t="shared" si="11"/>
        <v>18</v>
      </c>
      <c r="N55" s="781">
        <f t="shared" si="11"/>
        <v>0</v>
      </c>
      <c r="O55" s="781">
        <f t="shared" si="11"/>
        <v>454</v>
      </c>
      <c r="P55" s="822"/>
    </row>
    <row r="56" spans="1:16" ht="31.5" customHeight="1">
      <c r="A56" s="816" t="s">
        <v>3</v>
      </c>
      <c r="B56" s="817" t="s">
        <v>346</v>
      </c>
      <c r="C56" s="817"/>
      <c r="D56" s="772">
        <f t="shared" ref="D56:O56" si="12">D57</f>
        <v>500</v>
      </c>
      <c r="E56" s="772">
        <f t="shared" si="12"/>
        <v>0</v>
      </c>
      <c r="F56" s="772">
        <f t="shared" si="12"/>
        <v>500</v>
      </c>
      <c r="G56" s="772">
        <f t="shared" si="12"/>
        <v>0</v>
      </c>
      <c r="H56" s="772">
        <f t="shared" si="12"/>
        <v>500</v>
      </c>
      <c r="I56" s="772">
        <f t="shared" si="12"/>
        <v>75</v>
      </c>
      <c r="J56" s="772">
        <f t="shared" si="12"/>
        <v>0</v>
      </c>
      <c r="K56" s="772">
        <f t="shared" si="12"/>
        <v>425</v>
      </c>
      <c r="L56" s="772">
        <f t="shared" si="12"/>
        <v>0</v>
      </c>
      <c r="M56" s="772">
        <f t="shared" si="12"/>
        <v>0</v>
      </c>
      <c r="N56" s="772">
        <f t="shared" si="12"/>
        <v>0</v>
      </c>
      <c r="O56" s="772">
        <f t="shared" si="12"/>
        <v>425</v>
      </c>
      <c r="P56" s="824"/>
    </row>
    <row r="57" spans="1:16" ht="48.75" customHeight="1">
      <c r="A57" s="816"/>
      <c r="B57" s="817"/>
      <c r="C57" s="817" t="s">
        <v>1761</v>
      </c>
      <c r="D57" s="772">
        <v>500</v>
      </c>
      <c r="E57" s="772"/>
      <c r="F57" s="772">
        <v>500</v>
      </c>
      <c r="G57" s="772"/>
      <c r="H57" s="772">
        <v>500</v>
      </c>
      <c r="I57" s="772">
        <v>75</v>
      </c>
      <c r="J57" s="772"/>
      <c r="K57" s="772">
        <v>425</v>
      </c>
      <c r="L57" s="772"/>
      <c r="M57" s="772"/>
      <c r="N57" s="772"/>
      <c r="O57" s="772">
        <v>425</v>
      </c>
      <c r="P57" s="824"/>
    </row>
    <row r="58" spans="1:16" ht="48.75" customHeight="1">
      <c r="A58" s="816" t="s">
        <v>3</v>
      </c>
      <c r="B58" s="817" t="s">
        <v>584</v>
      </c>
      <c r="C58" s="817"/>
      <c r="D58" s="772">
        <f t="shared" ref="D58:O58" si="13">D59</f>
        <v>380</v>
      </c>
      <c r="E58" s="772">
        <f t="shared" si="13"/>
        <v>0</v>
      </c>
      <c r="F58" s="772">
        <f t="shared" si="13"/>
        <v>0</v>
      </c>
      <c r="G58" s="772">
        <f t="shared" si="13"/>
        <v>380</v>
      </c>
      <c r="H58" s="772">
        <f t="shared" si="13"/>
        <v>380</v>
      </c>
      <c r="I58" s="772">
        <f t="shared" si="13"/>
        <v>0</v>
      </c>
      <c r="J58" s="772">
        <f t="shared" si="13"/>
        <v>38</v>
      </c>
      <c r="K58" s="772">
        <f t="shared" si="13"/>
        <v>342</v>
      </c>
      <c r="L58" s="772">
        <f t="shared" si="13"/>
        <v>295</v>
      </c>
      <c r="M58" s="772">
        <f t="shared" si="13"/>
        <v>18</v>
      </c>
      <c r="N58" s="772">
        <f t="shared" si="13"/>
        <v>0</v>
      </c>
      <c r="O58" s="772">
        <f t="shared" si="13"/>
        <v>29</v>
      </c>
      <c r="P58" s="824"/>
    </row>
    <row r="59" spans="1:16" ht="31.5" customHeight="1">
      <c r="A59" s="816"/>
      <c r="B59" s="817"/>
      <c r="C59" s="817" t="s">
        <v>1760</v>
      </c>
      <c r="D59" s="772">
        <v>380</v>
      </c>
      <c r="E59" s="772"/>
      <c r="F59" s="772"/>
      <c r="G59" s="772">
        <v>380</v>
      </c>
      <c r="H59" s="772">
        <v>380</v>
      </c>
      <c r="I59" s="772"/>
      <c r="J59" s="772">
        <v>38</v>
      </c>
      <c r="K59" s="772">
        <v>342</v>
      </c>
      <c r="L59" s="772">
        <v>295</v>
      </c>
      <c r="M59" s="772">
        <v>18</v>
      </c>
      <c r="N59" s="772"/>
      <c r="O59" s="772">
        <f>K59-L59-M59</f>
        <v>29</v>
      </c>
      <c r="P59" s="824"/>
    </row>
    <row r="60" spans="1:16" ht="31.5" customHeight="1">
      <c r="A60" s="812">
        <v>6</v>
      </c>
      <c r="B60" s="813" t="s">
        <v>328</v>
      </c>
      <c r="C60" s="813"/>
      <c r="D60" s="781">
        <f t="shared" ref="D60:O60" si="14">SUM(D61:D62)</f>
        <v>280</v>
      </c>
      <c r="E60" s="781">
        <f t="shared" si="14"/>
        <v>0</v>
      </c>
      <c r="F60" s="781">
        <f t="shared" si="14"/>
        <v>280</v>
      </c>
      <c r="G60" s="781">
        <f t="shared" si="14"/>
        <v>0</v>
      </c>
      <c r="H60" s="781">
        <f t="shared" si="14"/>
        <v>280</v>
      </c>
      <c r="I60" s="781">
        <f t="shared" si="14"/>
        <v>2</v>
      </c>
      <c r="J60" s="781">
        <f t="shared" si="14"/>
        <v>0</v>
      </c>
      <c r="K60" s="781">
        <f t="shared" si="14"/>
        <v>278</v>
      </c>
      <c r="L60" s="781">
        <f t="shared" si="14"/>
        <v>278</v>
      </c>
      <c r="M60" s="781">
        <f t="shared" si="14"/>
        <v>0</v>
      </c>
      <c r="N60" s="781">
        <f t="shared" si="14"/>
        <v>0</v>
      </c>
      <c r="O60" s="781">
        <f t="shared" si="14"/>
        <v>0</v>
      </c>
      <c r="P60" s="822"/>
    </row>
    <row r="61" spans="1:16" ht="48.75" customHeight="1">
      <c r="A61" s="831" t="s">
        <v>3</v>
      </c>
      <c r="B61" s="817" t="s">
        <v>570</v>
      </c>
      <c r="C61" s="832" t="s">
        <v>1759</v>
      </c>
      <c r="D61" s="818">
        <v>260</v>
      </c>
      <c r="E61" s="772">
        <v>0</v>
      </c>
      <c r="F61" s="818">
        <v>260</v>
      </c>
      <c r="G61" s="772">
        <v>0</v>
      </c>
      <c r="H61" s="818">
        <v>260</v>
      </c>
      <c r="I61" s="818"/>
      <c r="J61" s="772">
        <v>0</v>
      </c>
      <c r="K61" s="818">
        <v>260</v>
      </c>
      <c r="L61" s="818">
        <v>260</v>
      </c>
      <c r="M61" s="772">
        <v>0</v>
      </c>
      <c r="N61" s="772">
        <v>0</v>
      </c>
      <c r="O61" s="772">
        <v>0</v>
      </c>
      <c r="P61" s="819"/>
    </row>
    <row r="62" spans="1:16" ht="48.75" customHeight="1">
      <c r="A62" s="816" t="s">
        <v>3</v>
      </c>
      <c r="B62" s="817" t="s">
        <v>576</v>
      </c>
      <c r="C62" s="832" t="s">
        <v>575</v>
      </c>
      <c r="D62" s="818">
        <v>20</v>
      </c>
      <c r="E62" s="772">
        <v>0</v>
      </c>
      <c r="F62" s="818">
        <v>20</v>
      </c>
      <c r="G62" s="772">
        <v>0</v>
      </c>
      <c r="H62" s="818">
        <v>20</v>
      </c>
      <c r="I62" s="818">
        <v>2</v>
      </c>
      <c r="J62" s="818"/>
      <c r="K62" s="818">
        <v>18</v>
      </c>
      <c r="L62" s="818">
        <v>18</v>
      </c>
      <c r="M62" s="772">
        <v>0</v>
      </c>
      <c r="N62" s="772">
        <v>0</v>
      </c>
      <c r="O62" s="772">
        <v>0</v>
      </c>
      <c r="P62" s="819"/>
    </row>
    <row r="63" spans="1:16" ht="31.5" customHeight="1">
      <c r="A63" s="833">
        <v>7</v>
      </c>
      <c r="B63" s="834" t="s">
        <v>1758</v>
      </c>
      <c r="C63" s="834"/>
      <c r="D63" s="780">
        <f t="shared" ref="D63:O63" si="15">D64</f>
        <v>85</v>
      </c>
      <c r="E63" s="780">
        <f t="shared" si="15"/>
        <v>0</v>
      </c>
      <c r="F63" s="780">
        <f t="shared" si="15"/>
        <v>85</v>
      </c>
      <c r="G63" s="780">
        <f t="shared" si="15"/>
        <v>0</v>
      </c>
      <c r="H63" s="780">
        <f t="shared" si="15"/>
        <v>85</v>
      </c>
      <c r="I63" s="780">
        <f t="shared" si="15"/>
        <v>18</v>
      </c>
      <c r="J63" s="780">
        <f t="shared" si="15"/>
        <v>0</v>
      </c>
      <c r="K63" s="780">
        <f t="shared" si="15"/>
        <v>67</v>
      </c>
      <c r="L63" s="780">
        <f t="shared" si="15"/>
        <v>40</v>
      </c>
      <c r="M63" s="780">
        <f t="shared" si="15"/>
        <v>27</v>
      </c>
      <c r="N63" s="780">
        <f t="shared" si="15"/>
        <v>0</v>
      </c>
      <c r="O63" s="780">
        <f t="shared" si="15"/>
        <v>0</v>
      </c>
      <c r="P63" s="835"/>
    </row>
    <row r="64" spans="1:16" ht="48.75" customHeight="1">
      <c r="A64" s="836"/>
      <c r="B64" s="837" t="s">
        <v>681</v>
      </c>
      <c r="C64" s="838" t="s">
        <v>680</v>
      </c>
      <c r="D64" s="778">
        <v>85</v>
      </c>
      <c r="E64" s="778"/>
      <c r="F64" s="778">
        <v>85</v>
      </c>
      <c r="G64" s="778"/>
      <c r="H64" s="778">
        <v>85</v>
      </c>
      <c r="I64" s="778">
        <v>18</v>
      </c>
      <c r="J64" s="778"/>
      <c r="K64" s="778">
        <v>67</v>
      </c>
      <c r="L64" s="778">
        <v>40</v>
      </c>
      <c r="M64" s="778">
        <v>27</v>
      </c>
      <c r="N64" s="778"/>
      <c r="O64" s="778"/>
      <c r="P64" s="839"/>
    </row>
    <row r="65" spans="1:16" ht="48.75" customHeight="1">
      <c r="A65" s="833">
        <v>8</v>
      </c>
      <c r="B65" s="834" t="s">
        <v>671</v>
      </c>
      <c r="C65" s="834"/>
      <c r="D65" s="780">
        <v>7500</v>
      </c>
      <c r="E65" s="780"/>
      <c r="F65" s="780"/>
      <c r="G65" s="780">
        <v>7500</v>
      </c>
      <c r="H65" s="780">
        <v>7500</v>
      </c>
      <c r="I65" s="780"/>
      <c r="J65" s="780">
        <v>750</v>
      </c>
      <c r="K65" s="780">
        <v>6750</v>
      </c>
      <c r="L65" s="780">
        <v>5738</v>
      </c>
      <c r="M65" s="780">
        <v>405</v>
      </c>
      <c r="N65" s="780">
        <v>191</v>
      </c>
      <c r="O65" s="780">
        <v>416</v>
      </c>
      <c r="P65" s="835"/>
    </row>
    <row r="66" spans="1:16" ht="31.5" customHeight="1">
      <c r="A66" s="836"/>
      <c r="B66" s="838"/>
      <c r="C66" s="838" t="s">
        <v>670</v>
      </c>
      <c r="D66" s="778">
        <v>2000</v>
      </c>
      <c r="E66" s="778"/>
      <c r="F66" s="778"/>
      <c r="G66" s="778">
        <v>2000</v>
      </c>
      <c r="H66" s="778">
        <v>2000</v>
      </c>
      <c r="I66" s="778"/>
      <c r="J66" s="778">
        <v>200</v>
      </c>
      <c r="K66" s="778">
        <v>1800</v>
      </c>
      <c r="L66" s="778"/>
      <c r="M66" s="778"/>
      <c r="N66" s="778"/>
      <c r="O66" s="778"/>
      <c r="P66" s="839"/>
    </row>
    <row r="67" spans="1:16" ht="31.5" customHeight="1">
      <c r="A67" s="836"/>
      <c r="B67" s="838"/>
      <c r="C67" s="838" t="s">
        <v>1757</v>
      </c>
      <c r="D67" s="778">
        <v>960</v>
      </c>
      <c r="E67" s="778"/>
      <c r="F67" s="778"/>
      <c r="G67" s="778">
        <v>960</v>
      </c>
      <c r="H67" s="778">
        <v>960</v>
      </c>
      <c r="I67" s="778"/>
      <c r="J67" s="778">
        <v>96</v>
      </c>
      <c r="K67" s="778">
        <v>864</v>
      </c>
      <c r="L67" s="778"/>
      <c r="M67" s="778"/>
      <c r="N67" s="778"/>
      <c r="O67" s="778"/>
      <c r="P67" s="839"/>
    </row>
    <row r="68" spans="1:16" ht="31.5" customHeight="1">
      <c r="A68" s="836"/>
      <c r="B68" s="838"/>
      <c r="C68" s="838" t="s">
        <v>1756</v>
      </c>
      <c r="D68" s="778">
        <v>560</v>
      </c>
      <c r="E68" s="778"/>
      <c r="F68" s="778"/>
      <c r="G68" s="778">
        <v>560</v>
      </c>
      <c r="H68" s="778">
        <v>560</v>
      </c>
      <c r="I68" s="778"/>
      <c r="J68" s="778">
        <v>56</v>
      </c>
      <c r="K68" s="778">
        <v>504</v>
      </c>
      <c r="L68" s="778"/>
      <c r="M68" s="778"/>
      <c r="N68" s="778"/>
      <c r="O68" s="778"/>
      <c r="P68" s="839"/>
    </row>
    <row r="69" spans="1:16" ht="31.5" customHeight="1">
      <c r="A69" s="836"/>
      <c r="B69" s="838"/>
      <c r="C69" s="838" t="s">
        <v>1755</v>
      </c>
      <c r="D69" s="778">
        <v>3530</v>
      </c>
      <c r="E69" s="778"/>
      <c r="F69" s="778"/>
      <c r="G69" s="778">
        <v>3530</v>
      </c>
      <c r="H69" s="778">
        <v>3530</v>
      </c>
      <c r="I69" s="778"/>
      <c r="J69" s="778">
        <v>353</v>
      </c>
      <c r="K69" s="778">
        <v>3177</v>
      </c>
      <c r="L69" s="778"/>
      <c r="M69" s="778"/>
      <c r="N69" s="778"/>
      <c r="O69" s="778"/>
      <c r="P69" s="839"/>
    </row>
    <row r="70" spans="1:16" ht="48.75" customHeight="1">
      <c r="A70" s="836"/>
      <c r="B70" s="838"/>
      <c r="C70" s="838" t="s">
        <v>1754</v>
      </c>
      <c r="D70" s="778">
        <v>450</v>
      </c>
      <c r="E70" s="778"/>
      <c r="F70" s="778"/>
      <c r="G70" s="778">
        <v>450</v>
      </c>
      <c r="H70" s="778">
        <v>450</v>
      </c>
      <c r="I70" s="778"/>
      <c r="J70" s="778">
        <v>45</v>
      </c>
      <c r="K70" s="778">
        <v>405</v>
      </c>
      <c r="L70" s="778"/>
      <c r="M70" s="778"/>
      <c r="N70" s="778"/>
      <c r="O70" s="778"/>
      <c r="P70" s="839"/>
    </row>
    <row r="71" spans="1:16" ht="78" customHeight="1">
      <c r="A71" s="833">
        <v>9</v>
      </c>
      <c r="B71" s="834" t="s">
        <v>448</v>
      </c>
      <c r="C71" s="834"/>
      <c r="D71" s="780">
        <f t="shared" ref="D71:O71" si="16">SUM(D72:D77)</f>
        <v>512</v>
      </c>
      <c r="E71" s="780">
        <f t="shared" si="16"/>
        <v>0</v>
      </c>
      <c r="F71" s="780">
        <f t="shared" si="16"/>
        <v>162</v>
      </c>
      <c r="G71" s="780">
        <f t="shared" si="16"/>
        <v>350</v>
      </c>
      <c r="H71" s="780">
        <f t="shared" si="16"/>
        <v>512</v>
      </c>
      <c r="I71" s="780">
        <f t="shared" si="16"/>
        <v>31</v>
      </c>
      <c r="J71" s="780">
        <f t="shared" si="16"/>
        <v>7</v>
      </c>
      <c r="K71" s="780">
        <f t="shared" si="16"/>
        <v>474</v>
      </c>
      <c r="L71" s="780">
        <f t="shared" si="16"/>
        <v>284</v>
      </c>
      <c r="M71" s="780">
        <f t="shared" si="16"/>
        <v>190</v>
      </c>
      <c r="N71" s="780">
        <f t="shared" si="16"/>
        <v>0</v>
      </c>
      <c r="O71" s="780">
        <f t="shared" si="16"/>
        <v>0</v>
      </c>
      <c r="P71" s="835"/>
    </row>
    <row r="72" spans="1:16" ht="90.75" customHeight="1">
      <c r="A72" s="836"/>
      <c r="B72" s="838" t="s">
        <v>446</v>
      </c>
      <c r="C72" s="838" t="s">
        <v>564</v>
      </c>
      <c r="D72" s="778">
        <v>30</v>
      </c>
      <c r="E72" s="778"/>
      <c r="F72" s="778">
        <v>30</v>
      </c>
      <c r="G72" s="778"/>
      <c r="H72" s="778">
        <v>30</v>
      </c>
      <c r="I72" s="778">
        <v>3</v>
      </c>
      <c r="J72" s="778"/>
      <c r="K72" s="778">
        <f t="shared" ref="K72:K77" si="17">SUM(L72:O72)</f>
        <v>27</v>
      </c>
      <c r="L72" s="778">
        <v>16</v>
      </c>
      <c r="M72" s="778">
        <v>11</v>
      </c>
      <c r="N72" s="778"/>
      <c r="O72" s="778"/>
      <c r="P72" s="839"/>
    </row>
    <row r="73" spans="1:16" ht="87.75" customHeight="1">
      <c r="A73" s="836"/>
      <c r="B73" s="838" t="s">
        <v>1637</v>
      </c>
      <c r="C73" s="838" t="s">
        <v>1753</v>
      </c>
      <c r="D73" s="778">
        <v>10</v>
      </c>
      <c r="E73" s="778"/>
      <c r="F73" s="778">
        <v>10</v>
      </c>
      <c r="G73" s="778"/>
      <c r="H73" s="778">
        <v>10</v>
      </c>
      <c r="I73" s="778">
        <v>2</v>
      </c>
      <c r="J73" s="778"/>
      <c r="K73" s="778">
        <f t="shared" si="17"/>
        <v>8</v>
      </c>
      <c r="L73" s="778">
        <v>5</v>
      </c>
      <c r="M73" s="778">
        <v>3</v>
      </c>
      <c r="N73" s="778"/>
      <c r="O73" s="778"/>
      <c r="P73" s="839"/>
    </row>
    <row r="74" spans="1:16" ht="58.5" customHeight="1">
      <c r="A74" s="836"/>
      <c r="B74" s="838" t="s">
        <v>441</v>
      </c>
      <c r="C74" s="838" t="s">
        <v>563</v>
      </c>
      <c r="D74" s="778">
        <v>50</v>
      </c>
      <c r="E74" s="778"/>
      <c r="F74" s="778">
        <v>50</v>
      </c>
      <c r="G74" s="778"/>
      <c r="H74" s="778">
        <v>50</v>
      </c>
      <c r="I74" s="778">
        <v>5</v>
      </c>
      <c r="J74" s="778"/>
      <c r="K74" s="778">
        <f t="shared" si="17"/>
        <v>45</v>
      </c>
      <c r="L74" s="778">
        <v>27</v>
      </c>
      <c r="M74" s="778">
        <v>18</v>
      </c>
      <c r="N74" s="778"/>
      <c r="O74" s="778"/>
      <c r="P74" s="839"/>
    </row>
    <row r="75" spans="1:16" ht="58.5" customHeight="1">
      <c r="A75" s="836"/>
      <c r="B75" s="838" t="s">
        <v>1752</v>
      </c>
      <c r="C75" s="838" t="s">
        <v>1751</v>
      </c>
      <c r="D75" s="778">
        <v>12</v>
      </c>
      <c r="E75" s="778"/>
      <c r="F75" s="778">
        <v>12</v>
      </c>
      <c r="G75" s="778"/>
      <c r="H75" s="778">
        <v>12</v>
      </c>
      <c r="I75" s="778">
        <v>3</v>
      </c>
      <c r="J75" s="778"/>
      <c r="K75" s="778">
        <f t="shared" si="17"/>
        <v>9</v>
      </c>
      <c r="L75" s="778">
        <v>5</v>
      </c>
      <c r="M75" s="778">
        <v>4</v>
      </c>
      <c r="N75" s="778"/>
      <c r="O75" s="778"/>
      <c r="P75" s="839"/>
    </row>
    <row r="76" spans="1:16" ht="58.5" customHeight="1">
      <c r="A76" s="836"/>
      <c r="B76" s="838" t="s">
        <v>440</v>
      </c>
      <c r="C76" s="838" t="s">
        <v>1750</v>
      </c>
      <c r="D76" s="778">
        <v>60</v>
      </c>
      <c r="E76" s="778"/>
      <c r="F76" s="778">
        <v>60</v>
      </c>
      <c r="G76" s="778"/>
      <c r="H76" s="778">
        <v>60</v>
      </c>
      <c r="I76" s="778">
        <v>18</v>
      </c>
      <c r="J76" s="778"/>
      <c r="K76" s="778">
        <f t="shared" si="17"/>
        <v>42</v>
      </c>
      <c r="L76" s="778">
        <v>25</v>
      </c>
      <c r="M76" s="778">
        <v>17</v>
      </c>
      <c r="N76" s="778"/>
      <c r="O76" s="778"/>
      <c r="P76" s="839"/>
    </row>
    <row r="77" spans="1:16" ht="48.75" customHeight="1">
      <c r="A77" s="836"/>
      <c r="B77" s="838" t="s">
        <v>439</v>
      </c>
      <c r="C77" s="838" t="s">
        <v>1749</v>
      </c>
      <c r="D77" s="778">
        <v>350</v>
      </c>
      <c r="E77" s="778"/>
      <c r="F77" s="778"/>
      <c r="G77" s="778">
        <v>350</v>
      </c>
      <c r="H77" s="778">
        <v>350</v>
      </c>
      <c r="I77" s="778"/>
      <c r="J77" s="778">
        <v>7</v>
      </c>
      <c r="K77" s="778">
        <f t="shared" si="17"/>
        <v>343</v>
      </c>
      <c r="L77" s="778">
        <v>206</v>
      </c>
      <c r="M77" s="778">
        <v>137</v>
      </c>
      <c r="N77" s="778"/>
      <c r="O77" s="778"/>
      <c r="P77" s="839"/>
    </row>
    <row r="78" spans="1:16" ht="31.5" customHeight="1">
      <c r="A78" s="833">
        <v>10</v>
      </c>
      <c r="B78" s="834" t="s">
        <v>366</v>
      </c>
      <c r="C78" s="834"/>
      <c r="D78" s="780">
        <f t="shared" ref="D78:O78" si="18">D79</f>
        <v>1300</v>
      </c>
      <c r="E78" s="780">
        <f t="shared" si="18"/>
        <v>66</v>
      </c>
      <c r="F78" s="780">
        <f t="shared" si="18"/>
        <v>1234</v>
      </c>
      <c r="G78" s="780">
        <f t="shared" si="18"/>
        <v>0</v>
      </c>
      <c r="H78" s="780">
        <f t="shared" si="18"/>
        <v>1300</v>
      </c>
      <c r="I78" s="780">
        <f t="shared" si="18"/>
        <v>189.4</v>
      </c>
      <c r="J78" s="780">
        <f t="shared" si="18"/>
        <v>0</v>
      </c>
      <c r="K78" s="780">
        <f t="shared" si="18"/>
        <v>1110.5999999999999</v>
      </c>
      <c r="L78" s="780">
        <f t="shared" si="18"/>
        <v>600</v>
      </c>
      <c r="M78" s="780">
        <f t="shared" si="18"/>
        <v>204</v>
      </c>
      <c r="N78" s="780">
        <f t="shared" si="18"/>
        <v>0</v>
      </c>
      <c r="O78" s="780">
        <f t="shared" si="18"/>
        <v>306.60000000000002</v>
      </c>
      <c r="P78" s="779"/>
    </row>
    <row r="79" spans="1:16" ht="31.5" customHeight="1">
      <c r="A79" s="836"/>
      <c r="B79" s="838" t="s">
        <v>570</v>
      </c>
      <c r="C79" s="838"/>
      <c r="D79" s="778">
        <f t="shared" ref="D79:O79" si="19">SUM(D80:D83)</f>
        <v>1300</v>
      </c>
      <c r="E79" s="778">
        <f t="shared" si="19"/>
        <v>66</v>
      </c>
      <c r="F79" s="778">
        <f t="shared" si="19"/>
        <v>1234</v>
      </c>
      <c r="G79" s="778">
        <f t="shared" si="19"/>
        <v>0</v>
      </c>
      <c r="H79" s="778">
        <f t="shared" si="19"/>
        <v>1300</v>
      </c>
      <c r="I79" s="778">
        <f t="shared" si="19"/>
        <v>189.4</v>
      </c>
      <c r="J79" s="778">
        <f t="shared" si="19"/>
        <v>0</v>
      </c>
      <c r="K79" s="778">
        <f t="shared" si="19"/>
        <v>1110.5999999999999</v>
      </c>
      <c r="L79" s="778">
        <f t="shared" si="19"/>
        <v>600</v>
      </c>
      <c r="M79" s="778">
        <f t="shared" si="19"/>
        <v>204</v>
      </c>
      <c r="N79" s="778">
        <f t="shared" si="19"/>
        <v>0</v>
      </c>
      <c r="O79" s="778">
        <f t="shared" si="19"/>
        <v>306.60000000000002</v>
      </c>
      <c r="P79" s="839"/>
    </row>
    <row r="80" spans="1:16" ht="81.75" customHeight="1">
      <c r="A80" s="836"/>
      <c r="B80" s="838"/>
      <c r="C80" s="838" t="s">
        <v>1748</v>
      </c>
      <c r="D80" s="778">
        <v>1234</v>
      </c>
      <c r="E80" s="778">
        <v>0</v>
      </c>
      <c r="F80" s="778">
        <v>1234</v>
      </c>
      <c r="G80" s="778"/>
      <c r="H80" s="778">
        <f>I80+J80+K80</f>
        <v>1234</v>
      </c>
      <c r="I80" s="778">
        <v>123.4</v>
      </c>
      <c r="J80" s="778"/>
      <c r="K80" s="778">
        <v>1110.5999999999999</v>
      </c>
      <c r="L80" s="778">
        <v>600</v>
      </c>
      <c r="M80" s="778">
        <v>204</v>
      </c>
      <c r="N80" s="778">
        <v>0</v>
      </c>
      <c r="O80" s="778">
        <v>306.60000000000002</v>
      </c>
      <c r="P80" s="839"/>
    </row>
    <row r="81" spans="1:16" ht="48.75" customHeight="1">
      <c r="A81" s="836"/>
      <c r="B81" s="838"/>
      <c r="C81" s="838" t="s">
        <v>557</v>
      </c>
      <c r="D81" s="778">
        <v>0.5</v>
      </c>
      <c r="E81" s="778">
        <v>0.5</v>
      </c>
      <c r="F81" s="778"/>
      <c r="G81" s="778"/>
      <c r="H81" s="778">
        <f>I81+J81+K81</f>
        <v>0.5</v>
      </c>
      <c r="I81" s="778">
        <v>0.5</v>
      </c>
      <c r="J81" s="778"/>
      <c r="K81" s="778">
        <v>0</v>
      </c>
      <c r="L81" s="778"/>
      <c r="M81" s="778"/>
      <c r="N81" s="778"/>
      <c r="O81" s="778"/>
      <c r="P81" s="839"/>
    </row>
    <row r="82" spans="1:16" ht="48.75" customHeight="1">
      <c r="A82" s="836"/>
      <c r="B82" s="838"/>
      <c r="C82" s="838" t="s">
        <v>556</v>
      </c>
      <c r="D82" s="778">
        <v>64</v>
      </c>
      <c r="E82" s="778">
        <v>64</v>
      </c>
      <c r="F82" s="778"/>
      <c r="G82" s="778"/>
      <c r="H82" s="778">
        <f>I82+J82+K82</f>
        <v>64</v>
      </c>
      <c r="I82" s="778">
        <v>64</v>
      </c>
      <c r="J82" s="778"/>
      <c r="K82" s="778">
        <v>0</v>
      </c>
      <c r="L82" s="778"/>
      <c r="M82" s="778"/>
      <c r="N82" s="778"/>
      <c r="O82" s="778"/>
      <c r="P82" s="839"/>
    </row>
    <row r="83" spans="1:16" ht="48.75" customHeight="1">
      <c r="A83" s="836"/>
      <c r="B83" s="838"/>
      <c r="C83" s="838" t="s">
        <v>1747</v>
      </c>
      <c r="D83" s="778">
        <v>1.5</v>
      </c>
      <c r="E83" s="778">
        <v>1.5</v>
      </c>
      <c r="F83" s="778"/>
      <c r="G83" s="778"/>
      <c r="H83" s="778">
        <f>I83+J83+K83</f>
        <v>1.5</v>
      </c>
      <c r="I83" s="778">
        <v>1.5</v>
      </c>
      <c r="J83" s="778"/>
      <c r="K83" s="778">
        <v>0</v>
      </c>
      <c r="L83" s="778"/>
      <c r="M83" s="778"/>
      <c r="N83" s="778"/>
      <c r="O83" s="778"/>
      <c r="P83" s="839"/>
    </row>
    <row r="84" spans="1:16" ht="91.5" customHeight="1">
      <c r="A84" s="840">
        <v>11</v>
      </c>
      <c r="B84" s="841" t="s">
        <v>1746</v>
      </c>
      <c r="C84" s="841"/>
      <c r="D84" s="776">
        <f t="shared" ref="D84:O84" si="20">SUM(D85:D87)</f>
        <v>1070.5400000000002</v>
      </c>
      <c r="E84" s="776">
        <f t="shared" si="20"/>
        <v>0</v>
      </c>
      <c r="F84" s="776">
        <f t="shared" si="20"/>
        <v>0</v>
      </c>
      <c r="G84" s="776">
        <f t="shared" si="20"/>
        <v>1070.5400000000002</v>
      </c>
      <c r="H84" s="776">
        <f t="shared" si="20"/>
        <v>1070.5400000000002</v>
      </c>
      <c r="I84" s="776">
        <f t="shared" si="20"/>
        <v>0</v>
      </c>
      <c r="J84" s="776">
        <f t="shared" si="20"/>
        <v>96.1</v>
      </c>
      <c r="K84" s="776">
        <f t="shared" si="20"/>
        <v>974.44</v>
      </c>
      <c r="L84" s="776">
        <f t="shared" si="20"/>
        <v>954.44</v>
      </c>
      <c r="M84" s="776">
        <f t="shared" si="20"/>
        <v>8</v>
      </c>
      <c r="N84" s="776">
        <f t="shared" si="20"/>
        <v>3</v>
      </c>
      <c r="O84" s="776">
        <f t="shared" si="20"/>
        <v>9</v>
      </c>
      <c r="P84" s="777">
        <v>0</v>
      </c>
    </row>
    <row r="85" spans="1:16" ht="31.5" customHeight="1">
      <c r="A85" s="842"/>
      <c r="B85" s="843"/>
      <c r="C85" s="844" t="s">
        <v>546</v>
      </c>
      <c r="D85" s="776">
        <v>950.82</v>
      </c>
      <c r="E85" s="775"/>
      <c r="F85" s="775"/>
      <c r="G85" s="776">
        <v>950.82</v>
      </c>
      <c r="H85" s="776">
        <f>SUM(I85:K85)</f>
        <v>950.82</v>
      </c>
      <c r="I85" s="776"/>
      <c r="J85" s="775">
        <v>96.1</v>
      </c>
      <c r="K85" s="775">
        <f>SUM(L85:O85)</f>
        <v>854.72</v>
      </c>
      <c r="L85" s="775">
        <v>854.72</v>
      </c>
      <c r="M85" s="775">
        <v>0</v>
      </c>
      <c r="N85" s="775">
        <v>0</v>
      </c>
      <c r="O85" s="775">
        <v>0</v>
      </c>
      <c r="P85" s="845"/>
    </row>
    <row r="86" spans="1:16" ht="31.5" customHeight="1">
      <c r="A86" s="842"/>
      <c r="B86" s="843"/>
      <c r="C86" s="846" t="s">
        <v>1745</v>
      </c>
      <c r="D86" s="776">
        <v>80</v>
      </c>
      <c r="E86" s="775"/>
      <c r="F86" s="775"/>
      <c r="G86" s="775">
        <v>80</v>
      </c>
      <c r="H86" s="776">
        <f>SUM(I86:K86)</f>
        <v>80</v>
      </c>
      <c r="I86" s="775"/>
      <c r="J86" s="847"/>
      <c r="K86" s="775">
        <f>SUM(L86:O86)</f>
        <v>80</v>
      </c>
      <c r="L86" s="847">
        <v>60</v>
      </c>
      <c r="M86" s="847">
        <v>8</v>
      </c>
      <c r="N86" s="847">
        <v>3</v>
      </c>
      <c r="O86" s="775">
        <v>9</v>
      </c>
      <c r="P86" s="848"/>
    </row>
    <row r="87" spans="1:16" ht="48.75" customHeight="1">
      <c r="A87" s="842"/>
      <c r="B87" s="843"/>
      <c r="C87" s="846" t="s">
        <v>1744</v>
      </c>
      <c r="D87" s="776">
        <v>39.72</v>
      </c>
      <c r="E87" s="775"/>
      <c r="F87" s="775"/>
      <c r="G87" s="775">
        <v>39.72</v>
      </c>
      <c r="H87" s="776">
        <f>SUM(I87:K87)</f>
        <v>39.72</v>
      </c>
      <c r="I87" s="775"/>
      <c r="J87" s="775"/>
      <c r="K87" s="775">
        <f>SUM(L87:O87)</f>
        <v>39.72</v>
      </c>
      <c r="L87" s="775">
        <v>39.72</v>
      </c>
      <c r="M87" s="775"/>
      <c r="N87" s="775"/>
      <c r="O87" s="775"/>
      <c r="P87" s="848"/>
    </row>
    <row r="88" spans="1:16" ht="48.75" customHeight="1">
      <c r="A88" s="840">
        <v>12</v>
      </c>
      <c r="B88" s="841" t="s">
        <v>311</v>
      </c>
      <c r="C88" s="841"/>
      <c r="D88" s="849">
        <v>4483.6000000000004</v>
      </c>
      <c r="E88" s="849"/>
      <c r="F88" s="849"/>
      <c r="G88" s="849">
        <v>4483.6000000000004</v>
      </c>
      <c r="H88" s="776">
        <v>4483.6000000000004</v>
      </c>
      <c r="I88" s="849">
        <v>0</v>
      </c>
      <c r="J88" s="849">
        <v>9</v>
      </c>
      <c r="K88" s="849">
        <v>4474.6000000000004</v>
      </c>
      <c r="L88" s="849">
        <v>3105.9</v>
      </c>
      <c r="M88" s="849">
        <v>541</v>
      </c>
      <c r="N88" s="849">
        <v>235</v>
      </c>
      <c r="O88" s="849">
        <v>592.70000000000027</v>
      </c>
      <c r="P88" s="850">
        <v>0</v>
      </c>
    </row>
    <row r="89" spans="1:16" ht="48.75" customHeight="1">
      <c r="A89" s="843"/>
      <c r="B89" s="843"/>
      <c r="C89" s="843" t="s">
        <v>547</v>
      </c>
      <c r="D89" s="847">
        <v>4393.6000000000004</v>
      </c>
      <c r="E89" s="847"/>
      <c r="F89" s="847"/>
      <c r="G89" s="775">
        <v>4393.6000000000004</v>
      </c>
      <c r="H89" s="775">
        <v>4393.6000000000004</v>
      </c>
      <c r="I89" s="775"/>
      <c r="J89" s="775"/>
      <c r="K89" s="775">
        <v>4393.6000000000004</v>
      </c>
      <c r="L89" s="775">
        <v>3073.9</v>
      </c>
      <c r="M89" s="775">
        <v>509</v>
      </c>
      <c r="N89" s="775">
        <v>218</v>
      </c>
      <c r="O89" s="775">
        <v>592.70000000000027</v>
      </c>
      <c r="P89" s="774"/>
    </row>
    <row r="90" spans="1:16" ht="31.5" customHeight="1">
      <c r="A90" s="843"/>
      <c r="B90" s="843"/>
      <c r="C90" s="843" t="s">
        <v>1743</v>
      </c>
      <c r="D90" s="847">
        <v>90</v>
      </c>
      <c r="E90" s="847"/>
      <c r="F90" s="847"/>
      <c r="G90" s="775">
        <v>90</v>
      </c>
      <c r="H90" s="775">
        <v>90</v>
      </c>
      <c r="I90" s="775"/>
      <c r="J90" s="775">
        <v>9</v>
      </c>
      <c r="K90" s="775">
        <v>81</v>
      </c>
      <c r="L90" s="775">
        <v>32</v>
      </c>
      <c r="M90" s="775">
        <v>32</v>
      </c>
      <c r="N90" s="775">
        <v>17</v>
      </c>
      <c r="O90" s="775"/>
      <c r="P90" s="774"/>
    </row>
    <row r="91" spans="1:16" ht="48.75" customHeight="1">
      <c r="A91" s="851">
        <v>13</v>
      </c>
      <c r="B91" s="852" t="s">
        <v>1742</v>
      </c>
      <c r="C91" s="852"/>
      <c r="D91" s="853">
        <v>6320</v>
      </c>
      <c r="E91" s="853">
        <v>2920</v>
      </c>
      <c r="F91" s="853">
        <v>3400</v>
      </c>
      <c r="G91" s="853">
        <v>0</v>
      </c>
      <c r="H91" s="853">
        <v>6320</v>
      </c>
      <c r="I91" s="853">
        <v>3695</v>
      </c>
      <c r="J91" s="853">
        <v>0</v>
      </c>
      <c r="K91" s="853">
        <v>2625</v>
      </c>
      <c r="L91" s="853">
        <v>1860</v>
      </c>
      <c r="M91" s="853">
        <v>306</v>
      </c>
      <c r="N91" s="853">
        <v>0</v>
      </c>
      <c r="O91" s="853">
        <v>459</v>
      </c>
      <c r="P91" s="854">
        <v>0</v>
      </c>
    </row>
    <row r="92" spans="1:16" ht="48.75" customHeight="1">
      <c r="A92" s="855"/>
      <c r="B92" s="856"/>
      <c r="C92" s="856" t="s">
        <v>678</v>
      </c>
      <c r="D92" s="857">
        <v>600</v>
      </c>
      <c r="E92" s="857"/>
      <c r="F92" s="857">
        <v>600</v>
      </c>
      <c r="G92" s="857"/>
      <c r="H92" s="857">
        <v>600</v>
      </c>
      <c r="I92" s="857">
        <v>150</v>
      </c>
      <c r="J92" s="857"/>
      <c r="K92" s="773">
        <v>450</v>
      </c>
      <c r="L92" s="857">
        <v>330</v>
      </c>
      <c r="M92" s="857">
        <v>48</v>
      </c>
      <c r="N92" s="853"/>
      <c r="O92" s="857">
        <v>72</v>
      </c>
      <c r="P92" s="858"/>
    </row>
    <row r="93" spans="1:16" ht="48.75" customHeight="1">
      <c r="A93" s="855"/>
      <c r="B93" s="856"/>
      <c r="C93" s="856" t="s">
        <v>677</v>
      </c>
      <c r="D93" s="857">
        <v>2300</v>
      </c>
      <c r="E93" s="857"/>
      <c r="F93" s="857">
        <v>2300</v>
      </c>
      <c r="G93" s="857"/>
      <c r="H93" s="857">
        <v>2300</v>
      </c>
      <c r="I93" s="857">
        <v>575</v>
      </c>
      <c r="J93" s="857"/>
      <c r="K93" s="773">
        <v>1725</v>
      </c>
      <c r="L93" s="857">
        <v>1380</v>
      </c>
      <c r="M93" s="857">
        <v>138</v>
      </c>
      <c r="N93" s="853"/>
      <c r="O93" s="857">
        <v>207</v>
      </c>
      <c r="P93" s="858"/>
    </row>
    <row r="94" spans="1:16" ht="68.25" customHeight="1">
      <c r="A94" s="855"/>
      <c r="B94" s="856"/>
      <c r="C94" s="856" t="s">
        <v>676</v>
      </c>
      <c r="D94" s="857">
        <v>500</v>
      </c>
      <c r="E94" s="857"/>
      <c r="F94" s="857">
        <v>500</v>
      </c>
      <c r="G94" s="857"/>
      <c r="H94" s="857">
        <v>500</v>
      </c>
      <c r="I94" s="857">
        <v>50</v>
      </c>
      <c r="J94" s="857"/>
      <c r="K94" s="773">
        <v>450</v>
      </c>
      <c r="L94" s="857">
        <v>150</v>
      </c>
      <c r="M94" s="857">
        <v>120</v>
      </c>
      <c r="N94" s="853"/>
      <c r="O94" s="857">
        <v>180</v>
      </c>
      <c r="P94" s="858"/>
    </row>
    <row r="95" spans="1:16" ht="48.75" customHeight="1">
      <c r="A95" s="855"/>
      <c r="B95" s="856"/>
      <c r="C95" s="856" t="s">
        <v>675</v>
      </c>
      <c r="D95" s="857">
        <v>2900</v>
      </c>
      <c r="E95" s="857">
        <v>2900</v>
      </c>
      <c r="F95" s="857"/>
      <c r="G95" s="857"/>
      <c r="H95" s="857">
        <v>2900</v>
      </c>
      <c r="I95" s="857">
        <v>2900</v>
      </c>
      <c r="J95" s="857"/>
      <c r="K95" s="773">
        <v>0</v>
      </c>
      <c r="L95" s="857">
        <v>0</v>
      </c>
      <c r="M95" s="773"/>
      <c r="N95" s="853"/>
      <c r="O95" s="857"/>
      <c r="P95" s="858"/>
    </row>
    <row r="96" spans="1:16" ht="48.75" customHeight="1">
      <c r="A96" s="855"/>
      <c r="B96" s="856"/>
      <c r="C96" s="856" t="s">
        <v>674</v>
      </c>
      <c r="D96" s="857">
        <v>20</v>
      </c>
      <c r="E96" s="857">
        <v>20</v>
      </c>
      <c r="F96" s="857"/>
      <c r="G96" s="857"/>
      <c r="H96" s="857">
        <v>20</v>
      </c>
      <c r="I96" s="857">
        <v>20</v>
      </c>
      <c r="J96" s="857"/>
      <c r="K96" s="773">
        <v>0</v>
      </c>
      <c r="L96" s="857">
        <v>0</v>
      </c>
      <c r="M96" s="773"/>
      <c r="N96" s="853"/>
      <c r="O96" s="857"/>
      <c r="P96" s="858"/>
    </row>
    <row r="97" spans="1:16" ht="77.25" customHeight="1">
      <c r="A97" s="851">
        <v>14</v>
      </c>
      <c r="B97" s="852" t="s">
        <v>1741</v>
      </c>
      <c r="C97" s="852"/>
      <c r="D97" s="853">
        <v>50</v>
      </c>
      <c r="E97" s="853">
        <v>0</v>
      </c>
      <c r="F97" s="853">
        <v>50</v>
      </c>
      <c r="G97" s="853">
        <v>0</v>
      </c>
      <c r="H97" s="853">
        <v>50</v>
      </c>
      <c r="I97" s="853">
        <v>5</v>
      </c>
      <c r="J97" s="853">
        <v>0</v>
      </c>
      <c r="K97" s="853">
        <v>45</v>
      </c>
      <c r="L97" s="853">
        <v>45</v>
      </c>
      <c r="M97" s="853">
        <v>0</v>
      </c>
      <c r="N97" s="853">
        <v>0</v>
      </c>
      <c r="O97" s="853">
        <v>0</v>
      </c>
      <c r="P97" s="858">
        <v>0</v>
      </c>
    </row>
    <row r="98" spans="1:16" ht="69.75" customHeight="1">
      <c r="A98" s="851"/>
      <c r="B98" s="852"/>
      <c r="C98" s="859" t="s">
        <v>1740</v>
      </c>
      <c r="D98" s="857">
        <v>50</v>
      </c>
      <c r="E98" s="857"/>
      <c r="F98" s="857">
        <v>50</v>
      </c>
      <c r="G98" s="857"/>
      <c r="H98" s="857">
        <v>50</v>
      </c>
      <c r="I98" s="857">
        <v>5</v>
      </c>
      <c r="J98" s="857"/>
      <c r="K98" s="857">
        <v>45</v>
      </c>
      <c r="L98" s="857">
        <v>45</v>
      </c>
      <c r="M98" s="857"/>
      <c r="N98" s="857"/>
      <c r="O98" s="857"/>
      <c r="P98" s="860"/>
    </row>
    <row r="99" spans="1:16" ht="83.25" customHeight="1">
      <c r="A99" s="851">
        <v>15</v>
      </c>
      <c r="B99" s="852" t="s">
        <v>1739</v>
      </c>
      <c r="C99" s="852"/>
      <c r="D99" s="853">
        <f t="shared" ref="D99:O99" si="21">SUM(D100:D101)</f>
        <v>500</v>
      </c>
      <c r="E99" s="853">
        <f t="shared" si="21"/>
        <v>0</v>
      </c>
      <c r="F99" s="853">
        <f t="shared" si="21"/>
        <v>0</v>
      </c>
      <c r="G99" s="853">
        <f t="shared" si="21"/>
        <v>500</v>
      </c>
      <c r="H99" s="853">
        <f t="shared" si="21"/>
        <v>500</v>
      </c>
      <c r="I99" s="853">
        <f t="shared" si="21"/>
        <v>0</v>
      </c>
      <c r="J99" s="853">
        <f t="shared" si="21"/>
        <v>51</v>
      </c>
      <c r="K99" s="853">
        <f t="shared" si="21"/>
        <v>449</v>
      </c>
      <c r="L99" s="853">
        <f t="shared" si="21"/>
        <v>396</v>
      </c>
      <c r="M99" s="853">
        <f t="shared" si="21"/>
        <v>21</v>
      </c>
      <c r="N99" s="853">
        <f t="shared" si="21"/>
        <v>3</v>
      </c>
      <c r="O99" s="853">
        <f t="shared" si="21"/>
        <v>29</v>
      </c>
      <c r="P99" s="861">
        <v>0</v>
      </c>
    </row>
    <row r="100" spans="1:16" ht="48.75" customHeight="1">
      <c r="A100" s="855"/>
      <c r="B100" s="856"/>
      <c r="C100" s="856" t="s">
        <v>1738</v>
      </c>
      <c r="D100" s="772">
        <v>350</v>
      </c>
      <c r="E100" s="772"/>
      <c r="F100" s="772"/>
      <c r="G100" s="772">
        <v>350</v>
      </c>
      <c r="H100" s="772">
        <v>350</v>
      </c>
      <c r="I100" s="772"/>
      <c r="J100" s="772">
        <v>36</v>
      </c>
      <c r="K100" s="772">
        <v>314</v>
      </c>
      <c r="L100" s="772">
        <v>261</v>
      </c>
      <c r="M100" s="857">
        <v>21</v>
      </c>
      <c r="N100" s="857">
        <v>3</v>
      </c>
      <c r="O100" s="857">
        <v>29</v>
      </c>
      <c r="P100" s="860"/>
    </row>
    <row r="101" spans="1:16" ht="48.75" customHeight="1">
      <c r="A101" s="855"/>
      <c r="B101" s="856"/>
      <c r="C101" s="856" t="s">
        <v>1737</v>
      </c>
      <c r="D101" s="772">
        <v>150</v>
      </c>
      <c r="E101" s="772"/>
      <c r="F101" s="772"/>
      <c r="G101" s="772">
        <v>150</v>
      </c>
      <c r="H101" s="772">
        <v>150</v>
      </c>
      <c r="I101" s="772"/>
      <c r="J101" s="772">
        <v>15</v>
      </c>
      <c r="K101" s="772">
        <v>135</v>
      </c>
      <c r="L101" s="772">
        <v>135</v>
      </c>
      <c r="M101" s="857"/>
      <c r="N101" s="857"/>
      <c r="O101" s="857"/>
      <c r="P101" s="860"/>
    </row>
    <row r="102" spans="1:16" ht="48.75" customHeight="1">
      <c r="A102" s="862">
        <v>16</v>
      </c>
      <c r="B102" s="863" t="s">
        <v>1516</v>
      </c>
      <c r="C102" s="864"/>
      <c r="D102" s="768">
        <f t="shared" ref="D102:I102" si="22">SUM(D103:D107)</f>
        <v>768</v>
      </c>
      <c r="E102" s="768">
        <f t="shared" si="22"/>
        <v>0</v>
      </c>
      <c r="F102" s="768">
        <f t="shared" si="22"/>
        <v>0</v>
      </c>
      <c r="G102" s="768">
        <f t="shared" si="22"/>
        <v>768</v>
      </c>
      <c r="H102" s="768">
        <f t="shared" si="22"/>
        <v>768</v>
      </c>
      <c r="I102" s="768">
        <f t="shared" si="22"/>
        <v>0</v>
      </c>
      <c r="J102" s="768">
        <v>22.260000000000005</v>
      </c>
      <c r="K102" s="768">
        <v>745.74</v>
      </c>
      <c r="L102" s="768">
        <v>291.69999999999993</v>
      </c>
      <c r="M102" s="768">
        <v>22</v>
      </c>
      <c r="N102" s="768">
        <v>7</v>
      </c>
      <c r="O102" s="768">
        <v>425.04000000000008</v>
      </c>
      <c r="P102" s="771"/>
    </row>
    <row r="103" spans="1:16" ht="48.75" customHeight="1">
      <c r="A103" s="865"/>
      <c r="B103" s="865"/>
      <c r="C103" s="866" t="s">
        <v>665</v>
      </c>
      <c r="D103" s="769">
        <v>50</v>
      </c>
      <c r="E103" s="767"/>
      <c r="F103" s="767"/>
      <c r="G103" s="767">
        <v>50</v>
      </c>
      <c r="H103" s="767">
        <f>SUM(I103:K103)</f>
        <v>50</v>
      </c>
      <c r="I103" s="767"/>
      <c r="J103" s="767"/>
      <c r="K103" s="767">
        <v>50</v>
      </c>
      <c r="L103" s="767"/>
      <c r="M103" s="767"/>
      <c r="N103" s="767"/>
      <c r="O103" s="767"/>
      <c r="P103" s="770"/>
    </row>
    <row r="104" spans="1:16" ht="31.5" customHeight="1">
      <c r="A104" s="865"/>
      <c r="B104" s="865"/>
      <c r="C104" s="867" t="s">
        <v>664</v>
      </c>
      <c r="D104" s="769">
        <v>48</v>
      </c>
      <c r="E104" s="767"/>
      <c r="F104" s="767"/>
      <c r="G104" s="767">
        <v>48</v>
      </c>
      <c r="H104" s="767">
        <f>SUM(I104:K104)</f>
        <v>48</v>
      </c>
      <c r="I104" s="767"/>
      <c r="J104" s="767">
        <v>3.3600000000000003</v>
      </c>
      <c r="K104" s="767">
        <v>44.64</v>
      </c>
      <c r="L104" s="767"/>
      <c r="M104" s="767"/>
      <c r="N104" s="767"/>
      <c r="O104" s="767"/>
      <c r="P104" s="868"/>
    </row>
    <row r="105" spans="1:16" ht="31.5" customHeight="1">
      <c r="A105" s="865"/>
      <c r="B105" s="865"/>
      <c r="C105" s="867" t="s">
        <v>1736</v>
      </c>
      <c r="D105" s="769">
        <v>150</v>
      </c>
      <c r="E105" s="767"/>
      <c r="F105" s="767"/>
      <c r="G105" s="767">
        <v>150</v>
      </c>
      <c r="H105" s="767">
        <f>SUM(I105:K105)</f>
        <v>150</v>
      </c>
      <c r="I105" s="767"/>
      <c r="J105" s="767">
        <v>10.500000000000002</v>
      </c>
      <c r="K105" s="767">
        <v>139.5</v>
      </c>
      <c r="L105" s="767"/>
      <c r="M105" s="767"/>
      <c r="N105" s="767"/>
      <c r="O105" s="767"/>
      <c r="P105" s="868"/>
    </row>
    <row r="106" spans="1:16" ht="31.5" customHeight="1">
      <c r="A106" s="865"/>
      <c r="B106" s="865"/>
      <c r="C106" s="867" t="s">
        <v>661</v>
      </c>
      <c r="D106" s="769">
        <v>400</v>
      </c>
      <c r="E106" s="767"/>
      <c r="F106" s="767"/>
      <c r="G106" s="767">
        <v>400</v>
      </c>
      <c r="H106" s="767">
        <f>SUM(I106:K106)</f>
        <v>400</v>
      </c>
      <c r="I106" s="767"/>
      <c r="J106" s="767"/>
      <c r="K106" s="767">
        <v>400</v>
      </c>
      <c r="L106" s="767"/>
      <c r="M106" s="767"/>
      <c r="N106" s="767"/>
      <c r="O106" s="767"/>
      <c r="P106" s="868"/>
    </row>
    <row r="107" spans="1:16" ht="31.5" customHeight="1">
      <c r="A107" s="865"/>
      <c r="B107" s="865"/>
      <c r="C107" s="867" t="s">
        <v>659</v>
      </c>
      <c r="D107" s="769">
        <v>120</v>
      </c>
      <c r="E107" s="767"/>
      <c r="F107" s="767"/>
      <c r="G107" s="767">
        <v>120</v>
      </c>
      <c r="H107" s="767">
        <f>SUM(I107:K107)</f>
        <v>120</v>
      </c>
      <c r="I107" s="767"/>
      <c r="J107" s="767">
        <v>8.4</v>
      </c>
      <c r="K107" s="767">
        <v>111.6</v>
      </c>
      <c r="L107" s="767"/>
      <c r="M107" s="767"/>
      <c r="N107" s="767"/>
      <c r="O107" s="767"/>
      <c r="P107" s="868"/>
    </row>
    <row r="108" spans="1:16" ht="48.75" customHeight="1">
      <c r="A108" s="869">
        <v>17</v>
      </c>
      <c r="B108" s="870" t="s">
        <v>427</v>
      </c>
      <c r="C108" s="869"/>
      <c r="D108" s="768">
        <f t="shared" ref="D108:O108" si="23">D109+D122+D130</f>
        <v>12571</v>
      </c>
      <c r="E108" s="768">
        <f t="shared" si="23"/>
        <v>540</v>
      </c>
      <c r="F108" s="768">
        <f t="shared" si="23"/>
        <v>1731</v>
      </c>
      <c r="G108" s="768">
        <f t="shared" si="23"/>
        <v>10300</v>
      </c>
      <c r="H108" s="768">
        <f t="shared" si="23"/>
        <v>12571</v>
      </c>
      <c r="I108" s="768">
        <f t="shared" si="23"/>
        <v>1259.2</v>
      </c>
      <c r="J108" s="768">
        <f t="shared" si="23"/>
        <v>1030</v>
      </c>
      <c r="K108" s="768">
        <f t="shared" si="23"/>
        <v>10281.799999999999</v>
      </c>
      <c r="L108" s="768">
        <f t="shared" si="23"/>
        <v>9810.9</v>
      </c>
      <c r="M108" s="768">
        <f t="shared" si="23"/>
        <v>189</v>
      </c>
      <c r="N108" s="768">
        <f t="shared" si="23"/>
        <v>44</v>
      </c>
      <c r="O108" s="768">
        <f t="shared" si="23"/>
        <v>237.89999999999998</v>
      </c>
      <c r="P108" s="871"/>
    </row>
    <row r="109" spans="1:16" ht="72.75" customHeight="1">
      <c r="A109" s="869" t="s">
        <v>3</v>
      </c>
      <c r="B109" s="872" t="s">
        <v>657</v>
      </c>
      <c r="C109" s="872"/>
      <c r="D109" s="768">
        <v>761</v>
      </c>
      <c r="E109" s="768">
        <v>40</v>
      </c>
      <c r="F109" s="768">
        <v>721</v>
      </c>
      <c r="G109" s="768">
        <v>0</v>
      </c>
      <c r="H109" s="768">
        <v>761</v>
      </c>
      <c r="I109" s="768">
        <v>449.1</v>
      </c>
      <c r="J109" s="768">
        <v>0</v>
      </c>
      <c r="K109" s="768">
        <v>311.89999999999998</v>
      </c>
      <c r="L109" s="768"/>
      <c r="M109" s="768">
        <v>125</v>
      </c>
      <c r="N109" s="768"/>
      <c r="O109" s="768">
        <v>186.89999999999998</v>
      </c>
      <c r="P109" s="873"/>
    </row>
    <row r="110" spans="1:16" ht="69" customHeight="1">
      <c r="A110" s="865"/>
      <c r="B110" s="867"/>
      <c r="C110" s="874" t="s">
        <v>656</v>
      </c>
      <c r="D110" s="767">
        <v>10</v>
      </c>
      <c r="E110" s="767"/>
      <c r="F110" s="767">
        <v>10</v>
      </c>
      <c r="G110" s="767"/>
      <c r="H110" s="767"/>
      <c r="I110" s="767">
        <v>10</v>
      </c>
      <c r="J110" s="767"/>
      <c r="K110" s="767"/>
      <c r="L110" s="767"/>
      <c r="M110" s="767"/>
      <c r="N110" s="767"/>
      <c r="O110" s="767"/>
      <c r="P110" s="868"/>
    </row>
    <row r="111" spans="1:16" ht="75.75" customHeight="1">
      <c r="A111" s="865"/>
      <c r="B111" s="867"/>
      <c r="C111" s="875" t="s">
        <v>655</v>
      </c>
      <c r="D111" s="767">
        <v>150</v>
      </c>
      <c r="E111" s="767"/>
      <c r="F111" s="767">
        <v>150</v>
      </c>
      <c r="G111" s="767"/>
      <c r="H111" s="767"/>
      <c r="I111" s="767">
        <v>75</v>
      </c>
      <c r="J111" s="767"/>
      <c r="K111" s="767"/>
      <c r="L111" s="767"/>
      <c r="M111" s="767"/>
      <c r="N111" s="767"/>
      <c r="O111" s="767"/>
      <c r="P111" s="868"/>
    </row>
    <row r="112" spans="1:16" ht="105" customHeight="1">
      <c r="A112" s="865"/>
      <c r="B112" s="867"/>
      <c r="C112" s="875" t="s">
        <v>1735</v>
      </c>
      <c r="D112" s="767">
        <v>30</v>
      </c>
      <c r="E112" s="767"/>
      <c r="F112" s="767">
        <v>30</v>
      </c>
      <c r="G112" s="767"/>
      <c r="H112" s="767"/>
      <c r="I112" s="767">
        <v>9</v>
      </c>
      <c r="J112" s="767"/>
      <c r="K112" s="767"/>
      <c r="L112" s="767"/>
      <c r="M112" s="767"/>
      <c r="N112" s="767"/>
      <c r="O112" s="767"/>
      <c r="P112" s="868"/>
    </row>
    <row r="113" spans="1:16" ht="48.75" customHeight="1">
      <c r="A113" s="865"/>
      <c r="B113" s="867"/>
      <c r="C113" s="875" t="s">
        <v>653</v>
      </c>
      <c r="D113" s="767">
        <v>7</v>
      </c>
      <c r="E113" s="767"/>
      <c r="F113" s="767">
        <v>7</v>
      </c>
      <c r="G113" s="767"/>
      <c r="H113" s="767"/>
      <c r="I113" s="767">
        <v>0.70000000000000007</v>
      </c>
      <c r="J113" s="767"/>
      <c r="K113" s="767"/>
      <c r="L113" s="767"/>
      <c r="M113" s="767"/>
      <c r="N113" s="767"/>
      <c r="O113" s="767"/>
      <c r="P113" s="868"/>
    </row>
    <row r="114" spans="1:16" ht="96" customHeight="1">
      <c r="A114" s="865"/>
      <c r="B114" s="867"/>
      <c r="C114" s="875" t="s">
        <v>652</v>
      </c>
      <c r="D114" s="767">
        <v>25</v>
      </c>
      <c r="E114" s="767"/>
      <c r="F114" s="767">
        <v>25</v>
      </c>
      <c r="G114" s="767"/>
      <c r="H114" s="767"/>
      <c r="I114" s="767">
        <v>2.5</v>
      </c>
      <c r="J114" s="767"/>
      <c r="K114" s="767"/>
      <c r="L114" s="767"/>
      <c r="M114" s="767"/>
      <c r="N114" s="767"/>
      <c r="O114" s="767"/>
      <c r="P114" s="868"/>
    </row>
    <row r="115" spans="1:16" ht="68.25" customHeight="1">
      <c r="A115" s="865"/>
      <c r="B115" s="867"/>
      <c r="C115" s="875" t="s">
        <v>1734</v>
      </c>
      <c r="D115" s="767">
        <v>4</v>
      </c>
      <c r="E115" s="767"/>
      <c r="F115" s="767">
        <v>4</v>
      </c>
      <c r="G115" s="767"/>
      <c r="H115" s="767"/>
      <c r="I115" s="767">
        <v>0.4</v>
      </c>
      <c r="J115" s="767"/>
      <c r="K115" s="767"/>
      <c r="L115" s="767"/>
      <c r="M115" s="767"/>
      <c r="N115" s="767"/>
      <c r="O115" s="767"/>
      <c r="P115" s="868"/>
    </row>
    <row r="116" spans="1:16" ht="31.5" customHeight="1">
      <c r="A116" s="865"/>
      <c r="B116" s="867"/>
      <c r="C116" s="867" t="s">
        <v>1733</v>
      </c>
      <c r="D116" s="767">
        <v>5</v>
      </c>
      <c r="E116" s="767"/>
      <c r="F116" s="767">
        <v>5</v>
      </c>
      <c r="G116" s="767"/>
      <c r="H116" s="767"/>
      <c r="I116" s="767">
        <v>0</v>
      </c>
      <c r="J116" s="767"/>
      <c r="K116" s="767"/>
      <c r="L116" s="767"/>
      <c r="M116" s="767"/>
      <c r="N116" s="767"/>
      <c r="O116" s="767"/>
      <c r="P116" s="868"/>
    </row>
    <row r="117" spans="1:16" ht="107.25" customHeight="1">
      <c r="A117" s="865"/>
      <c r="B117" s="867"/>
      <c r="C117" s="867" t="s">
        <v>1732</v>
      </c>
      <c r="D117" s="767">
        <v>350</v>
      </c>
      <c r="E117" s="767"/>
      <c r="F117" s="767">
        <v>350</v>
      </c>
      <c r="G117" s="767"/>
      <c r="H117" s="767"/>
      <c r="I117" s="767">
        <v>262.5</v>
      </c>
      <c r="J117" s="767"/>
      <c r="K117" s="767"/>
      <c r="L117" s="767"/>
      <c r="M117" s="767"/>
      <c r="N117" s="767"/>
      <c r="O117" s="767"/>
      <c r="P117" s="868"/>
    </row>
    <row r="118" spans="1:16" ht="48.75" customHeight="1">
      <c r="A118" s="865"/>
      <c r="B118" s="867"/>
      <c r="C118" s="867" t="s">
        <v>1731</v>
      </c>
      <c r="D118" s="767">
        <v>90</v>
      </c>
      <c r="E118" s="767"/>
      <c r="F118" s="767">
        <v>90</v>
      </c>
      <c r="G118" s="767"/>
      <c r="H118" s="767"/>
      <c r="I118" s="767">
        <v>31.499999999999996</v>
      </c>
      <c r="J118" s="767"/>
      <c r="K118" s="767"/>
      <c r="L118" s="767"/>
      <c r="M118" s="767"/>
      <c r="N118" s="767"/>
      <c r="O118" s="767"/>
      <c r="P118" s="868"/>
    </row>
    <row r="119" spans="1:16" ht="111.75" customHeight="1">
      <c r="A119" s="865"/>
      <c r="B119" s="867"/>
      <c r="C119" s="875" t="s">
        <v>1730</v>
      </c>
      <c r="D119" s="767">
        <v>40</v>
      </c>
      <c r="E119" s="767"/>
      <c r="F119" s="767">
        <v>40</v>
      </c>
      <c r="G119" s="767"/>
      <c r="H119" s="767"/>
      <c r="I119" s="767">
        <v>14</v>
      </c>
      <c r="J119" s="767"/>
      <c r="K119" s="767"/>
      <c r="L119" s="767"/>
      <c r="M119" s="767"/>
      <c r="N119" s="767"/>
      <c r="O119" s="767"/>
      <c r="P119" s="868"/>
    </row>
    <row r="120" spans="1:16" ht="90.75" customHeight="1">
      <c r="A120" s="865"/>
      <c r="B120" s="867"/>
      <c r="C120" s="867" t="s">
        <v>1729</v>
      </c>
      <c r="D120" s="767">
        <v>10</v>
      </c>
      <c r="E120" s="767"/>
      <c r="F120" s="767">
        <v>10</v>
      </c>
      <c r="G120" s="767"/>
      <c r="H120" s="767"/>
      <c r="I120" s="767">
        <v>3.5</v>
      </c>
      <c r="J120" s="767"/>
      <c r="K120" s="767"/>
      <c r="L120" s="767"/>
      <c r="M120" s="767"/>
      <c r="N120" s="767"/>
      <c r="O120" s="767"/>
      <c r="P120" s="868"/>
    </row>
    <row r="121" spans="1:16" ht="48.75" customHeight="1">
      <c r="A121" s="865"/>
      <c r="B121" s="867"/>
      <c r="C121" s="867" t="s">
        <v>1728</v>
      </c>
      <c r="D121" s="767">
        <v>40</v>
      </c>
      <c r="E121" s="767">
        <v>40</v>
      </c>
      <c r="F121" s="767"/>
      <c r="G121" s="767"/>
      <c r="H121" s="767"/>
      <c r="I121" s="767">
        <v>40</v>
      </c>
      <c r="J121" s="767"/>
      <c r="K121" s="767"/>
      <c r="L121" s="767"/>
      <c r="M121" s="767"/>
      <c r="N121" s="767"/>
      <c r="O121" s="767"/>
      <c r="P121" s="868"/>
    </row>
    <row r="122" spans="1:16" ht="48.75" customHeight="1">
      <c r="A122" s="869" t="s">
        <v>3</v>
      </c>
      <c r="B122" s="872" t="s">
        <v>821</v>
      </c>
      <c r="C122" s="872"/>
      <c r="D122" s="768">
        <v>7810</v>
      </c>
      <c r="E122" s="768">
        <v>500</v>
      </c>
      <c r="F122" s="768">
        <v>1010</v>
      </c>
      <c r="G122" s="768">
        <v>6300</v>
      </c>
      <c r="H122" s="768">
        <v>7810</v>
      </c>
      <c r="I122" s="768">
        <v>810.1</v>
      </c>
      <c r="J122" s="768">
        <v>630</v>
      </c>
      <c r="K122" s="768">
        <v>6369.9</v>
      </c>
      <c r="L122" s="768">
        <v>6334.9</v>
      </c>
      <c r="M122" s="768">
        <v>14</v>
      </c>
      <c r="N122" s="768">
        <v>7</v>
      </c>
      <c r="O122" s="768">
        <v>14</v>
      </c>
      <c r="P122" s="871"/>
    </row>
    <row r="123" spans="1:16" ht="31.5" customHeight="1">
      <c r="A123" s="865"/>
      <c r="B123" s="867"/>
      <c r="C123" s="872" t="s">
        <v>642</v>
      </c>
      <c r="D123" s="768">
        <v>1010</v>
      </c>
      <c r="E123" s="768">
        <v>0</v>
      </c>
      <c r="F123" s="768">
        <v>1010</v>
      </c>
      <c r="G123" s="768">
        <v>0</v>
      </c>
      <c r="H123" s="768">
        <v>1010</v>
      </c>
      <c r="I123" s="768">
        <v>310.10000000000002</v>
      </c>
      <c r="J123" s="768">
        <v>0</v>
      </c>
      <c r="K123" s="768">
        <v>699.9</v>
      </c>
      <c r="L123" s="768"/>
      <c r="M123" s="768"/>
      <c r="N123" s="768"/>
      <c r="O123" s="768"/>
      <c r="P123" s="871"/>
    </row>
    <row r="124" spans="1:16" ht="64.5" customHeight="1">
      <c r="A124" s="865"/>
      <c r="B124" s="867"/>
      <c r="C124" s="876" t="s">
        <v>641</v>
      </c>
      <c r="D124" s="767">
        <v>450</v>
      </c>
      <c r="E124" s="767"/>
      <c r="F124" s="767">
        <v>450</v>
      </c>
      <c r="G124" s="767"/>
      <c r="H124" s="767"/>
      <c r="I124" s="767">
        <v>225</v>
      </c>
      <c r="J124" s="767"/>
      <c r="K124" s="767"/>
      <c r="L124" s="767"/>
      <c r="M124" s="767"/>
      <c r="N124" s="767"/>
      <c r="O124" s="767"/>
      <c r="P124" s="871"/>
    </row>
    <row r="125" spans="1:16" ht="48.75" customHeight="1">
      <c r="A125" s="865"/>
      <c r="B125" s="867"/>
      <c r="C125" s="876" t="s">
        <v>639</v>
      </c>
      <c r="D125" s="767">
        <v>6</v>
      </c>
      <c r="E125" s="767"/>
      <c r="F125" s="767">
        <v>6</v>
      </c>
      <c r="G125" s="767"/>
      <c r="H125" s="767"/>
      <c r="I125" s="767">
        <v>5.4</v>
      </c>
      <c r="J125" s="767"/>
      <c r="K125" s="767"/>
      <c r="L125" s="767"/>
      <c r="M125" s="767"/>
      <c r="N125" s="767"/>
      <c r="O125" s="767"/>
      <c r="P125" s="871"/>
    </row>
    <row r="126" spans="1:16" ht="48.75" customHeight="1">
      <c r="A126" s="865"/>
      <c r="B126" s="867"/>
      <c r="C126" s="876" t="s">
        <v>637</v>
      </c>
      <c r="D126" s="767">
        <v>473</v>
      </c>
      <c r="E126" s="767"/>
      <c r="F126" s="767">
        <v>473</v>
      </c>
      <c r="G126" s="767"/>
      <c r="H126" s="767"/>
      <c r="I126" s="767">
        <v>47.3</v>
      </c>
      <c r="J126" s="767"/>
      <c r="K126" s="767"/>
      <c r="L126" s="767"/>
      <c r="M126" s="767"/>
      <c r="N126" s="767"/>
      <c r="O126" s="767"/>
      <c r="P126" s="871"/>
    </row>
    <row r="127" spans="1:16" ht="48.75" customHeight="1">
      <c r="A127" s="865"/>
      <c r="B127" s="867"/>
      <c r="C127" s="877" t="s">
        <v>635</v>
      </c>
      <c r="D127" s="767">
        <v>81</v>
      </c>
      <c r="E127" s="767"/>
      <c r="F127" s="767">
        <v>81</v>
      </c>
      <c r="G127" s="767"/>
      <c r="H127" s="767"/>
      <c r="I127" s="767">
        <v>32.4</v>
      </c>
      <c r="J127" s="767"/>
      <c r="K127" s="767"/>
      <c r="L127" s="767"/>
      <c r="M127" s="767"/>
      <c r="N127" s="767"/>
      <c r="O127" s="767"/>
      <c r="P127" s="860"/>
    </row>
    <row r="128" spans="1:16" ht="48.75" customHeight="1">
      <c r="A128" s="865"/>
      <c r="B128" s="867"/>
      <c r="C128" s="878" t="s">
        <v>633</v>
      </c>
      <c r="D128" s="768">
        <v>500</v>
      </c>
      <c r="E128" s="768">
        <v>500</v>
      </c>
      <c r="F128" s="768"/>
      <c r="G128" s="768"/>
      <c r="H128" s="768">
        <v>500</v>
      </c>
      <c r="I128" s="768">
        <v>500</v>
      </c>
      <c r="J128" s="768"/>
      <c r="K128" s="768"/>
      <c r="L128" s="768"/>
      <c r="M128" s="768"/>
      <c r="N128" s="768"/>
      <c r="O128" s="768"/>
      <c r="P128" s="860"/>
    </row>
    <row r="129" spans="1:16" ht="77.25" customHeight="1">
      <c r="A129" s="865"/>
      <c r="B129" s="872"/>
      <c r="C129" s="872" t="s">
        <v>631</v>
      </c>
      <c r="D129" s="768">
        <v>6300</v>
      </c>
      <c r="E129" s="768"/>
      <c r="F129" s="768"/>
      <c r="G129" s="768">
        <v>6300</v>
      </c>
      <c r="H129" s="768">
        <v>6300</v>
      </c>
      <c r="I129" s="768"/>
      <c r="J129" s="768">
        <v>630</v>
      </c>
      <c r="K129" s="768">
        <v>5670</v>
      </c>
      <c r="L129" s="768"/>
      <c r="M129" s="768"/>
      <c r="N129" s="768"/>
      <c r="O129" s="768"/>
      <c r="P129" s="860"/>
    </row>
    <row r="130" spans="1:16" ht="68.25" customHeight="1">
      <c r="A130" s="869" t="s">
        <v>3</v>
      </c>
      <c r="B130" s="872" t="s">
        <v>424</v>
      </c>
      <c r="C130" s="872"/>
      <c r="D130" s="768">
        <v>4000</v>
      </c>
      <c r="E130" s="768">
        <v>0</v>
      </c>
      <c r="F130" s="768">
        <v>0</v>
      </c>
      <c r="G130" s="768">
        <v>4000</v>
      </c>
      <c r="H130" s="768">
        <v>4000</v>
      </c>
      <c r="I130" s="768">
        <v>0</v>
      </c>
      <c r="J130" s="768">
        <v>400</v>
      </c>
      <c r="K130" s="768">
        <v>3600</v>
      </c>
      <c r="L130" s="768">
        <v>3476</v>
      </c>
      <c r="M130" s="768">
        <v>50</v>
      </c>
      <c r="N130" s="768">
        <v>37</v>
      </c>
      <c r="O130" s="768">
        <v>37</v>
      </c>
      <c r="P130" s="860"/>
    </row>
    <row r="131" spans="1:16" ht="48.75" customHeight="1">
      <c r="A131" s="865"/>
      <c r="B131" s="867"/>
      <c r="C131" s="867" t="s">
        <v>630</v>
      </c>
      <c r="D131" s="767">
        <v>2500</v>
      </c>
      <c r="E131" s="767"/>
      <c r="F131" s="767"/>
      <c r="G131" s="767">
        <v>2500</v>
      </c>
      <c r="H131" s="767"/>
      <c r="I131" s="767"/>
      <c r="J131" s="767">
        <v>250</v>
      </c>
      <c r="K131" s="767"/>
      <c r="L131" s="767"/>
      <c r="M131" s="768"/>
      <c r="N131" s="767"/>
      <c r="O131" s="767"/>
      <c r="P131" s="860"/>
    </row>
    <row r="132" spans="1:16" ht="167.25" customHeight="1">
      <c r="A132" s="865"/>
      <c r="B132" s="867"/>
      <c r="C132" s="867" t="s">
        <v>629</v>
      </c>
      <c r="D132" s="767">
        <v>1500</v>
      </c>
      <c r="E132" s="767"/>
      <c r="F132" s="767"/>
      <c r="G132" s="767">
        <v>1500</v>
      </c>
      <c r="H132" s="767"/>
      <c r="I132" s="767"/>
      <c r="J132" s="767">
        <v>150</v>
      </c>
      <c r="K132" s="767"/>
      <c r="L132" s="767"/>
      <c r="M132" s="768"/>
      <c r="N132" s="767"/>
      <c r="O132" s="767"/>
      <c r="P132" s="860"/>
    </row>
    <row r="133" spans="1:16" ht="48.75" customHeight="1">
      <c r="A133" s="812">
        <v>18</v>
      </c>
      <c r="B133" s="813" t="s">
        <v>410</v>
      </c>
      <c r="C133" s="812"/>
      <c r="D133" s="763">
        <f t="shared" ref="D133:O133" si="24">SUM(D134:D139)</f>
        <v>26274.952999999998</v>
      </c>
      <c r="E133" s="763">
        <f t="shared" si="24"/>
        <v>0</v>
      </c>
      <c r="F133" s="763">
        <f t="shared" si="24"/>
        <v>60</v>
      </c>
      <c r="G133" s="763">
        <f t="shared" si="24"/>
        <v>26214.952999999998</v>
      </c>
      <c r="H133" s="763">
        <f t="shared" si="24"/>
        <v>26274.952999999998</v>
      </c>
      <c r="I133" s="763">
        <f t="shared" si="24"/>
        <v>0</v>
      </c>
      <c r="J133" s="763">
        <f t="shared" si="24"/>
        <v>362.05599999999993</v>
      </c>
      <c r="K133" s="763">
        <f t="shared" si="24"/>
        <v>25912.896999999997</v>
      </c>
      <c r="L133" s="763">
        <f t="shared" si="24"/>
        <v>2495.7219999999998</v>
      </c>
      <c r="M133" s="763">
        <f t="shared" si="24"/>
        <v>9370</v>
      </c>
      <c r="N133" s="763">
        <f t="shared" si="24"/>
        <v>422</v>
      </c>
      <c r="O133" s="763">
        <f t="shared" si="24"/>
        <v>13625.174999999999</v>
      </c>
      <c r="P133" s="822"/>
    </row>
    <row r="134" spans="1:16" ht="31.5" customHeight="1">
      <c r="A134" s="879"/>
      <c r="B134" s="879"/>
      <c r="C134" s="880" t="s">
        <v>589</v>
      </c>
      <c r="D134" s="766">
        <v>20998.352999999999</v>
      </c>
      <c r="E134" s="766">
        <v>0</v>
      </c>
      <c r="F134" s="766">
        <v>0</v>
      </c>
      <c r="G134" s="766">
        <v>20998.352999999999</v>
      </c>
      <c r="H134" s="766">
        <v>20998.352999999999</v>
      </c>
      <c r="I134" s="766">
        <v>0</v>
      </c>
      <c r="J134" s="766">
        <v>0</v>
      </c>
      <c r="K134" s="766">
        <v>20998.352999999999</v>
      </c>
      <c r="L134" s="766">
        <v>0</v>
      </c>
      <c r="M134" s="766">
        <v>8402</v>
      </c>
      <c r="N134" s="766">
        <v>379</v>
      </c>
      <c r="O134" s="766">
        <v>12217.352999999999</v>
      </c>
      <c r="P134" s="881"/>
    </row>
    <row r="135" spans="1:16" ht="31.5" customHeight="1">
      <c r="A135" s="879"/>
      <c r="B135" s="879"/>
      <c r="C135" s="880" t="s">
        <v>1715</v>
      </c>
      <c r="D135" s="766">
        <v>2686.6</v>
      </c>
      <c r="E135" s="766">
        <v>0</v>
      </c>
      <c r="F135" s="766">
        <v>0</v>
      </c>
      <c r="G135" s="766">
        <v>2686.6</v>
      </c>
      <c r="H135" s="766">
        <v>2686.6</v>
      </c>
      <c r="I135" s="766">
        <v>0</v>
      </c>
      <c r="J135" s="766">
        <v>267.05599999999993</v>
      </c>
      <c r="K135" s="766">
        <v>2419.5439999999999</v>
      </c>
      <c r="L135" s="766">
        <v>831.02199999999993</v>
      </c>
      <c r="M135" s="766">
        <v>635</v>
      </c>
      <c r="N135" s="766">
        <v>16</v>
      </c>
      <c r="O135" s="766">
        <v>937.52199999999993</v>
      </c>
      <c r="P135" s="881"/>
    </row>
    <row r="136" spans="1:16" ht="31.5" customHeight="1">
      <c r="A136" s="879"/>
      <c r="B136" s="879"/>
      <c r="C136" s="880" t="s">
        <v>1709</v>
      </c>
      <c r="D136" s="766">
        <v>1460</v>
      </c>
      <c r="E136" s="766">
        <v>0</v>
      </c>
      <c r="F136" s="766">
        <v>0</v>
      </c>
      <c r="G136" s="766">
        <v>1460</v>
      </c>
      <c r="H136" s="766">
        <v>1460</v>
      </c>
      <c r="I136" s="766">
        <v>0</v>
      </c>
      <c r="J136" s="766">
        <v>43</v>
      </c>
      <c r="K136" s="766">
        <v>1417</v>
      </c>
      <c r="L136" s="766">
        <v>842.7</v>
      </c>
      <c r="M136" s="766">
        <v>230</v>
      </c>
      <c r="N136" s="766">
        <v>12</v>
      </c>
      <c r="O136" s="766">
        <v>332.3</v>
      </c>
      <c r="P136" s="881"/>
    </row>
    <row r="137" spans="1:16" ht="31.5" customHeight="1">
      <c r="A137" s="882"/>
      <c r="B137" s="882"/>
      <c r="C137" s="880" t="s">
        <v>538</v>
      </c>
      <c r="D137" s="766">
        <v>820</v>
      </c>
      <c r="E137" s="766">
        <v>0</v>
      </c>
      <c r="F137" s="766">
        <v>0</v>
      </c>
      <c r="G137" s="766">
        <v>820</v>
      </c>
      <c r="H137" s="766">
        <v>820</v>
      </c>
      <c r="I137" s="766">
        <v>0</v>
      </c>
      <c r="J137" s="766">
        <v>52</v>
      </c>
      <c r="K137" s="766">
        <v>768</v>
      </c>
      <c r="L137" s="766">
        <v>512</v>
      </c>
      <c r="M137" s="766">
        <v>103</v>
      </c>
      <c r="N137" s="766">
        <v>15</v>
      </c>
      <c r="O137" s="766">
        <v>138</v>
      </c>
      <c r="P137" s="883"/>
    </row>
    <row r="138" spans="1:16" ht="31.5" customHeight="1">
      <c r="A138" s="882"/>
      <c r="B138" s="882"/>
      <c r="C138" s="880" t="s">
        <v>1708</v>
      </c>
      <c r="D138" s="766">
        <v>250</v>
      </c>
      <c r="E138" s="766">
        <v>0</v>
      </c>
      <c r="F138" s="766">
        <v>0</v>
      </c>
      <c r="G138" s="766">
        <v>250</v>
      </c>
      <c r="H138" s="766">
        <v>250</v>
      </c>
      <c r="I138" s="766">
        <v>0</v>
      </c>
      <c r="J138" s="766">
        <v>0</v>
      </c>
      <c r="K138" s="766">
        <v>250</v>
      </c>
      <c r="L138" s="766">
        <v>250</v>
      </c>
      <c r="M138" s="766">
        <v>0</v>
      </c>
      <c r="N138" s="766">
        <v>0</v>
      </c>
      <c r="O138" s="766">
        <v>0</v>
      </c>
      <c r="P138" s="881"/>
    </row>
    <row r="139" spans="1:16" ht="31.5" customHeight="1">
      <c r="A139" s="882"/>
      <c r="B139" s="882"/>
      <c r="C139" s="880" t="s">
        <v>1706</v>
      </c>
      <c r="D139" s="766">
        <v>60</v>
      </c>
      <c r="E139" s="766">
        <v>0</v>
      </c>
      <c r="F139" s="766">
        <v>60</v>
      </c>
      <c r="G139" s="766"/>
      <c r="H139" s="766">
        <v>60</v>
      </c>
      <c r="I139" s="766">
        <v>0</v>
      </c>
      <c r="J139" s="766">
        <v>0</v>
      </c>
      <c r="K139" s="766">
        <v>60</v>
      </c>
      <c r="L139" s="766">
        <v>60</v>
      </c>
      <c r="M139" s="766">
        <v>0</v>
      </c>
      <c r="N139" s="766">
        <v>0</v>
      </c>
      <c r="O139" s="766">
        <v>0</v>
      </c>
      <c r="P139" s="766">
        <v>0</v>
      </c>
    </row>
    <row r="140" spans="1:16" ht="48.75" customHeight="1">
      <c r="A140" s="812" t="s">
        <v>1727</v>
      </c>
      <c r="B140" s="884" t="s">
        <v>1726</v>
      </c>
      <c r="C140" s="813"/>
      <c r="D140" s="763">
        <f t="shared" ref="D140:P140" si="25">D141+D223+D232+D238</f>
        <v>26274.953000000001</v>
      </c>
      <c r="E140" s="763">
        <f t="shared" si="25"/>
        <v>0</v>
      </c>
      <c r="F140" s="763">
        <f t="shared" si="25"/>
        <v>60</v>
      </c>
      <c r="G140" s="763">
        <f t="shared" si="25"/>
        <v>26214.953000000001</v>
      </c>
      <c r="H140" s="763">
        <f t="shared" si="25"/>
        <v>26274.953000000001</v>
      </c>
      <c r="I140" s="763">
        <f t="shared" si="25"/>
        <v>0</v>
      </c>
      <c r="J140" s="763">
        <f t="shared" si="25"/>
        <v>362.05599999999993</v>
      </c>
      <c r="K140" s="763">
        <f t="shared" si="25"/>
        <v>25912.897000000001</v>
      </c>
      <c r="L140" s="763">
        <f t="shared" si="25"/>
        <v>2495.7219999999998</v>
      </c>
      <c r="M140" s="763">
        <f t="shared" si="25"/>
        <v>9370</v>
      </c>
      <c r="N140" s="763">
        <f t="shared" si="25"/>
        <v>422</v>
      </c>
      <c r="O140" s="763">
        <f t="shared" si="25"/>
        <v>13625.175000000001</v>
      </c>
      <c r="P140" s="763">
        <f t="shared" si="25"/>
        <v>0</v>
      </c>
    </row>
    <row r="141" spans="1:16" ht="30.75" customHeight="1">
      <c r="A141" s="812" t="s">
        <v>368</v>
      </c>
      <c r="B141" s="884" t="s">
        <v>1725</v>
      </c>
      <c r="C141" s="813"/>
      <c r="D141" s="763">
        <v>20015.782999999999</v>
      </c>
      <c r="E141" s="763">
        <v>0</v>
      </c>
      <c r="F141" s="763">
        <v>0</v>
      </c>
      <c r="G141" s="763">
        <v>20015.782999999999</v>
      </c>
      <c r="H141" s="763">
        <v>20015.782999999999</v>
      </c>
      <c r="I141" s="763">
        <v>0</v>
      </c>
      <c r="J141" s="763">
        <v>279.27599999999995</v>
      </c>
      <c r="K141" s="763">
        <v>19736.507000000001</v>
      </c>
      <c r="L141" s="763">
        <v>869.24199999999996</v>
      </c>
      <c r="M141" s="763">
        <v>7550</v>
      </c>
      <c r="N141" s="763">
        <v>234</v>
      </c>
      <c r="O141" s="763">
        <v>11083.265000000001</v>
      </c>
      <c r="P141" s="765"/>
    </row>
    <row r="142" spans="1:16" ht="48.75" customHeight="1">
      <c r="A142" s="812">
        <v>1</v>
      </c>
      <c r="B142" s="813" t="s">
        <v>719</v>
      </c>
      <c r="C142" s="813"/>
      <c r="D142" s="763">
        <v>1706.59</v>
      </c>
      <c r="E142" s="763">
        <v>0</v>
      </c>
      <c r="F142" s="763">
        <v>0</v>
      </c>
      <c r="G142" s="763">
        <v>1706.59</v>
      </c>
      <c r="H142" s="763">
        <v>1706.59</v>
      </c>
      <c r="I142" s="763">
        <v>0</v>
      </c>
      <c r="J142" s="763">
        <v>10</v>
      </c>
      <c r="K142" s="763">
        <v>1696.59</v>
      </c>
      <c r="L142" s="763">
        <v>45</v>
      </c>
      <c r="M142" s="763">
        <v>661</v>
      </c>
      <c r="N142" s="763">
        <v>0</v>
      </c>
      <c r="O142" s="763">
        <v>990.58999999999992</v>
      </c>
      <c r="P142" s="814"/>
    </row>
    <row r="143" spans="1:16" ht="31.5" customHeight="1">
      <c r="A143" s="816"/>
      <c r="B143" s="817"/>
      <c r="C143" s="817" t="s">
        <v>589</v>
      </c>
      <c r="D143" s="764">
        <v>1606.59</v>
      </c>
      <c r="E143" s="764">
        <v>0</v>
      </c>
      <c r="F143" s="764">
        <v>0</v>
      </c>
      <c r="G143" s="764">
        <v>1606.59</v>
      </c>
      <c r="H143" s="764">
        <v>1606.59</v>
      </c>
      <c r="I143" s="764"/>
      <c r="J143" s="764"/>
      <c r="K143" s="764">
        <v>1606.59</v>
      </c>
      <c r="L143" s="764"/>
      <c r="M143" s="764">
        <v>643</v>
      </c>
      <c r="N143" s="764"/>
      <c r="O143" s="764">
        <v>963.58999999999992</v>
      </c>
      <c r="P143" s="818"/>
    </row>
    <row r="144" spans="1:16" ht="31.5" customHeight="1">
      <c r="A144" s="816"/>
      <c r="B144" s="817"/>
      <c r="C144" s="817" t="s">
        <v>1715</v>
      </c>
      <c r="D144" s="764">
        <v>100</v>
      </c>
      <c r="E144" s="764">
        <v>0</v>
      </c>
      <c r="F144" s="764">
        <v>0</v>
      </c>
      <c r="G144" s="764">
        <v>100</v>
      </c>
      <c r="H144" s="764">
        <v>100</v>
      </c>
      <c r="I144" s="764"/>
      <c r="J144" s="764">
        <v>10</v>
      </c>
      <c r="K144" s="764">
        <v>90</v>
      </c>
      <c r="L144" s="764">
        <v>45</v>
      </c>
      <c r="M144" s="764">
        <v>18</v>
      </c>
      <c r="N144" s="764"/>
      <c r="O144" s="764">
        <v>27</v>
      </c>
      <c r="P144" s="818"/>
    </row>
    <row r="145" spans="1:16" ht="48.75" customHeight="1">
      <c r="A145" s="812">
        <v>2</v>
      </c>
      <c r="B145" s="813" t="s">
        <v>718</v>
      </c>
      <c r="C145" s="813"/>
      <c r="D145" s="763">
        <v>490</v>
      </c>
      <c r="E145" s="763">
        <v>0</v>
      </c>
      <c r="F145" s="763">
        <v>0</v>
      </c>
      <c r="G145" s="763">
        <v>490</v>
      </c>
      <c r="H145" s="763">
        <v>490</v>
      </c>
      <c r="I145" s="763">
        <v>0</v>
      </c>
      <c r="J145" s="763">
        <v>3.1</v>
      </c>
      <c r="K145" s="763">
        <v>486.9</v>
      </c>
      <c r="L145" s="763">
        <v>27</v>
      </c>
      <c r="M145" s="763">
        <v>184</v>
      </c>
      <c r="N145" s="763">
        <v>0</v>
      </c>
      <c r="O145" s="763">
        <v>275.89999999999998</v>
      </c>
      <c r="P145" s="814"/>
    </row>
    <row r="146" spans="1:16" ht="31.5" customHeight="1">
      <c r="A146" s="816"/>
      <c r="B146" s="817"/>
      <c r="C146" s="885" t="s">
        <v>589</v>
      </c>
      <c r="D146" s="764">
        <v>459</v>
      </c>
      <c r="E146" s="764"/>
      <c r="F146" s="764"/>
      <c r="G146" s="764">
        <v>459</v>
      </c>
      <c r="H146" s="764">
        <v>459</v>
      </c>
      <c r="I146" s="764"/>
      <c r="J146" s="764">
        <v>0</v>
      </c>
      <c r="K146" s="764">
        <v>459</v>
      </c>
      <c r="L146" s="764"/>
      <c r="M146" s="764">
        <v>184</v>
      </c>
      <c r="N146" s="764"/>
      <c r="O146" s="764">
        <v>275</v>
      </c>
      <c r="P146" s="886"/>
    </row>
    <row r="147" spans="1:16" ht="31.5" customHeight="1">
      <c r="A147" s="816"/>
      <c r="B147" s="817"/>
      <c r="C147" s="885" t="s">
        <v>1715</v>
      </c>
      <c r="D147" s="764">
        <v>31</v>
      </c>
      <c r="E147" s="764"/>
      <c r="F147" s="764"/>
      <c r="G147" s="764">
        <v>31</v>
      </c>
      <c r="H147" s="764">
        <v>31</v>
      </c>
      <c r="I147" s="764"/>
      <c r="J147" s="764">
        <v>3.1</v>
      </c>
      <c r="K147" s="764">
        <v>27.9</v>
      </c>
      <c r="L147" s="764">
        <v>27</v>
      </c>
      <c r="M147" s="764">
        <v>0</v>
      </c>
      <c r="N147" s="764"/>
      <c r="O147" s="764">
        <v>0.89999999999999858</v>
      </c>
      <c r="P147" s="886"/>
    </row>
    <row r="148" spans="1:16" ht="48.75" customHeight="1">
      <c r="A148" s="812">
        <v>3</v>
      </c>
      <c r="B148" s="813" t="s">
        <v>717</v>
      </c>
      <c r="C148" s="813"/>
      <c r="D148" s="763">
        <v>440</v>
      </c>
      <c r="E148" s="764"/>
      <c r="F148" s="764"/>
      <c r="G148" s="763">
        <v>440</v>
      </c>
      <c r="H148" s="763">
        <v>440</v>
      </c>
      <c r="I148" s="763"/>
      <c r="J148" s="763">
        <v>6</v>
      </c>
      <c r="K148" s="763">
        <v>434</v>
      </c>
      <c r="L148" s="763">
        <v>50</v>
      </c>
      <c r="M148" s="763">
        <v>154</v>
      </c>
      <c r="N148" s="763">
        <v>0</v>
      </c>
      <c r="O148" s="763">
        <v>230</v>
      </c>
      <c r="P148" s="814"/>
    </row>
    <row r="149" spans="1:16" ht="31.5" customHeight="1">
      <c r="A149" s="816"/>
      <c r="B149" s="817"/>
      <c r="C149" s="817" t="s">
        <v>589</v>
      </c>
      <c r="D149" s="764">
        <v>380</v>
      </c>
      <c r="E149" s="764"/>
      <c r="F149" s="764"/>
      <c r="G149" s="764">
        <v>380</v>
      </c>
      <c r="H149" s="764">
        <v>380</v>
      </c>
      <c r="I149" s="764"/>
      <c r="J149" s="764">
        <v>0</v>
      </c>
      <c r="K149" s="764">
        <v>380</v>
      </c>
      <c r="L149" s="764"/>
      <c r="M149" s="764">
        <v>152</v>
      </c>
      <c r="N149" s="764"/>
      <c r="O149" s="764">
        <v>228</v>
      </c>
      <c r="P149" s="818"/>
    </row>
    <row r="150" spans="1:16" ht="31.5" customHeight="1">
      <c r="A150" s="816"/>
      <c r="B150" s="817"/>
      <c r="C150" s="817" t="s">
        <v>1715</v>
      </c>
      <c r="D150" s="764">
        <v>60</v>
      </c>
      <c r="E150" s="764"/>
      <c r="F150" s="764"/>
      <c r="G150" s="764">
        <v>60</v>
      </c>
      <c r="H150" s="764">
        <v>60</v>
      </c>
      <c r="I150" s="764"/>
      <c r="J150" s="764">
        <v>6</v>
      </c>
      <c r="K150" s="764">
        <v>54</v>
      </c>
      <c r="L150" s="764">
        <v>50</v>
      </c>
      <c r="M150" s="764">
        <v>2</v>
      </c>
      <c r="N150" s="764"/>
      <c r="O150" s="764">
        <v>2</v>
      </c>
      <c r="P150" s="818"/>
    </row>
    <row r="151" spans="1:16" ht="48.75" customHeight="1">
      <c r="A151" s="812">
        <v>4</v>
      </c>
      <c r="B151" s="813" t="s">
        <v>1724</v>
      </c>
      <c r="C151" s="887"/>
      <c r="D151" s="763">
        <v>889.88</v>
      </c>
      <c r="E151" s="763">
        <v>0</v>
      </c>
      <c r="F151" s="763">
        <v>0</v>
      </c>
      <c r="G151" s="763">
        <v>889.88</v>
      </c>
      <c r="H151" s="763">
        <v>889.88</v>
      </c>
      <c r="I151" s="763">
        <v>0</v>
      </c>
      <c r="J151" s="763">
        <v>14</v>
      </c>
      <c r="K151" s="763">
        <v>875.88</v>
      </c>
      <c r="L151" s="763">
        <v>47.8</v>
      </c>
      <c r="M151" s="763">
        <v>331</v>
      </c>
      <c r="N151" s="763">
        <v>0</v>
      </c>
      <c r="O151" s="763">
        <v>497.08</v>
      </c>
      <c r="P151" s="888"/>
    </row>
    <row r="152" spans="1:16" ht="31.5" customHeight="1">
      <c r="A152" s="816"/>
      <c r="B152" s="817"/>
      <c r="C152" s="817" t="s">
        <v>589</v>
      </c>
      <c r="D152" s="764">
        <v>749.88</v>
      </c>
      <c r="E152" s="764">
        <v>0</v>
      </c>
      <c r="F152" s="764">
        <v>0</v>
      </c>
      <c r="G152" s="764">
        <v>749.88</v>
      </c>
      <c r="H152" s="764">
        <v>749.88</v>
      </c>
      <c r="I152" s="764">
        <v>0</v>
      </c>
      <c r="J152" s="764">
        <v>0</v>
      </c>
      <c r="K152" s="764">
        <v>749.88</v>
      </c>
      <c r="L152" s="764"/>
      <c r="M152" s="764">
        <v>300</v>
      </c>
      <c r="N152" s="764"/>
      <c r="O152" s="764">
        <v>449.88</v>
      </c>
      <c r="P152" s="888"/>
    </row>
    <row r="153" spans="1:16" ht="31.5" customHeight="1">
      <c r="A153" s="816"/>
      <c r="B153" s="817"/>
      <c r="C153" s="817" t="s">
        <v>1715</v>
      </c>
      <c r="D153" s="764">
        <v>140</v>
      </c>
      <c r="E153" s="764">
        <v>0</v>
      </c>
      <c r="F153" s="764">
        <v>0</v>
      </c>
      <c r="G153" s="764">
        <v>140</v>
      </c>
      <c r="H153" s="764">
        <v>140</v>
      </c>
      <c r="I153" s="764">
        <v>0</v>
      </c>
      <c r="J153" s="764">
        <v>14</v>
      </c>
      <c r="K153" s="764">
        <v>126</v>
      </c>
      <c r="L153" s="764">
        <v>47.8</v>
      </c>
      <c r="M153" s="764">
        <v>31</v>
      </c>
      <c r="N153" s="764"/>
      <c r="O153" s="764">
        <v>47.2</v>
      </c>
      <c r="P153" s="888"/>
    </row>
    <row r="154" spans="1:16" ht="48.75" customHeight="1">
      <c r="A154" s="812">
        <v>5</v>
      </c>
      <c r="B154" s="813" t="s">
        <v>1723</v>
      </c>
      <c r="C154" s="887"/>
      <c r="D154" s="763">
        <v>1300.163</v>
      </c>
      <c r="E154" s="763">
        <v>0</v>
      </c>
      <c r="F154" s="763">
        <v>0</v>
      </c>
      <c r="G154" s="763">
        <v>1300.163</v>
      </c>
      <c r="H154" s="763">
        <v>1300.163</v>
      </c>
      <c r="I154" s="763">
        <v>0</v>
      </c>
      <c r="J154" s="763">
        <v>16.739999999999998</v>
      </c>
      <c r="K154" s="763">
        <v>1283.423</v>
      </c>
      <c r="L154" s="763">
        <v>0</v>
      </c>
      <c r="M154" s="763">
        <v>513</v>
      </c>
      <c r="N154" s="763">
        <v>0</v>
      </c>
      <c r="O154" s="763">
        <v>770.42299999999989</v>
      </c>
      <c r="P154" s="888"/>
    </row>
    <row r="155" spans="1:16" ht="31.5" customHeight="1">
      <c r="A155" s="816"/>
      <c r="B155" s="817"/>
      <c r="C155" s="817" t="s">
        <v>589</v>
      </c>
      <c r="D155" s="764">
        <v>1132.7629999999999</v>
      </c>
      <c r="E155" s="764">
        <v>0</v>
      </c>
      <c r="F155" s="764">
        <v>0</v>
      </c>
      <c r="G155" s="764">
        <v>1132.7629999999999</v>
      </c>
      <c r="H155" s="764">
        <v>1132.7629999999999</v>
      </c>
      <c r="I155" s="764">
        <v>0</v>
      </c>
      <c r="J155" s="764">
        <v>0</v>
      </c>
      <c r="K155" s="764">
        <v>1132.7629999999999</v>
      </c>
      <c r="L155" s="764"/>
      <c r="M155" s="764">
        <v>453</v>
      </c>
      <c r="N155" s="764"/>
      <c r="O155" s="764">
        <v>679.76299999999992</v>
      </c>
      <c r="P155" s="888"/>
    </row>
    <row r="156" spans="1:16" ht="31.5" customHeight="1">
      <c r="A156" s="816"/>
      <c r="B156" s="817"/>
      <c r="C156" s="817" t="s">
        <v>1715</v>
      </c>
      <c r="D156" s="764">
        <v>167.4</v>
      </c>
      <c r="E156" s="764">
        <v>0</v>
      </c>
      <c r="F156" s="764">
        <v>0</v>
      </c>
      <c r="G156" s="764">
        <v>167.4</v>
      </c>
      <c r="H156" s="764">
        <v>167.4</v>
      </c>
      <c r="I156" s="764">
        <v>0</v>
      </c>
      <c r="J156" s="764">
        <v>16.739999999999998</v>
      </c>
      <c r="K156" s="764">
        <v>150.66</v>
      </c>
      <c r="L156" s="764"/>
      <c r="M156" s="764">
        <v>60</v>
      </c>
      <c r="N156" s="764"/>
      <c r="O156" s="764">
        <v>90.66</v>
      </c>
      <c r="P156" s="888"/>
    </row>
    <row r="157" spans="1:16" ht="48.75" customHeight="1">
      <c r="A157" s="812">
        <v>6</v>
      </c>
      <c r="B157" s="813" t="s">
        <v>1722</v>
      </c>
      <c r="C157" s="887"/>
      <c r="D157" s="763">
        <v>339.8</v>
      </c>
      <c r="E157" s="763">
        <v>0</v>
      </c>
      <c r="F157" s="763">
        <v>0</v>
      </c>
      <c r="G157" s="763">
        <v>339.8</v>
      </c>
      <c r="H157" s="763">
        <v>339.8</v>
      </c>
      <c r="I157" s="763">
        <v>0</v>
      </c>
      <c r="J157" s="763">
        <v>10.8</v>
      </c>
      <c r="K157" s="763">
        <v>329</v>
      </c>
      <c r="L157" s="763">
        <v>0</v>
      </c>
      <c r="M157" s="763">
        <v>132</v>
      </c>
      <c r="N157" s="763">
        <v>0</v>
      </c>
      <c r="O157" s="763">
        <v>197</v>
      </c>
      <c r="P157" s="888"/>
    </row>
    <row r="158" spans="1:16" ht="31.5" customHeight="1">
      <c r="A158" s="816"/>
      <c r="B158" s="817"/>
      <c r="C158" s="817" t="s">
        <v>589</v>
      </c>
      <c r="D158" s="764">
        <v>232</v>
      </c>
      <c r="E158" s="764">
        <v>0</v>
      </c>
      <c r="F158" s="764">
        <v>0</v>
      </c>
      <c r="G158" s="764">
        <v>232</v>
      </c>
      <c r="H158" s="764">
        <v>232</v>
      </c>
      <c r="I158" s="764">
        <v>0</v>
      </c>
      <c r="J158" s="764">
        <v>0</v>
      </c>
      <c r="K158" s="764">
        <v>232</v>
      </c>
      <c r="L158" s="764"/>
      <c r="M158" s="764">
        <v>93</v>
      </c>
      <c r="N158" s="764"/>
      <c r="O158" s="764">
        <v>139</v>
      </c>
      <c r="P158" s="888"/>
    </row>
    <row r="159" spans="1:16" ht="31.5" customHeight="1">
      <c r="A159" s="816"/>
      <c r="B159" s="817"/>
      <c r="C159" s="817" t="s">
        <v>1715</v>
      </c>
      <c r="D159" s="764">
        <v>107.8</v>
      </c>
      <c r="E159" s="764">
        <v>0</v>
      </c>
      <c r="F159" s="764">
        <v>0</v>
      </c>
      <c r="G159" s="764">
        <v>107.8</v>
      </c>
      <c r="H159" s="764">
        <v>107.8</v>
      </c>
      <c r="I159" s="764">
        <v>0</v>
      </c>
      <c r="J159" s="764">
        <v>10.8</v>
      </c>
      <c r="K159" s="764">
        <v>97</v>
      </c>
      <c r="L159" s="764"/>
      <c r="M159" s="764">
        <v>39</v>
      </c>
      <c r="N159" s="764"/>
      <c r="O159" s="764">
        <v>58</v>
      </c>
      <c r="P159" s="888"/>
    </row>
    <row r="160" spans="1:16" ht="30.75" customHeight="1">
      <c r="A160" s="812">
        <v>7</v>
      </c>
      <c r="B160" s="813" t="s">
        <v>1721</v>
      </c>
      <c r="C160" s="813"/>
      <c r="D160" s="763">
        <v>920</v>
      </c>
      <c r="E160" s="763"/>
      <c r="F160" s="763"/>
      <c r="G160" s="763">
        <v>920</v>
      </c>
      <c r="H160" s="763">
        <v>920</v>
      </c>
      <c r="I160" s="763">
        <v>0</v>
      </c>
      <c r="J160" s="763">
        <v>12</v>
      </c>
      <c r="K160" s="763">
        <v>908</v>
      </c>
      <c r="L160" s="763">
        <v>80</v>
      </c>
      <c r="M160" s="763">
        <v>331</v>
      </c>
      <c r="N160" s="763">
        <v>0</v>
      </c>
      <c r="O160" s="763">
        <v>497</v>
      </c>
      <c r="P160" s="814"/>
    </row>
    <row r="161" spans="1:16" ht="31.5" customHeight="1">
      <c r="A161" s="816"/>
      <c r="B161" s="817"/>
      <c r="C161" s="817" t="s">
        <v>589</v>
      </c>
      <c r="D161" s="764">
        <v>800</v>
      </c>
      <c r="E161" s="764"/>
      <c r="F161" s="764"/>
      <c r="G161" s="764">
        <v>800</v>
      </c>
      <c r="H161" s="764">
        <v>800</v>
      </c>
      <c r="I161" s="764"/>
      <c r="J161" s="764"/>
      <c r="K161" s="764">
        <v>800</v>
      </c>
      <c r="L161" s="764"/>
      <c r="M161" s="764">
        <v>320</v>
      </c>
      <c r="N161" s="764"/>
      <c r="O161" s="764">
        <v>480</v>
      </c>
      <c r="P161" s="818"/>
    </row>
    <row r="162" spans="1:16" ht="31.5" customHeight="1">
      <c r="A162" s="816"/>
      <c r="B162" s="817"/>
      <c r="C162" s="817" t="s">
        <v>1711</v>
      </c>
      <c r="D162" s="764">
        <v>120</v>
      </c>
      <c r="E162" s="764"/>
      <c r="F162" s="764"/>
      <c r="G162" s="764">
        <v>120</v>
      </c>
      <c r="H162" s="764">
        <v>120</v>
      </c>
      <c r="I162" s="764"/>
      <c r="J162" s="764">
        <v>12</v>
      </c>
      <c r="K162" s="764">
        <v>108</v>
      </c>
      <c r="L162" s="764">
        <v>80</v>
      </c>
      <c r="M162" s="764">
        <v>11</v>
      </c>
      <c r="N162" s="764"/>
      <c r="O162" s="764">
        <v>17</v>
      </c>
      <c r="P162" s="818"/>
    </row>
    <row r="163" spans="1:16" ht="66.75" customHeight="1">
      <c r="A163" s="812">
        <v>8</v>
      </c>
      <c r="B163" s="813" t="s">
        <v>713</v>
      </c>
      <c r="C163" s="813"/>
      <c r="D163" s="763">
        <v>236.48000000000002</v>
      </c>
      <c r="E163" s="763">
        <v>0</v>
      </c>
      <c r="F163" s="763">
        <v>0</v>
      </c>
      <c r="G163" s="763">
        <v>236.48000000000002</v>
      </c>
      <c r="H163" s="763">
        <v>236.48000000000002</v>
      </c>
      <c r="I163" s="763">
        <v>0</v>
      </c>
      <c r="J163" s="763">
        <v>3.42</v>
      </c>
      <c r="K163" s="763">
        <v>233.06</v>
      </c>
      <c r="L163" s="763">
        <v>8</v>
      </c>
      <c r="M163" s="763">
        <v>90</v>
      </c>
      <c r="N163" s="763">
        <v>0</v>
      </c>
      <c r="O163" s="763">
        <v>135.06</v>
      </c>
      <c r="P163" s="814"/>
    </row>
    <row r="164" spans="1:16" ht="31.5" customHeight="1">
      <c r="A164" s="816"/>
      <c r="B164" s="817"/>
      <c r="C164" s="817" t="s">
        <v>589</v>
      </c>
      <c r="D164" s="764">
        <v>202.24</v>
      </c>
      <c r="E164" s="764"/>
      <c r="F164" s="764"/>
      <c r="G164" s="764">
        <v>202.24</v>
      </c>
      <c r="H164" s="764">
        <v>202.24</v>
      </c>
      <c r="I164" s="764"/>
      <c r="J164" s="764"/>
      <c r="K164" s="764">
        <v>202.24</v>
      </c>
      <c r="L164" s="764"/>
      <c r="M164" s="764">
        <v>81</v>
      </c>
      <c r="N164" s="764"/>
      <c r="O164" s="764">
        <v>121.24000000000001</v>
      </c>
      <c r="P164" s="824"/>
    </row>
    <row r="165" spans="1:16" ht="31.5" customHeight="1">
      <c r="A165" s="816"/>
      <c r="B165" s="817"/>
      <c r="C165" s="817" t="s">
        <v>1715</v>
      </c>
      <c r="D165" s="764">
        <v>34.24</v>
      </c>
      <c r="E165" s="764"/>
      <c r="F165" s="764"/>
      <c r="G165" s="764">
        <v>34.24</v>
      </c>
      <c r="H165" s="764">
        <v>34.24</v>
      </c>
      <c r="I165" s="764"/>
      <c r="J165" s="764">
        <v>3.42</v>
      </c>
      <c r="K165" s="764">
        <v>30.82</v>
      </c>
      <c r="L165" s="764">
        <v>8</v>
      </c>
      <c r="M165" s="764">
        <v>9</v>
      </c>
      <c r="N165" s="764"/>
      <c r="O165" s="764">
        <v>13.82</v>
      </c>
      <c r="P165" s="824"/>
    </row>
    <row r="166" spans="1:16" ht="48.75" customHeight="1">
      <c r="A166" s="812">
        <v>9</v>
      </c>
      <c r="B166" s="813" t="s">
        <v>712</v>
      </c>
      <c r="C166" s="817"/>
      <c r="D166" s="763">
        <v>600</v>
      </c>
      <c r="E166" s="763">
        <v>0</v>
      </c>
      <c r="F166" s="763">
        <v>0</v>
      </c>
      <c r="G166" s="763">
        <v>600</v>
      </c>
      <c r="H166" s="763">
        <v>600</v>
      </c>
      <c r="I166" s="763">
        <v>0</v>
      </c>
      <c r="J166" s="763">
        <v>10</v>
      </c>
      <c r="K166" s="763">
        <v>590</v>
      </c>
      <c r="L166" s="763">
        <v>18</v>
      </c>
      <c r="M166" s="763">
        <v>229</v>
      </c>
      <c r="N166" s="763">
        <v>0</v>
      </c>
      <c r="O166" s="763">
        <v>343</v>
      </c>
      <c r="P166" s="818"/>
    </row>
    <row r="167" spans="1:16" ht="31.5" customHeight="1">
      <c r="A167" s="816"/>
      <c r="B167" s="817"/>
      <c r="C167" s="817" t="s">
        <v>589</v>
      </c>
      <c r="D167" s="764">
        <v>500</v>
      </c>
      <c r="E167" s="764"/>
      <c r="F167" s="764"/>
      <c r="G167" s="764">
        <v>500</v>
      </c>
      <c r="H167" s="764">
        <v>500</v>
      </c>
      <c r="I167" s="764"/>
      <c r="J167" s="764"/>
      <c r="K167" s="764">
        <v>500</v>
      </c>
      <c r="L167" s="764"/>
      <c r="M167" s="764">
        <v>200</v>
      </c>
      <c r="N167" s="764"/>
      <c r="O167" s="764">
        <v>300</v>
      </c>
      <c r="P167" s="824"/>
    </row>
    <row r="168" spans="1:16" ht="31.5" customHeight="1">
      <c r="A168" s="816"/>
      <c r="B168" s="817"/>
      <c r="C168" s="817" t="s">
        <v>1715</v>
      </c>
      <c r="D168" s="764">
        <v>100</v>
      </c>
      <c r="E168" s="764"/>
      <c r="F168" s="764"/>
      <c r="G168" s="764">
        <v>100</v>
      </c>
      <c r="H168" s="764">
        <v>100</v>
      </c>
      <c r="I168" s="764"/>
      <c r="J168" s="764">
        <v>10</v>
      </c>
      <c r="K168" s="764">
        <v>90</v>
      </c>
      <c r="L168" s="764">
        <v>18</v>
      </c>
      <c r="M168" s="764">
        <v>29</v>
      </c>
      <c r="N168" s="764"/>
      <c r="O168" s="764">
        <v>43</v>
      </c>
      <c r="P168" s="824"/>
    </row>
    <row r="169" spans="1:16" ht="48.75" customHeight="1">
      <c r="A169" s="812">
        <v>10</v>
      </c>
      <c r="B169" s="813" t="s">
        <v>711</v>
      </c>
      <c r="C169" s="889"/>
      <c r="D169" s="763">
        <v>157</v>
      </c>
      <c r="E169" s="763">
        <v>0</v>
      </c>
      <c r="F169" s="763">
        <v>0</v>
      </c>
      <c r="G169" s="763">
        <v>157</v>
      </c>
      <c r="H169" s="763">
        <v>157</v>
      </c>
      <c r="I169" s="763">
        <v>0</v>
      </c>
      <c r="J169" s="763">
        <v>8.1</v>
      </c>
      <c r="K169" s="763">
        <v>148.9</v>
      </c>
      <c r="L169" s="763">
        <v>0</v>
      </c>
      <c r="M169" s="763">
        <v>60</v>
      </c>
      <c r="N169" s="763">
        <v>0</v>
      </c>
      <c r="O169" s="763">
        <v>88.9</v>
      </c>
      <c r="P169" s="890"/>
    </row>
    <row r="170" spans="1:16" ht="31.5" customHeight="1">
      <c r="A170" s="816"/>
      <c r="B170" s="817"/>
      <c r="C170" s="891" t="s">
        <v>589</v>
      </c>
      <c r="D170" s="764">
        <v>76</v>
      </c>
      <c r="E170" s="764"/>
      <c r="F170" s="764"/>
      <c r="G170" s="764">
        <v>76</v>
      </c>
      <c r="H170" s="764">
        <v>76</v>
      </c>
      <c r="I170" s="764"/>
      <c r="J170" s="764"/>
      <c r="K170" s="764">
        <v>76</v>
      </c>
      <c r="L170" s="764"/>
      <c r="M170" s="764">
        <v>30</v>
      </c>
      <c r="N170" s="764"/>
      <c r="O170" s="764">
        <v>46</v>
      </c>
      <c r="P170" s="886"/>
    </row>
    <row r="171" spans="1:16" ht="31.5" customHeight="1">
      <c r="A171" s="816"/>
      <c r="B171" s="817"/>
      <c r="C171" s="891" t="s">
        <v>1715</v>
      </c>
      <c r="D171" s="764">
        <v>81</v>
      </c>
      <c r="E171" s="764"/>
      <c r="F171" s="764"/>
      <c r="G171" s="764">
        <v>81</v>
      </c>
      <c r="H171" s="764">
        <v>81</v>
      </c>
      <c r="I171" s="764"/>
      <c r="J171" s="764">
        <v>8.1</v>
      </c>
      <c r="K171" s="764">
        <v>72.900000000000006</v>
      </c>
      <c r="L171" s="764"/>
      <c r="M171" s="764">
        <v>30</v>
      </c>
      <c r="N171" s="764"/>
      <c r="O171" s="764">
        <v>42.900000000000006</v>
      </c>
      <c r="P171" s="886"/>
    </row>
    <row r="172" spans="1:16" ht="31.5" customHeight="1">
      <c r="A172" s="812">
        <v>11</v>
      </c>
      <c r="B172" s="813" t="s">
        <v>1720</v>
      </c>
      <c r="C172" s="813"/>
      <c r="D172" s="763">
        <v>528.69000000000005</v>
      </c>
      <c r="E172" s="763"/>
      <c r="F172" s="763"/>
      <c r="G172" s="763">
        <v>528.69000000000005</v>
      </c>
      <c r="H172" s="763">
        <v>528.69000000000005</v>
      </c>
      <c r="I172" s="763">
        <v>0</v>
      </c>
      <c r="J172" s="763">
        <v>4.7089999999999996</v>
      </c>
      <c r="K172" s="763">
        <v>523.98099999999999</v>
      </c>
      <c r="L172" s="763">
        <v>16.952000000000002</v>
      </c>
      <c r="M172" s="763">
        <v>203</v>
      </c>
      <c r="N172" s="763">
        <v>0</v>
      </c>
      <c r="O172" s="763">
        <v>304.029</v>
      </c>
      <c r="P172" s="814"/>
    </row>
    <row r="173" spans="1:16" ht="31.5" customHeight="1">
      <c r="A173" s="816"/>
      <c r="B173" s="817"/>
      <c r="C173" s="817" t="s">
        <v>589</v>
      </c>
      <c r="D173" s="764">
        <v>481.6</v>
      </c>
      <c r="E173" s="764"/>
      <c r="F173" s="764"/>
      <c r="G173" s="764">
        <v>481.6</v>
      </c>
      <c r="H173" s="764">
        <v>481.6</v>
      </c>
      <c r="I173" s="764"/>
      <c r="J173" s="764"/>
      <c r="K173" s="764">
        <v>481.6</v>
      </c>
      <c r="L173" s="764"/>
      <c r="M173" s="764">
        <v>193</v>
      </c>
      <c r="N173" s="764"/>
      <c r="O173" s="764">
        <v>288.60000000000002</v>
      </c>
      <c r="P173" s="818"/>
    </row>
    <row r="174" spans="1:16" ht="31.5" customHeight="1">
      <c r="A174" s="816"/>
      <c r="B174" s="817"/>
      <c r="C174" s="817" t="s">
        <v>1711</v>
      </c>
      <c r="D174" s="764">
        <v>47.09</v>
      </c>
      <c r="E174" s="764"/>
      <c r="F174" s="764"/>
      <c r="G174" s="764">
        <v>47.09</v>
      </c>
      <c r="H174" s="764">
        <v>47.09</v>
      </c>
      <c r="I174" s="764"/>
      <c r="J174" s="764">
        <v>4.7089999999999996</v>
      </c>
      <c r="K174" s="764">
        <v>42.381</v>
      </c>
      <c r="L174" s="764">
        <v>16.952000000000002</v>
      </c>
      <c r="M174" s="764">
        <v>10</v>
      </c>
      <c r="N174" s="764"/>
      <c r="O174" s="764">
        <v>15.428999999999998</v>
      </c>
      <c r="P174" s="818"/>
    </row>
    <row r="175" spans="1:16" ht="31.5" customHeight="1">
      <c r="A175" s="812">
        <v>12</v>
      </c>
      <c r="B175" s="813" t="s">
        <v>1719</v>
      </c>
      <c r="C175" s="817"/>
      <c r="D175" s="763">
        <v>472.39</v>
      </c>
      <c r="E175" s="763">
        <v>0</v>
      </c>
      <c r="F175" s="763">
        <v>0</v>
      </c>
      <c r="G175" s="763">
        <v>472.39</v>
      </c>
      <c r="H175" s="763">
        <v>472.39</v>
      </c>
      <c r="I175" s="763">
        <v>0</v>
      </c>
      <c r="J175" s="763">
        <v>6.1360000000000001</v>
      </c>
      <c r="K175" s="763">
        <v>466.25399999999996</v>
      </c>
      <c r="L175" s="763">
        <v>24.99</v>
      </c>
      <c r="M175" s="763">
        <v>177</v>
      </c>
      <c r="N175" s="763">
        <v>0</v>
      </c>
      <c r="O175" s="763">
        <v>264.26399999999995</v>
      </c>
      <c r="P175" s="818"/>
    </row>
    <row r="176" spans="1:16" ht="31.5" customHeight="1">
      <c r="A176" s="812"/>
      <c r="B176" s="817"/>
      <c r="C176" s="817" t="s">
        <v>589</v>
      </c>
      <c r="D176" s="764">
        <v>411.03</v>
      </c>
      <c r="E176" s="764"/>
      <c r="F176" s="764"/>
      <c r="G176" s="764">
        <v>411.03</v>
      </c>
      <c r="H176" s="764">
        <v>411.03</v>
      </c>
      <c r="I176" s="764"/>
      <c r="J176" s="764"/>
      <c r="K176" s="764">
        <v>411.03</v>
      </c>
      <c r="L176" s="764"/>
      <c r="M176" s="764">
        <v>165</v>
      </c>
      <c r="N176" s="764"/>
      <c r="O176" s="764">
        <v>246.02999999999997</v>
      </c>
      <c r="P176" s="818"/>
    </row>
    <row r="177" spans="1:16" ht="31.5" customHeight="1">
      <c r="A177" s="812"/>
      <c r="B177" s="817"/>
      <c r="C177" s="817" t="s">
        <v>1711</v>
      </c>
      <c r="D177" s="764">
        <v>61.36</v>
      </c>
      <c r="E177" s="764"/>
      <c r="F177" s="764"/>
      <c r="G177" s="764">
        <v>61.36</v>
      </c>
      <c r="H177" s="764">
        <v>61.359999999999992</v>
      </c>
      <c r="I177" s="764"/>
      <c r="J177" s="764">
        <v>6.1360000000000001</v>
      </c>
      <c r="K177" s="764">
        <v>55.22399999999999</v>
      </c>
      <c r="L177" s="764">
        <v>24.99</v>
      </c>
      <c r="M177" s="764">
        <v>12</v>
      </c>
      <c r="N177" s="764"/>
      <c r="O177" s="764">
        <v>18.233999999999998</v>
      </c>
      <c r="P177" s="818"/>
    </row>
    <row r="178" spans="1:16" ht="31.5" customHeight="1">
      <c r="A178" s="812">
        <v>13</v>
      </c>
      <c r="B178" s="884" t="s">
        <v>1718</v>
      </c>
      <c r="C178" s="817"/>
      <c r="D178" s="763">
        <v>604.35</v>
      </c>
      <c r="E178" s="763">
        <v>0</v>
      </c>
      <c r="F178" s="763">
        <v>0</v>
      </c>
      <c r="G178" s="763">
        <v>604.35</v>
      </c>
      <c r="H178" s="763">
        <v>604.35</v>
      </c>
      <c r="I178" s="763">
        <v>0</v>
      </c>
      <c r="J178" s="763">
        <v>9.3149999999999995</v>
      </c>
      <c r="K178" s="763">
        <v>595.03499999999997</v>
      </c>
      <c r="L178" s="763">
        <v>26</v>
      </c>
      <c r="M178" s="763">
        <v>228</v>
      </c>
      <c r="N178" s="763">
        <v>0</v>
      </c>
      <c r="O178" s="763">
        <v>341.03499999999997</v>
      </c>
      <c r="P178" s="814"/>
    </row>
    <row r="179" spans="1:16" ht="31.5" customHeight="1">
      <c r="A179" s="816"/>
      <c r="B179" s="817"/>
      <c r="C179" s="823" t="s">
        <v>589</v>
      </c>
      <c r="D179" s="764">
        <v>511.2</v>
      </c>
      <c r="E179" s="764"/>
      <c r="F179" s="764"/>
      <c r="G179" s="764">
        <v>511.2</v>
      </c>
      <c r="H179" s="764">
        <v>511.2</v>
      </c>
      <c r="I179" s="764"/>
      <c r="J179" s="764"/>
      <c r="K179" s="764">
        <v>511.2</v>
      </c>
      <c r="L179" s="764"/>
      <c r="M179" s="764">
        <v>205</v>
      </c>
      <c r="N179" s="764"/>
      <c r="O179" s="764">
        <v>306.2</v>
      </c>
      <c r="P179" s="818"/>
    </row>
    <row r="180" spans="1:16" ht="31.5" customHeight="1">
      <c r="A180" s="816"/>
      <c r="B180" s="817"/>
      <c r="C180" s="823" t="s">
        <v>1711</v>
      </c>
      <c r="D180" s="764">
        <v>93.15</v>
      </c>
      <c r="E180" s="764"/>
      <c r="F180" s="764"/>
      <c r="G180" s="764">
        <v>93.15</v>
      </c>
      <c r="H180" s="764">
        <v>93.15</v>
      </c>
      <c r="I180" s="764"/>
      <c r="J180" s="764">
        <v>9.3149999999999995</v>
      </c>
      <c r="K180" s="764">
        <v>83.835000000000008</v>
      </c>
      <c r="L180" s="764">
        <v>26</v>
      </c>
      <c r="M180" s="764">
        <v>23</v>
      </c>
      <c r="N180" s="764"/>
      <c r="O180" s="764">
        <v>34.835000000000008</v>
      </c>
      <c r="P180" s="818"/>
    </row>
    <row r="181" spans="1:16" ht="48.75" customHeight="1">
      <c r="A181" s="812">
        <v>14</v>
      </c>
      <c r="B181" s="813" t="s">
        <v>707</v>
      </c>
      <c r="C181" s="813"/>
      <c r="D181" s="763">
        <v>216.75</v>
      </c>
      <c r="E181" s="763">
        <v>0</v>
      </c>
      <c r="F181" s="763">
        <v>0</v>
      </c>
      <c r="G181" s="763">
        <v>216.75</v>
      </c>
      <c r="H181" s="763">
        <v>216.75</v>
      </c>
      <c r="I181" s="763">
        <v>0</v>
      </c>
      <c r="J181" s="763">
        <v>5</v>
      </c>
      <c r="K181" s="763">
        <v>211.75</v>
      </c>
      <c r="L181" s="763">
        <v>2.6999999999999997</v>
      </c>
      <c r="M181" s="763">
        <v>84</v>
      </c>
      <c r="N181" s="763">
        <v>0</v>
      </c>
      <c r="O181" s="763">
        <v>125.05</v>
      </c>
      <c r="P181" s="814"/>
    </row>
    <row r="182" spans="1:16" ht="31.5" customHeight="1">
      <c r="A182" s="816"/>
      <c r="B182" s="817"/>
      <c r="C182" s="817" t="s">
        <v>589</v>
      </c>
      <c r="D182" s="764">
        <v>166.75</v>
      </c>
      <c r="E182" s="764"/>
      <c r="F182" s="764"/>
      <c r="G182" s="764">
        <v>166.75</v>
      </c>
      <c r="H182" s="764">
        <v>166.75</v>
      </c>
      <c r="I182" s="764"/>
      <c r="J182" s="764"/>
      <c r="K182" s="764">
        <v>166.75</v>
      </c>
      <c r="L182" s="764"/>
      <c r="M182" s="764">
        <v>67</v>
      </c>
      <c r="N182" s="764"/>
      <c r="O182" s="764">
        <v>99.75</v>
      </c>
      <c r="P182" s="818"/>
    </row>
    <row r="183" spans="1:16" ht="31.5" customHeight="1">
      <c r="A183" s="816"/>
      <c r="B183" s="817"/>
      <c r="C183" s="817" t="s">
        <v>1711</v>
      </c>
      <c r="D183" s="764">
        <v>50</v>
      </c>
      <c r="E183" s="764"/>
      <c r="F183" s="764"/>
      <c r="G183" s="764">
        <v>50</v>
      </c>
      <c r="H183" s="764">
        <v>50</v>
      </c>
      <c r="I183" s="764"/>
      <c r="J183" s="764">
        <v>5</v>
      </c>
      <c r="K183" s="764">
        <v>45</v>
      </c>
      <c r="L183" s="764">
        <v>2.6999999999999997</v>
      </c>
      <c r="M183" s="764">
        <v>17</v>
      </c>
      <c r="N183" s="764"/>
      <c r="O183" s="764">
        <v>25.299999999999997</v>
      </c>
      <c r="P183" s="818"/>
    </row>
    <row r="184" spans="1:16" ht="48.75" customHeight="1">
      <c r="A184" s="812">
        <v>15</v>
      </c>
      <c r="B184" s="813" t="s">
        <v>722</v>
      </c>
      <c r="C184" s="817"/>
      <c r="D184" s="763">
        <v>665</v>
      </c>
      <c r="E184" s="763">
        <v>0</v>
      </c>
      <c r="F184" s="763">
        <v>0</v>
      </c>
      <c r="G184" s="763">
        <v>665</v>
      </c>
      <c r="H184" s="763">
        <v>665</v>
      </c>
      <c r="I184" s="763">
        <v>0</v>
      </c>
      <c r="J184" s="763">
        <v>6.5</v>
      </c>
      <c r="K184" s="763">
        <v>658.5</v>
      </c>
      <c r="L184" s="763">
        <v>35</v>
      </c>
      <c r="M184" s="763">
        <v>249</v>
      </c>
      <c r="N184" s="763">
        <v>0</v>
      </c>
      <c r="O184" s="763">
        <v>374.5</v>
      </c>
      <c r="P184" s="814"/>
    </row>
    <row r="185" spans="1:16" ht="31.5" customHeight="1">
      <c r="A185" s="812"/>
      <c r="B185" s="817"/>
      <c r="C185" s="817" t="s">
        <v>589</v>
      </c>
      <c r="D185" s="764">
        <v>600</v>
      </c>
      <c r="E185" s="764"/>
      <c r="F185" s="764"/>
      <c r="G185" s="764">
        <v>600</v>
      </c>
      <c r="H185" s="764">
        <v>600</v>
      </c>
      <c r="I185" s="764"/>
      <c r="J185" s="764"/>
      <c r="K185" s="764">
        <v>600</v>
      </c>
      <c r="L185" s="764"/>
      <c r="M185" s="764">
        <v>240</v>
      </c>
      <c r="N185" s="764"/>
      <c r="O185" s="764">
        <v>360</v>
      </c>
      <c r="P185" s="886"/>
    </row>
    <row r="186" spans="1:16" ht="31.5" customHeight="1">
      <c r="A186" s="812"/>
      <c r="B186" s="817"/>
      <c r="C186" s="817" t="s">
        <v>1715</v>
      </c>
      <c r="D186" s="764">
        <v>65</v>
      </c>
      <c r="E186" s="764"/>
      <c r="F186" s="764"/>
      <c r="G186" s="764">
        <v>65</v>
      </c>
      <c r="H186" s="764">
        <v>65</v>
      </c>
      <c r="I186" s="764"/>
      <c r="J186" s="764">
        <v>6.5</v>
      </c>
      <c r="K186" s="764">
        <v>58.5</v>
      </c>
      <c r="L186" s="764">
        <v>35</v>
      </c>
      <c r="M186" s="764">
        <v>9</v>
      </c>
      <c r="N186" s="764"/>
      <c r="O186" s="764">
        <v>14.5</v>
      </c>
      <c r="P186" s="886"/>
    </row>
    <row r="187" spans="1:16" ht="48.75" customHeight="1">
      <c r="A187" s="812">
        <v>16</v>
      </c>
      <c r="B187" s="813" t="s">
        <v>705</v>
      </c>
      <c r="C187" s="817"/>
      <c r="D187" s="763">
        <v>216</v>
      </c>
      <c r="E187" s="763">
        <v>0</v>
      </c>
      <c r="F187" s="763">
        <v>0</v>
      </c>
      <c r="G187" s="763">
        <v>216</v>
      </c>
      <c r="H187" s="763">
        <v>216</v>
      </c>
      <c r="I187" s="763">
        <v>0</v>
      </c>
      <c r="J187" s="763">
        <v>4.5</v>
      </c>
      <c r="K187" s="763">
        <v>211.5</v>
      </c>
      <c r="L187" s="763">
        <v>22.5</v>
      </c>
      <c r="M187" s="763">
        <v>76</v>
      </c>
      <c r="N187" s="763">
        <v>0</v>
      </c>
      <c r="O187" s="763">
        <v>113</v>
      </c>
      <c r="P187" s="814"/>
    </row>
    <row r="188" spans="1:16" ht="31.5" customHeight="1">
      <c r="A188" s="812"/>
      <c r="B188" s="817"/>
      <c r="C188" s="817" t="s">
        <v>589</v>
      </c>
      <c r="D188" s="764">
        <v>171</v>
      </c>
      <c r="E188" s="764"/>
      <c r="F188" s="764"/>
      <c r="G188" s="764">
        <v>171</v>
      </c>
      <c r="H188" s="764">
        <v>171</v>
      </c>
      <c r="I188" s="764"/>
      <c r="J188" s="764"/>
      <c r="K188" s="764">
        <v>171</v>
      </c>
      <c r="L188" s="764"/>
      <c r="M188" s="764">
        <v>69</v>
      </c>
      <c r="N188" s="764"/>
      <c r="O188" s="764">
        <v>102</v>
      </c>
      <c r="P188" s="818"/>
    </row>
    <row r="189" spans="1:16" ht="31.5" customHeight="1">
      <c r="A189" s="812"/>
      <c r="B189" s="817"/>
      <c r="C189" s="817" t="s">
        <v>1715</v>
      </c>
      <c r="D189" s="764">
        <v>45</v>
      </c>
      <c r="E189" s="764"/>
      <c r="F189" s="764"/>
      <c r="G189" s="764">
        <v>45</v>
      </c>
      <c r="H189" s="764">
        <v>45</v>
      </c>
      <c r="I189" s="764"/>
      <c r="J189" s="764">
        <v>4.5</v>
      </c>
      <c r="K189" s="764">
        <v>40.5</v>
      </c>
      <c r="L189" s="764">
        <v>22.5</v>
      </c>
      <c r="M189" s="764">
        <v>7</v>
      </c>
      <c r="N189" s="764"/>
      <c r="O189" s="764">
        <v>11</v>
      </c>
      <c r="P189" s="818"/>
    </row>
    <row r="190" spans="1:16" ht="48.75" customHeight="1">
      <c r="A190" s="812">
        <v>17</v>
      </c>
      <c r="B190" s="813" t="s">
        <v>721</v>
      </c>
      <c r="C190" s="817"/>
      <c r="D190" s="763">
        <v>533.29999999999995</v>
      </c>
      <c r="E190" s="763">
        <v>0</v>
      </c>
      <c r="F190" s="763">
        <v>0</v>
      </c>
      <c r="G190" s="763">
        <v>533.29999999999995</v>
      </c>
      <c r="H190" s="763">
        <v>533.29999999999995</v>
      </c>
      <c r="I190" s="763">
        <v>0</v>
      </c>
      <c r="J190" s="763">
        <v>5</v>
      </c>
      <c r="K190" s="763">
        <v>528.29999999999995</v>
      </c>
      <c r="L190" s="763">
        <v>18</v>
      </c>
      <c r="M190" s="763">
        <v>204</v>
      </c>
      <c r="N190" s="763">
        <v>0</v>
      </c>
      <c r="O190" s="763">
        <v>306.3</v>
      </c>
      <c r="P190" s="818"/>
    </row>
    <row r="191" spans="1:16" ht="31.5" customHeight="1">
      <c r="A191" s="812"/>
      <c r="B191" s="817"/>
      <c r="C191" s="817" t="s">
        <v>589</v>
      </c>
      <c r="D191" s="764">
        <v>483.3</v>
      </c>
      <c r="E191" s="764"/>
      <c r="F191" s="764"/>
      <c r="G191" s="764">
        <v>483.3</v>
      </c>
      <c r="H191" s="764">
        <v>483.3</v>
      </c>
      <c r="I191" s="764"/>
      <c r="J191" s="764"/>
      <c r="K191" s="764">
        <v>483.3</v>
      </c>
      <c r="L191" s="764"/>
      <c r="M191" s="764">
        <v>193</v>
      </c>
      <c r="N191" s="764"/>
      <c r="O191" s="764">
        <v>290.3</v>
      </c>
      <c r="P191" s="818"/>
    </row>
    <row r="192" spans="1:16" ht="31.5" customHeight="1">
      <c r="A192" s="812"/>
      <c r="B192" s="817"/>
      <c r="C192" s="817" t="s">
        <v>1715</v>
      </c>
      <c r="D192" s="764">
        <v>50</v>
      </c>
      <c r="E192" s="764"/>
      <c r="F192" s="764"/>
      <c r="G192" s="764">
        <v>50</v>
      </c>
      <c r="H192" s="764">
        <v>50</v>
      </c>
      <c r="I192" s="764"/>
      <c r="J192" s="764">
        <v>5</v>
      </c>
      <c r="K192" s="764">
        <v>45</v>
      </c>
      <c r="L192" s="764">
        <v>18</v>
      </c>
      <c r="M192" s="764">
        <v>11</v>
      </c>
      <c r="N192" s="764"/>
      <c r="O192" s="764">
        <v>16</v>
      </c>
      <c r="P192" s="818"/>
    </row>
    <row r="193" spans="1:16" ht="48.75" customHeight="1">
      <c r="A193" s="812">
        <v>18</v>
      </c>
      <c r="B193" s="813" t="s">
        <v>703</v>
      </c>
      <c r="C193" s="817"/>
      <c r="D193" s="763">
        <v>46.92</v>
      </c>
      <c r="E193" s="763">
        <v>0</v>
      </c>
      <c r="F193" s="763">
        <v>0</v>
      </c>
      <c r="G193" s="763">
        <v>46.92</v>
      </c>
      <c r="H193" s="763">
        <v>46.92</v>
      </c>
      <c r="I193" s="763">
        <v>0</v>
      </c>
      <c r="J193" s="763">
        <v>0</v>
      </c>
      <c r="K193" s="763">
        <v>46.92</v>
      </c>
      <c r="L193" s="763">
        <v>0</v>
      </c>
      <c r="M193" s="763">
        <v>19</v>
      </c>
      <c r="N193" s="763">
        <v>0</v>
      </c>
      <c r="O193" s="763">
        <v>27.92</v>
      </c>
      <c r="P193" s="890"/>
    </row>
    <row r="194" spans="1:16" ht="31.5" customHeight="1">
      <c r="A194" s="816"/>
      <c r="B194" s="817"/>
      <c r="C194" s="817" t="s">
        <v>589</v>
      </c>
      <c r="D194" s="764">
        <v>46.92</v>
      </c>
      <c r="E194" s="764"/>
      <c r="F194" s="764"/>
      <c r="G194" s="764">
        <v>46.92</v>
      </c>
      <c r="H194" s="764">
        <v>46.92</v>
      </c>
      <c r="I194" s="764"/>
      <c r="J194" s="764">
        <v>0</v>
      </c>
      <c r="K194" s="764">
        <v>46.92</v>
      </c>
      <c r="L194" s="764"/>
      <c r="M194" s="764">
        <v>19</v>
      </c>
      <c r="N194" s="764"/>
      <c r="O194" s="764">
        <v>27.92</v>
      </c>
      <c r="P194" s="886"/>
    </row>
    <row r="195" spans="1:16" ht="31.5" customHeight="1">
      <c r="A195" s="816"/>
      <c r="B195" s="817"/>
      <c r="C195" s="817" t="s">
        <v>1711</v>
      </c>
      <c r="D195" s="764">
        <v>0</v>
      </c>
      <c r="E195" s="764"/>
      <c r="F195" s="764"/>
      <c r="G195" s="764">
        <v>0</v>
      </c>
      <c r="H195" s="764">
        <v>0</v>
      </c>
      <c r="I195" s="764"/>
      <c r="J195" s="764">
        <v>0</v>
      </c>
      <c r="K195" s="764">
        <v>0</v>
      </c>
      <c r="L195" s="764">
        <v>0</v>
      </c>
      <c r="M195" s="764">
        <v>0</v>
      </c>
      <c r="N195" s="764"/>
      <c r="O195" s="764">
        <v>0</v>
      </c>
      <c r="P195" s="818"/>
    </row>
    <row r="196" spans="1:16" ht="30.75" customHeight="1">
      <c r="A196" s="812">
        <v>19</v>
      </c>
      <c r="B196" s="813" t="s">
        <v>1717</v>
      </c>
      <c r="C196" s="813"/>
      <c r="D196" s="763">
        <v>175.84</v>
      </c>
      <c r="E196" s="763">
        <v>0</v>
      </c>
      <c r="F196" s="763">
        <v>0</v>
      </c>
      <c r="G196" s="763">
        <v>175.84</v>
      </c>
      <c r="H196" s="763">
        <v>175.84</v>
      </c>
      <c r="I196" s="763">
        <v>0</v>
      </c>
      <c r="J196" s="763">
        <v>5</v>
      </c>
      <c r="K196" s="763">
        <v>170.84</v>
      </c>
      <c r="L196" s="763">
        <v>18</v>
      </c>
      <c r="M196" s="763">
        <v>61</v>
      </c>
      <c r="N196" s="763">
        <v>0</v>
      </c>
      <c r="O196" s="763">
        <v>91.84</v>
      </c>
      <c r="P196" s="814"/>
    </row>
    <row r="197" spans="1:16" ht="31.5" customHeight="1">
      <c r="A197" s="816"/>
      <c r="B197" s="817"/>
      <c r="C197" s="817" t="s">
        <v>589</v>
      </c>
      <c r="D197" s="764">
        <v>125.84</v>
      </c>
      <c r="E197" s="764"/>
      <c r="F197" s="764"/>
      <c r="G197" s="764">
        <v>125.84</v>
      </c>
      <c r="H197" s="764">
        <v>125.84</v>
      </c>
      <c r="I197" s="764"/>
      <c r="J197" s="764"/>
      <c r="K197" s="764">
        <v>125.84</v>
      </c>
      <c r="L197" s="764"/>
      <c r="M197" s="764">
        <v>50</v>
      </c>
      <c r="N197" s="764"/>
      <c r="O197" s="764">
        <v>75.84</v>
      </c>
      <c r="P197" s="818"/>
    </row>
    <row r="198" spans="1:16" ht="31.5" customHeight="1">
      <c r="A198" s="816"/>
      <c r="B198" s="817"/>
      <c r="C198" s="817" t="s">
        <v>1711</v>
      </c>
      <c r="D198" s="764">
        <v>50</v>
      </c>
      <c r="E198" s="764"/>
      <c r="F198" s="764"/>
      <c r="G198" s="764">
        <v>50</v>
      </c>
      <c r="H198" s="764">
        <v>50</v>
      </c>
      <c r="I198" s="764"/>
      <c r="J198" s="764">
        <v>5</v>
      </c>
      <c r="K198" s="764">
        <v>45</v>
      </c>
      <c r="L198" s="764">
        <v>18</v>
      </c>
      <c r="M198" s="764">
        <v>11</v>
      </c>
      <c r="N198" s="764"/>
      <c r="O198" s="764">
        <v>16</v>
      </c>
      <c r="P198" s="818"/>
    </row>
    <row r="199" spans="1:16" ht="48.75" customHeight="1">
      <c r="A199" s="812">
        <v>20</v>
      </c>
      <c r="B199" s="813" t="s">
        <v>701</v>
      </c>
      <c r="C199" s="813"/>
      <c r="D199" s="763">
        <v>625.81999999999994</v>
      </c>
      <c r="E199" s="763">
        <v>0</v>
      </c>
      <c r="F199" s="763">
        <v>0</v>
      </c>
      <c r="G199" s="763">
        <v>625.81999999999994</v>
      </c>
      <c r="H199" s="763">
        <v>625.81999999999994</v>
      </c>
      <c r="I199" s="763">
        <v>0</v>
      </c>
      <c r="J199" s="763">
        <v>8.7560000000000002</v>
      </c>
      <c r="K199" s="763">
        <v>617.06399999999996</v>
      </c>
      <c r="L199" s="763">
        <v>43.78</v>
      </c>
      <c r="M199" s="763">
        <v>229</v>
      </c>
      <c r="N199" s="763">
        <v>0</v>
      </c>
      <c r="O199" s="763">
        <v>344.28399999999999</v>
      </c>
      <c r="P199" s="814"/>
    </row>
    <row r="200" spans="1:16" ht="31.5" customHeight="1">
      <c r="A200" s="816"/>
      <c r="B200" s="817"/>
      <c r="C200" s="817" t="s">
        <v>589</v>
      </c>
      <c r="D200" s="764">
        <v>538.26</v>
      </c>
      <c r="E200" s="764"/>
      <c r="F200" s="764"/>
      <c r="G200" s="764">
        <v>538.26</v>
      </c>
      <c r="H200" s="764">
        <v>538.26</v>
      </c>
      <c r="I200" s="764"/>
      <c r="J200" s="764"/>
      <c r="K200" s="764">
        <v>538.26</v>
      </c>
      <c r="L200" s="764"/>
      <c r="M200" s="764">
        <v>215</v>
      </c>
      <c r="N200" s="764"/>
      <c r="O200" s="764">
        <v>323.26</v>
      </c>
      <c r="P200" s="818"/>
    </row>
    <row r="201" spans="1:16" ht="31.5" customHeight="1">
      <c r="A201" s="816"/>
      <c r="B201" s="817"/>
      <c r="C201" s="817" t="s">
        <v>1715</v>
      </c>
      <c r="D201" s="764">
        <v>87.56</v>
      </c>
      <c r="E201" s="764"/>
      <c r="F201" s="764"/>
      <c r="G201" s="764">
        <v>87.56</v>
      </c>
      <c r="H201" s="764">
        <v>87.56</v>
      </c>
      <c r="I201" s="764"/>
      <c r="J201" s="764">
        <v>8.7560000000000002</v>
      </c>
      <c r="K201" s="764">
        <v>78.804000000000002</v>
      </c>
      <c r="L201" s="764">
        <v>43.78</v>
      </c>
      <c r="M201" s="764">
        <v>14</v>
      </c>
      <c r="N201" s="764"/>
      <c r="O201" s="764">
        <v>21.024000000000001</v>
      </c>
      <c r="P201" s="818"/>
    </row>
    <row r="202" spans="1:16" ht="48.75" customHeight="1">
      <c r="A202" s="812">
        <v>21</v>
      </c>
      <c r="B202" s="813" t="s">
        <v>699</v>
      </c>
      <c r="C202" s="813"/>
      <c r="D202" s="763">
        <v>1500</v>
      </c>
      <c r="E202" s="763">
        <v>0</v>
      </c>
      <c r="F202" s="763">
        <v>0</v>
      </c>
      <c r="G202" s="763">
        <v>1500</v>
      </c>
      <c r="H202" s="763">
        <v>1500</v>
      </c>
      <c r="I202" s="763">
        <v>0</v>
      </c>
      <c r="J202" s="763">
        <v>30</v>
      </c>
      <c r="K202" s="763">
        <v>1470</v>
      </c>
      <c r="L202" s="763">
        <v>80</v>
      </c>
      <c r="M202" s="763">
        <v>556</v>
      </c>
      <c r="N202" s="763">
        <v>0</v>
      </c>
      <c r="O202" s="763">
        <v>834</v>
      </c>
      <c r="P202" s="818"/>
    </row>
    <row r="203" spans="1:16" ht="31.5" customHeight="1">
      <c r="A203" s="816"/>
      <c r="B203" s="817"/>
      <c r="C203" s="817" t="s">
        <v>1716</v>
      </c>
      <c r="D203" s="764">
        <v>1200</v>
      </c>
      <c r="E203" s="764"/>
      <c r="F203" s="764"/>
      <c r="G203" s="764">
        <v>1200</v>
      </c>
      <c r="H203" s="764">
        <v>1200</v>
      </c>
      <c r="I203" s="764"/>
      <c r="J203" s="764">
        <v>0</v>
      </c>
      <c r="K203" s="764">
        <v>1200</v>
      </c>
      <c r="L203" s="764"/>
      <c r="M203" s="764">
        <v>480</v>
      </c>
      <c r="N203" s="764"/>
      <c r="O203" s="764">
        <v>720</v>
      </c>
      <c r="P203" s="818"/>
    </row>
    <row r="204" spans="1:16" ht="31.5" customHeight="1">
      <c r="A204" s="816"/>
      <c r="B204" s="817"/>
      <c r="C204" s="817" t="s">
        <v>1711</v>
      </c>
      <c r="D204" s="764">
        <v>300</v>
      </c>
      <c r="E204" s="764"/>
      <c r="F204" s="764"/>
      <c r="G204" s="764">
        <v>300</v>
      </c>
      <c r="H204" s="764">
        <v>300</v>
      </c>
      <c r="I204" s="764"/>
      <c r="J204" s="764">
        <v>30</v>
      </c>
      <c r="K204" s="764">
        <v>270</v>
      </c>
      <c r="L204" s="764">
        <v>80</v>
      </c>
      <c r="M204" s="764">
        <v>76</v>
      </c>
      <c r="N204" s="764"/>
      <c r="O204" s="764">
        <v>114</v>
      </c>
      <c r="P204" s="818"/>
    </row>
    <row r="205" spans="1:16" ht="48.75" customHeight="1">
      <c r="A205" s="812">
        <v>22</v>
      </c>
      <c r="B205" s="813" t="s">
        <v>698</v>
      </c>
      <c r="C205" s="813"/>
      <c r="D205" s="763">
        <v>142</v>
      </c>
      <c r="E205" s="763">
        <v>0</v>
      </c>
      <c r="F205" s="763">
        <v>0</v>
      </c>
      <c r="G205" s="763">
        <v>142</v>
      </c>
      <c r="H205" s="763">
        <v>142</v>
      </c>
      <c r="I205" s="763">
        <v>0</v>
      </c>
      <c r="J205" s="763">
        <v>0</v>
      </c>
      <c r="K205" s="763">
        <v>142</v>
      </c>
      <c r="L205" s="763">
        <v>0</v>
      </c>
      <c r="M205" s="763">
        <v>57</v>
      </c>
      <c r="N205" s="763">
        <v>0</v>
      </c>
      <c r="O205" s="763">
        <v>85</v>
      </c>
      <c r="P205" s="814"/>
    </row>
    <row r="206" spans="1:16" ht="31.5" customHeight="1">
      <c r="A206" s="816"/>
      <c r="B206" s="817"/>
      <c r="C206" s="817" t="s">
        <v>589</v>
      </c>
      <c r="D206" s="764">
        <v>142</v>
      </c>
      <c r="E206" s="764"/>
      <c r="F206" s="764"/>
      <c r="G206" s="764">
        <v>142</v>
      </c>
      <c r="H206" s="764">
        <v>142</v>
      </c>
      <c r="I206" s="764"/>
      <c r="J206" s="764"/>
      <c r="K206" s="764">
        <v>142</v>
      </c>
      <c r="L206" s="764"/>
      <c r="M206" s="764">
        <v>57</v>
      </c>
      <c r="N206" s="764"/>
      <c r="O206" s="764">
        <v>85</v>
      </c>
      <c r="P206" s="818"/>
    </row>
    <row r="207" spans="1:16" ht="31.5" customHeight="1">
      <c r="A207" s="816"/>
      <c r="B207" s="817"/>
      <c r="C207" s="817" t="s">
        <v>1715</v>
      </c>
      <c r="D207" s="764">
        <v>0</v>
      </c>
      <c r="E207" s="764"/>
      <c r="F207" s="764"/>
      <c r="G207" s="764">
        <v>0</v>
      </c>
      <c r="H207" s="764">
        <v>0</v>
      </c>
      <c r="I207" s="764"/>
      <c r="J207" s="764"/>
      <c r="K207" s="764">
        <v>0</v>
      </c>
      <c r="L207" s="764"/>
      <c r="M207" s="764">
        <v>0</v>
      </c>
      <c r="N207" s="764"/>
      <c r="O207" s="764">
        <v>0</v>
      </c>
      <c r="P207" s="818"/>
    </row>
    <row r="208" spans="1:16" ht="48.75" customHeight="1">
      <c r="A208" s="812">
        <v>23</v>
      </c>
      <c r="B208" s="813" t="s">
        <v>700</v>
      </c>
      <c r="C208" s="817"/>
      <c r="D208" s="763">
        <v>1272.5</v>
      </c>
      <c r="E208" s="763">
        <v>0</v>
      </c>
      <c r="F208" s="763">
        <v>0</v>
      </c>
      <c r="G208" s="763">
        <v>1272.5</v>
      </c>
      <c r="H208" s="763">
        <v>1272.5</v>
      </c>
      <c r="I208" s="763">
        <v>0</v>
      </c>
      <c r="J208" s="763">
        <v>12.2</v>
      </c>
      <c r="K208" s="763">
        <v>1260.3</v>
      </c>
      <c r="L208" s="763">
        <v>54</v>
      </c>
      <c r="M208" s="763">
        <v>483</v>
      </c>
      <c r="N208" s="763">
        <v>0</v>
      </c>
      <c r="O208" s="763">
        <v>723.3</v>
      </c>
      <c r="P208" s="814"/>
    </row>
    <row r="209" spans="1:16" ht="31.5" customHeight="1">
      <c r="A209" s="812"/>
      <c r="B209" s="813"/>
      <c r="C209" s="817" t="s">
        <v>589</v>
      </c>
      <c r="D209" s="764">
        <v>1150.5</v>
      </c>
      <c r="E209" s="764"/>
      <c r="F209" s="764"/>
      <c r="G209" s="764">
        <v>1150.5</v>
      </c>
      <c r="H209" s="764">
        <v>1150.5</v>
      </c>
      <c r="I209" s="764"/>
      <c r="J209" s="764"/>
      <c r="K209" s="764">
        <v>1150.5</v>
      </c>
      <c r="L209" s="764"/>
      <c r="M209" s="764">
        <v>461</v>
      </c>
      <c r="N209" s="764"/>
      <c r="O209" s="764">
        <v>689.5</v>
      </c>
      <c r="P209" s="818"/>
    </row>
    <row r="210" spans="1:16" ht="31.5" customHeight="1">
      <c r="A210" s="812"/>
      <c r="B210" s="813"/>
      <c r="C210" s="817" t="s">
        <v>1715</v>
      </c>
      <c r="D210" s="764">
        <v>122</v>
      </c>
      <c r="E210" s="764"/>
      <c r="F210" s="764"/>
      <c r="G210" s="764">
        <v>122</v>
      </c>
      <c r="H210" s="764">
        <v>122</v>
      </c>
      <c r="I210" s="764"/>
      <c r="J210" s="764">
        <v>12.2</v>
      </c>
      <c r="K210" s="764">
        <v>109.8</v>
      </c>
      <c r="L210" s="764">
        <v>54</v>
      </c>
      <c r="M210" s="764">
        <v>22</v>
      </c>
      <c r="N210" s="764"/>
      <c r="O210" s="764">
        <v>33.799999999999997</v>
      </c>
      <c r="P210" s="818"/>
    </row>
    <row r="211" spans="1:16" ht="48.75" customHeight="1">
      <c r="A211" s="812">
        <v>24</v>
      </c>
      <c r="B211" s="813" t="s">
        <v>697</v>
      </c>
      <c r="C211" s="813"/>
      <c r="D211" s="763">
        <v>2290</v>
      </c>
      <c r="E211" s="763">
        <v>0</v>
      </c>
      <c r="F211" s="763">
        <v>0</v>
      </c>
      <c r="G211" s="763">
        <v>2290</v>
      </c>
      <c r="H211" s="763">
        <v>2290</v>
      </c>
      <c r="I211" s="763">
        <v>0</v>
      </c>
      <c r="J211" s="763">
        <v>30</v>
      </c>
      <c r="K211" s="763">
        <v>2260</v>
      </c>
      <c r="L211" s="763">
        <v>133.4</v>
      </c>
      <c r="M211" s="763">
        <v>851</v>
      </c>
      <c r="N211" s="763">
        <v>144</v>
      </c>
      <c r="O211" s="763">
        <v>1131.5999999999999</v>
      </c>
      <c r="P211" s="818"/>
    </row>
    <row r="212" spans="1:16" ht="31.5" customHeight="1">
      <c r="A212" s="816"/>
      <c r="B212" s="817"/>
      <c r="C212" s="817" t="s">
        <v>589</v>
      </c>
      <c r="D212" s="764">
        <v>1990</v>
      </c>
      <c r="E212" s="764"/>
      <c r="F212" s="764"/>
      <c r="G212" s="764">
        <v>1990</v>
      </c>
      <c r="H212" s="764">
        <v>1990</v>
      </c>
      <c r="I212" s="764"/>
      <c r="J212" s="764">
        <v>0</v>
      </c>
      <c r="K212" s="764">
        <v>1990</v>
      </c>
      <c r="L212" s="764"/>
      <c r="M212" s="764">
        <v>796</v>
      </c>
      <c r="N212" s="764">
        <v>122</v>
      </c>
      <c r="O212" s="764">
        <v>1072</v>
      </c>
      <c r="P212" s="818"/>
    </row>
    <row r="213" spans="1:16" ht="31.5" customHeight="1">
      <c r="A213" s="816"/>
      <c r="B213" s="817"/>
      <c r="C213" s="817" t="s">
        <v>1715</v>
      </c>
      <c r="D213" s="764">
        <v>220</v>
      </c>
      <c r="E213" s="764"/>
      <c r="F213" s="764"/>
      <c r="G213" s="764">
        <v>220</v>
      </c>
      <c r="H213" s="764">
        <v>220</v>
      </c>
      <c r="I213" s="764"/>
      <c r="J213" s="764">
        <v>22</v>
      </c>
      <c r="K213" s="764">
        <v>198</v>
      </c>
      <c r="L213" s="764">
        <v>83.4</v>
      </c>
      <c r="M213" s="764">
        <v>46</v>
      </c>
      <c r="N213" s="764">
        <v>16</v>
      </c>
      <c r="O213" s="764">
        <v>52.599999999999994</v>
      </c>
      <c r="P213" s="818"/>
    </row>
    <row r="214" spans="1:16" ht="31.5" customHeight="1">
      <c r="A214" s="816"/>
      <c r="B214" s="817"/>
      <c r="C214" s="817" t="s">
        <v>38</v>
      </c>
      <c r="D214" s="764">
        <v>80</v>
      </c>
      <c r="E214" s="764"/>
      <c r="F214" s="764"/>
      <c r="G214" s="764">
        <v>80</v>
      </c>
      <c r="H214" s="764">
        <v>80</v>
      </c>
      <c r="I214" s="764"/>
      <c r="J214" s="764">
        <v>8</v>
      </c>
      <c r="K214" s="764">
        <v>72</v>
      </c>
      <c r="L214" s="764">
        <v>50</v>
      </c>
      <c r="M214" s="764">
        <v>9</v>
      </c>
      <c r="N214" s="764">
        <v>6</v>
      </c>
      <c r="O214" s="764">
        <v>7</v>
      </c>
      <c r="P214" s="818"/>
    </row>
    <row r="215" spans="1:16" ht="48.75" customHeight="1">
      <c r="A215" s="812">
        <v>25</v>
      </c>
      <c r="B215" s="813" t="s">
        <v>696</v>
      </c>
      <c r="C215" s="813"/>
      <c r="D215" s="763">
        <v>1790</v>
      </c>
      <c r="E215" s="763">
        <v>0</v>
      </c>
      <c r="F215" s="763">
        <v>0</v>
      </c>
      <c r="G215" s="763">
        <v>1790</v>
      </c>
      <c r="H215" s="763">
        <v>1790</v>
      </c>
      <c r="I215" s="763">
        <v>0</v>
      </c>
      <c r="J215" s="763">
        <v>29</v>
      </c>
      <c r="K215" s="763">
        <v>1761</v>
      </c>
      <c r="L215" s="763">
        <v>24</v>
      </c>
      <c r="M215" s="763">
        <v>695</v>
      </c>
      <c r="N215" s="763">
        <v>90</v>
      </c>
      <c r="O215" s="763">
        <v>952</v>
      </c>
      <c r="P215" s="814"/>
    </row>
    <row r="216" spans="1:16" ht="31.5" customHeight="1">
      <c r="A216" s="816"/>
      <c r="B216" s="817"/>
      <c r="C216" s="817" t="s">
        <v>589</v>
      </c>
      <c r="D216" s="764">
        <v>1500</v>
      </c>
      <c r="E216" s="764"/>
      <c r="F216" s="764"/>
      <c r="G216" s="764">
        <v>1500</v>
      </c>
      <c r="H216" s="764">
        <v>1500</v>
      </c>
      <c r="I216" s="764"/>
      <c r="J216" s="764"/>
      <c r="K216" s="764">
        <v>1500</v>
      </c>
      <c r="L216" s="764"/>
      <c r="M216" s="764">
        <v>600</v>
      </c>
      <c r="N216" s="764">
        <v>90</v>
      </c>
      <c r="O216" s="764">
        <v>810</v>
      </c>
      <c r="P216" s="818"/>
    </row>
    <row r="217" spans="1:16" ht="31.5" customHeight="1">
      <c r="A217" s="816"/>
      <c r="B217" s="817"/>
      <c r="C217" s="817" t="s">
        <v>1715</v>
      </c>
      <c r="D217" s="764">
        <v>230</v>
      </c>
      <c r="E217" s="764"/>
      <c r="F217" s="764"/>
      <c r="G217" s="764">
        <v>230</v>
      </c>
      <c r="H217" s="764">
        <v>230</v>
      </c>
      <c r="I217" s="764"/>
      <c r="J217" s="764">
        <v>23</v>
      </c>
      <c r="K217" s="764">
        <v>207</v>
      </c>
      <c r="L217" s="764">
        <v>19</v>
      </c>
      <c r="M217" s="764">
        <v>75</v>
      </c>
      <c r="N217" s="764">
        <v>0</v>
      </c>
      <c r="O217" s="764">
        <v>113</v>
      </c>
      <c r="P217" s="818"/>
    </row>
    <row r="218" spans="1:16" ht="31.5" customHeight="1">
      <c r="A218" s="816"/>
      <c r="B218" s="817"/>
      <c r="C218" s="817" t="s">
        <v>38</v>
      </c>
      <c r="D218" s="764">
        <v>60</v>
      </c>
      <c r="E218" s="764"/>
      <c r="F218" s="764"/>
      <c r="G218" s="764">
        <v>60</v>
      </c>
      <c r="H218" s="764">
        <v>60</v>
      </c>
      <c r="I218" s="764"/>
      <c r="J218" s="764">
        <v>6</v>
      </c>
      <c r="K218" s="764">
        <v>54</v>
      </c>
      <c r="L218" s="764">
        <v>5</v>
      </c>
      <c r="M218" s="764">
        <v>20</v>
      </c>
      <c r="N218" s="764">
        <v>0</v>
      </c>
      <c r="O218" s="764">
        <v>29</v>
      </c>
      <c r="P218" s="818"/>
    </row>
    <row r="219" spans="1:16" ht="79.5" customHeight="1">
      <c r="A219" s="812">
        <v>26</v>
      </c>
      <c r="B219" s="813" t="s">
        <v>695</v>
      </c>
      <c r="C219" s="813"/>
      <c r="D219" s="763">
        <v>1856.31</v>
      </c>
      <c r="E219" s="763">
        <v>0</v>
      </c>
      <c r="F219" s="763">
        <v>0</v>
      </c>
      <c r="G219" s="763">
        <v>1856.31</v>
      </c>
      <c r="H219" s="763">
        <v>1856.31</v>
      </c>
      <c r="I219" s="763">
        <v>0</v>
      </c>
      <c r="J219" s="763">
        <v>29</v>
      </c>
      <c r="K219" s="763">
        <v>1827.31</v>
      </c>
      <c r="L219" s="763">
        <v>94.12</v>
      </c>
      <c r="M219" s="763">
        <v>693</v>
      </c>
      <c r="N219" s="763">
        <v>0</v>
      </c>
      <c r="O219" s="763">
        <v>1040.19</v>
      </c>
      <c r="P219" s="814"/>
    </row>
    <row r="220" spans="1:16" ht="31.5" customHeight="1">
      <c r="A220" s="816"/>
      <c r="B220" s="817"/>
      <c r="C220" s="817" t="s">
        <v>589</v>
      </c>
      <c r="D220" s="764">
        <v>1566.31</v>
      </c>
      <c r="E220" s="764"/>
      <c r="F220" s="764"/>
      <c r="G220" s="764">
        <v>1566.31</v>
      </c>
      <c r="H220" s="764">
        <v>1566.31</v>
      </c>
      <c r="I220" s="764"/>
      <c r="J220" s="764"/>
      <c r="K220" s="764">
        <v>1566.31</v>
      </c>
      <c r="L220" s="764"/>
      <c r="M220" s="764">
        <v>627</v>
      </c>
      <c r="N220" s="764"/>
      <c r="O220" s="764">
        <v>939.31</v>
      </c>
      <c r="P220" s="818"/>
    </row>
    <row r="221" spans="1:16" ht="31.5" customHeight="1">
      <c r="A221" s="816"/>
      <c r="B221" s="817"/>
      <c r="C221" s="817" t="s">
        <v>1715</v>
      </c>
      <c r="D221" s="764">
        <v>270</v>
      </c>
      <c r="E221" s="764"/>
      <c r="F221" s="764"/>
      <c r="G221" s="764">
        <v>270</v>
      </c>
      <c r="H221" s="764">
        <v>270</v>
      </c>
      <c r="I221" s="764"/>
      <c r="J221" s="764">
        <v>27</v>
      </c>
      <c r="K221" s="764">
        <v>243</v>
      </c>
      <c r="L221" s="764">
        <v>87.12</v>
      </c>
      <c r="M221" s="764">
        <v>62</v>
      </c>
      <c r="N221" s="764"/>
      <c r="O221" s="764">
        <v>93.88</v>
      </c>
      <c r="P221" s="818"/>
    </row>
    <row r="222" spans="1:16" ht="31.5" customHeight="1">
      <c r="A222" s="816"/>
      <c r="B222" s="817"/>
      <c r="C222" s="817" t="s">
        <v>38</v>
      </c>
      <c r="D222" s="764">
        <v>20</v>
      </c>
      <c r="E222" s="764"/>
      <c r="F222" s="764"/>
      <c r="G222" s="764">
        <v>20</v>
      </c>
      <c r="H222" s="764">
        <v>20</v>
      </c>
      <c r="I222" s="764"/>
      <c r="J222" s="764">
        <v>2</v>
      </c>
      <c r="K222" s="764">
        <v>18</v>
      </c>
      <c r="L222" s="764">
        <v>7</v>
      </c>
      <c r="M222" s="764">
        <v>4</v>
      </c>
      <c r="N222" s="764"/>
      <c r="O222" s="764">
        <v>7</v>
      </c>
      <c r="P222" s="818"/>
    </row>
    <row r="223" spans="1:16" ht="48.75" customHeight="1">
      <c r="A223" s="812" t="s">
        <v>368</v>
      </c>
      <c r="B223" s="813" t="s">
        <v>1714</v>
      </c>
      <c r="C223" s="813"/>
      <c r="D223" s="763">
        <v>2181.17</v>
      </c>
      <c r="E223" s="763">
        <v>0</v>
      </c>
      <c r="F223" s="763">
        <v>0</v>
      </c>
      <c r="G223" s="763">
        <v>2181.17</v>
      </c>
      <c r="H223" s="763">
        <v>2181.17</v>
      </c>
      <c r="I223" s="763">
        <v>0</v>
      </c>
      <c r="J223" s="763">
        <v>42.78</v>
      </c>
      <c r="K223" s="763">
        <v>2138.39</v>
      </c>
      <c r="L223" s="763">
        <v>608.48</v>
      </c>
      <c r="M223" s="763">
        <v>612</v>
      </c>
      <c r="N223" s="763">
        <v>0</v>
      </c>
      <c r="O223" s="763">
        <v>917.91</v>
      </c>
      <c r="P223" s="814"/>
    </row>
    <row r="224" spans="1:16" ht="48.75" customHeight="1">
      <c r="A224" s="812">
        <v>27</v>
      </c>
      <c r="B224" s="813" t="s">
        <v>694</v>
      </c>
      <c r="C224" s="813"/>
      <c r="D224" s="763">
        <v>1279.3</v>
      </c>
      <c r="E224" s="763">
        <v>0</v>
      </c>
      <c r="F224" s="763">
        <v>0</v>
      </c>
      <c r="G224" s="763">
        <v>1279.3</v>
      </c>
      <c r="H224" s="763">
        <v>1279.3</v>
      </c>
      <c r="I224" s="763">
        <v>0</v>
      </c>
      <c r="J224" s="763">
        <v>30</v>
      </c>
      <c r="K224" s="763">
        <v>1249.3</v>
      </c>
      <c r="L224" s="763">
        <v>276</v>
      </c>
      <c r="M224" s="763">
        <v>389</v>
      </c>
      <c r="N224" s="763">
        <v>0</v>
      </c>
      <c r="O224" s="763">
        <v>584.29999999999995</v>
      </c>
      <c r="P224" s="814"/>
    </row>
    <row r="225" spans="1:16" ht="31.5" customHeight="1">
      <c r="A225" s="892"/>
      <c r="B225" s="893"/>
      <c r="C225" s="893" t="s">
        <v>589</v>
      </c>
      <c r="D225" s="764">
        <v>699.3</v>
      </c>
      <c r="E225" s="764"/>
      <c r="F225" s="764"/>
      <c r="G225" s="764">
        <v>699.3</v>
      </c>
      <c r="H225" s="764">
        <v>699.3</v>
      </c>
      <c r="I225" s="764"/>
      <c r="J225" s="763"/>
      <c r="K225" s="764">
        <v>699.3</v>
      </c>
      <c r="L225" s="764"/>
      <c r="M225" s="764">
        <v>279</v>
      </c>
      <c r="N225" s="764"/>
      <c r="O225" s="764">
        <v>420.29999999999995</v>
      </c>
      <c r="P225" s="894"/>
    </row>
    <row r="226" spans="1:16" ht="31.5" customHeight="1">
      <c r="A226" s="892"/>
      <c r="B226" s="893"/>
      <c r="C226" s="893" t="s">
        <v>1713</v>
      </c>
      <c r="D226" s="764">
        <v>520</v>
      </c>
      <c r="E226" s="764"/>
      <c r="F226" s="764"/>
      <c r="G226" s="764">
        <v>520</v>
      </c>
      <c r="H226" s="764">
        <v>520</v>
      </c>
      <c r="I226" s="764"/>
      <c r="J226" s="764">
        <v>24</v>
      </c>
      <c r="K226" s="764">
        <v>496</v>
      </c>
      <c r="L226" s="764">
        <v>246</v>
      </c>
      <c r="M226" s="764">
        <v>100</v>
      </c>
      <c r="N226" s="764"/>
      <c r="O226" s="764">
        <v>150</v>
      </c>
      <c r="P226" s="894"/>
    </row>
    <row r="227" spans="1:16" ht="31.5" customHeight="1">
      <c r="A227" s="892"/>
      <c r="B227" s="893"/>
      <c r="C227" s="893" t="s">
        <v>38</v>
      </c>
      <c r="D227" s="764">
        <v>60</v>
      </c>
      <c r="E227" s="764"/>
      <c r="F227" s="764"/>
      <c r="G227" s="764">
        <v>60</v>
      </c>
      <c r="H227" s="764">
        <v>60</v>
      </c>
      <c r="I227" s="764"/>
      <c r="J227" s="764">
        <v>6</v>
      </c>
      <c r="K227" s="764">
        <v>54</v>
      </c>
      <c r="L227" s="764">
        <v>30</v>
      </c>
      <c r="M227" s="764">
        <v>10</v>
      </c>
      <c r="N227" s="764"/>
      <c r="O227" s="764">
        <v>14</v>
      </c>
      <c r="P227" s="894"/>
    </row>
    <row r="228" spans="1:16" ht="30.75" customHeight="1">
      <c r="A228" s="895">
        <v>28</v>
      </c>
      <c r="B228" s="813" t="s">
        <v>1712</v>
      </c>
      <c r="C228" s="889"/>
      <c r="D228" s="763">
        <v>901.87</v>
      </c>
      <c r="E228" s="763">
        <v>0</v>
      </c>
      <c r="F228" s="763">
        <v>0</v>
      </c>
      <c r="G228" s="763">
        <v>901.87</v>
      </c>
      <c r="H228" s="763">
        <v>901.87</v>
      </c>
      <c r="I228" s="763">
        <v>0</v>
      </c>
      <c r="J228" s="763">
        <v>12.78</v>
      </c>
      <c r="K228" s="763">
        <v>889.09</v>
      </c>
      <c r="L228" s="763">
        <v>332.48</v>
      </c>
      <c r="M228" s="763">
        <v>223</v>
      </c>
      <c r="N228" s="763">
        <v>0</v>
      </c>
      <c r="O228" s="763">
        <v>333.61</v>
      </c>
      <c r="P228" s="890"/>
    </row>
    <row r="229" spans="1:16" ht="31.5" customHeight="1">
      <c r="A229" s="896"/>
      <c r="B229" s="897"/>
      <c r="C229" s="817" t="s">
        <v>589</v>
      </c>
      <c r="D229" s="764">
        <v>397.87</v>
      </c>
      <c r="E229" s="764"/>
      <c r="F229" s="764"/>
      <c r="G229" s="764">
        <v>397.87</v>
      </c>
      <c r="H229" s="764">
        <v>397.87</v>
      </c>
      <c r="I229" s="764"/>
      <c r="J229" s="764">
        <v>0</v>
      </c>
      <c r="K229" s="764">
        <v>397.87</v>
      </c>
      <c r="L229" s="764"/>
      <c r="M229" s="764">
        <v>159</v>
      </c>
      <c r="N229" s="764"/>
      <c r="O229" s="764">
        <v>238.87</v>
      </c>
      <c r="P229" s="886"/>
    </row>
    <row r="230" spans="1:16" ht="31.5" customHeight="1">
      <c r="A230" s="896"/>
      <c r="B230" s="897"/>
      <c r="C230" s="817" t="s">
        <v>1711</v>
      </c>
      <c r="D230" s="764">
        <v>54</v>
      </c>
      <c r="E230" s="764"/>
      <c r="F230" s="764"/>
      <c r="G230" s="764">
        <v>54</v>
      </c>
      <c r="H230" s="764">
        <v>54</v>
      </c>
      <c r="I230" s="764"/>
      <c r="J230" s="764">
        <v>3.78</v>
      </c>
      <c r="K230" s="764">
        <v>50.22</v>
      </c>
      <c r="L230" s="764">
        <v>23.78</v>
      </c>
      <c r="M230" s="764">
        <v>11</v>
      </c>
      <c r="N230" s="764"/>
      <c r="O230" s="764">
        <v>15.439999999999998</v>
      </c>
      <c r="P230" s="886"/>
    </row>
    <row r="231" spans="1:16" ht="31.5" customHeight="1">
      <c r="A231" s="896"/>
      <c r="B231" s="897"/>
      <c r="C231" s="817" t="s">
        <v>1709</v>
      </c>
      <c r="D231" s="764">
        <v>450</v>
      </c>
      <c r="E231" s="764"/>
      <c r="F231" s="764"/>
      <c r="G231" s="764">
        <v>450</v>
      </c>
      <c r="H231" s="764">
        <v>450</v>
      </c>
      <c r="I231" s="764"/>
      <c r="J231" s="764">
        <v>9</v>
      </c>
      <c r="K231" s="764">
        <v>441</v>
      </c>
      <c r="L231" s="764">
        <v>308.7</v>
      </c>
      <c r="M231" s="764">
        <v>53</v>
      </c>
      <c r="N231" s="764"/>
      <c r="O231" s="764">
        <v>79.300000000000011</v>
      </c>
      <c r="P231" s="886"/>
    </row>
    <row r="232" spans="1:16" ht="31.5" customHeight="1">
      <c r="A232" s="812" t="s">
        <v>368</v>
      </c>
      <c r="B232" s="813" t="s">
        <v>1710</v>
      </c>
      <c r="C232" s="813"/>
      <c r="D232" s="763">
        <v>4018</v>
      </c>
      <c r="E232" s="763">
        <v>0</v>
      </c>
      <c r="F232" s="763">
        <v>0</v>
      </c>
      <c r="G232" s="763">
        <v>4018</v>
      </c>
      <c r="H232" s="763">
        <v>4018</v>
      </c>
      <c r="I232" s="763">
        <v>0</v>
      </c>
      <c r="J232" s="763">
        <v>40</v>
      </c>
      <c r="K232" s="763">
        <v>3978</v>
      </c>
      <c r="L232" s="763">
        <v>958</v>
      </c>
      <c r="M232" s="763">
        <v>1208</v>
      </c>
      <c r="N232" s="763">
        <v>188</v>
      </c>
      <c r="O232" s="763">
        <v>1624</v>
      </c>
      <c r="P232" s="763">
        <v>0</v>
      </c>
    </row>
    <row r="233" spans="1:16" ht="48.75" customHeight="1">
      <c r="A233" s="812">
        <v>29</v>
      </c>
      <c r="B233" s="813" t="s">
        <v>692</v>
      </c>
      <c r="C233" s="813"/>
      <c r="D233" s="763">
        <v>4018</v>
      </c>
      <c r="E233" s="763">
        <v>0</v>
      </c>
      <c r="F233" s="763">
        <v>0</v>
      </c>
      <c r="G233" s="763">
        <v>4018</v>
      </c>
      <c r="H233" s="763">
        <v>4018</v>
      </c>
      <c r="I233" s="763">
        <v>0</v>
      </c>
      <c r="J233" s="763">
        <v>40</v>
      </c>
      <c r="K233" s="763">
        <v>3978</v>
      </c>
      <c r="L233" s="763">
        <v>958</v>
      </c>
      <c r="M233" s="763">
        <v>1208</v>
      </c>
      <c r="N233" s="763">
        <v>188</v>
      </c>
      <c r="O233" s="763">
        <v>1624</v>
      </c>
      <c r="P233" s="814"/>
    </row>
    <row r="234" spans="1:16" ht="31.5" customHeight="1">
      <c r="A234" s="816"/>
      <c r="B234" s="817"/>
      <c r="C234" s="817" t="s">
        <v>589</v>
      </c>
      <c r="D234" s="764">
        <v>2678</v>
      </c>
      <c r="E234" s="764"/>
      <c r="F234" s="764"/>
      <c r="G234" s="764">
        <v>2678</v>
      </c>
      <c r="H234" s="764">
        <v>2678</v>
      </c>
      <c r="I234" s="764">
        <v>0</v>
      </c>
      <c r="J234" s="764">
        <v>0</v>
      </c>
      <c r="K234" s="764">
        <v>2678</v>
      </c>
      <c r="L234" s="764">
        <v>0</v>
      </c>
      <c r="M234" s="764">
        <v>1071</v>
      </c>
      <c r="N234" s="764">
        <v>167</v>
      </c>
      <c r="O234" s="764">
        <v>1440</v>
      </c>
      <c r="P234" s="898"/>
    </row>
    <row r="235" spans="1:16" ht="31.5" customHeight="1">
      <c r="A235" s="816"/>
      <c r="B235" s="817"/>
      <c r="C235" s="817" t="s">
        <v>1709</v>
      </c>
      <c r="D235" s="764">
        <v>490</v>
      </c>
      <c r="E235" s="764"/>
      <c r="F235" s="764"/>
      <c r="G235" s="764">
        <v>490</v>
      </c>
      <c r="H235" s="764">
        <v>490</v>
      </c>
      <c r="I235" s="764"/>
      <c r="J235" s="764">
        <v>10</v>
      </c>
      <c r="K235" s="764">
        <v>480</v>
      </c>
      <c r="L235" s="764">
        <v>288</v>
      </c>
      <c r="M235" s="764">
        <v>77</v>
      </c>
      <c r="N235" s="764">
        <v>12</v>
      </c>
      <c r="O235" s="764">
        <v>103</v>
      </c>
      <c r="P235" s="898"/>
    </row>
    <row r="236" spans="1:16" ht="31.5" customHeight="1">
      <c r="A236" s="816"/>
      <c r="B236" s="817"/>
      <c r="C236" s="817" t="s">
        <v>538</v>
      </c>
      <c r="D236" s="764">
        <v>600</v>
      </c>
      <c r="E236" s="764"/>
      <c r="F236" s="764"/>
      <c r="G236" s="764">
        <v>600</v>
      </c>
      <c r="H236" s="764">
        <v>600</v>
      </c>
      <c r="I236" s="764"/>
      <c r="J236" s="764">
        <v>30</v>
      </c>
      <c r="K236" s="764">
        <v>570</v>
      </c>
      <c r="L236" s="764">
        <v>420</v>
      </c>
      <c r="M236" s="764">
        <v>60</v>
      </c>
      <c r="N236" s="764">
        <v>9</v>
      </c>
      <c r="O236" s="764">
        <v>81</v>
      </c>
      <c r="P236" s="898"/>
    </row>
    <row r="237" spans="1:16" ht="31.5" customHeight="1">
      <c r="A237" s="816"/>
      <c r="B237" s="817"/>
      <c r="C237" s="817" t="s">
        <v>1708</v>
      </c>
      <c r="D237" s="764">
        <v>250</v>
      </c>
      <c r="E237" s="764"/>
      <c r="F237" s="764"/>
      <c r="G237" s="764">
        <v>250</v>
      </c>
      <c r="H237" s="764">
        <v>250</v>
      </c>
      <c r="I237" s="764"/>
      <c r="J237" s="764">
        <v>0</v>
      </c>
      <c r="K237" s="764">
        <v>250</v>
      </c>
      <c r="L237" s="764">
        <v>250</v>
      </c>
      <c r="M237" s="764">
        <v>0</v>
      </c>
      <c r="N237" s="764">
        <v>0</v>
      </c>
      <c r="O237" s="764">
        <v>0</v>
      </c>
      <c r="P237" s="898"/>
    </row>
    <row r="238" spans="1:16" ht="31.5" customHeight="1">
      <c r="A238" s="812" t="s">
        <v>368</v>
      </c>
      <c r="B238" s="813" t="s">
        <v>1707</v>
      </c>
      <c r="C238" s="813"/>
      <c r="D238" s="763">
        <v>60</v>
      </c>
      <c r="E238" s="763">
        <v>0</v>
      </c>
      <c r="F238" s="763">
        <f>F239</f>
        <v>60</v>
      </c>
      <c r="G238" s="763"/>
      <c r="H238" s="763">
        <v>60</v>
      </c>
      <c r="I238" s="763">
        <v>0</v>
      </c>
      <c r="J238" s="763">
        <v>0</v>
      </c>
      <c r="K238" s="763">
        <v>60</v>
      </c>
      <c r="L238" s="763">
        <v>60</v>
      </c>
      <c r="M238" s="763">
        <v>0</v>
      </c>
      <c r="N238" s="763">
        <v>0</v>
      </c>
      <c r="O238" s="763">
        <v>0</v>
      </c>
      <c r="P238" s="763">
        <v>0</v>
      </c>
    </row>
    <row r="239" spans="1:16" ht="48.75" customHeight="1">
      <c r="A239" s="899">
        <v>30</v>
      </c>
      <c r="B239" s="900" t="s">
        <v>410</v>
      </c>
      <c r="C239" s="901" t="s">
        <v>1706</v>
      </c>
      <c r="D239" s="762">
        <v>60</v>
      </c>
      <c r="E239" s="762"/>
      <c r="F239" s="762">
        <v>60</v>
      </c>
      <c r="G239" s="762"/>
      <c r="H239" s="762">
        <v>60</v>
      </c>
      <c r="I239" s="762"/>
      <c r="J239" s="762">
        <v>0</v>
      </c>
      <c r="K239" s="762">
        <v>60</v>
      </c>
      <c r="L239" s="762">
        <v>60</v>
      </c>
      <c r="M239" s="762"/>
      <c r="N239" s="762"/>
      <c r="O239" s="762"/>
      <c r="P239" s="902"/>
    </row>
  </sheetData>
  <mergeCells count="14">
    <mergeCell ref="A1:P1"/>
    <mergeCell ref="N3:P3"/>
    <mergeCell ref="A4:A5"/>
    <mergeCell ref="B4:B5"/>
    <mergeCell ref="C4:C5"/>
    <mergeCell ref="D4:D5"/>
    <mergeCell ref="E4:G4"/>
    <mergeCell ref="H4:H5"/>
    <mergeCell ref="I4:I5"/>
    <mergeCell ref="A2:P2"/>
    <mergeCell ref="J4:J5"/>
    <mergeCell ref="K4:K5"/>
    <mergeCell ref="L4:O4"/>
    <mergeCell ref="P4:P5"/>
  </mergeCells>
  <printOptions horizontalCentered="1"/>
  <pageMargins left="0.39370078740157483" right="0.11811023622047245" top="0.59055118110236227" bottom="0.52" header="0.31496062992125984" footer="0.31496062992125984"/>
  <pageSetup paperSize="9" scale="58" fitToHeight="100" orientation="landscape" r:id="rId1"/>
  <headerFooter>
    <oddFooter>&amp;C&amp;P</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25"/>
  <sheetViews>
    <sheetView workbookViewId="0">
      <selection activeCell="F10" sqref="F10"/>
    </sheetView>
  </sheetViews>
  <sheetFormatPr defaultColWidth="9.125" defaultRowHeight="15"/>
  <cols>
    <col min="1" max="1" width="6" style="477" customWidth="1"/>
    <col min="2" max="2" width="21" style="477" customWidth="1"/>
    <col min="3" max="3" width="28.125" style="477" customWidth="1"/>
    <col min="4" max="4" width="32.875" style="477" customWidth="1"/>
    <col min="5" max="5" width="16.875" style="477" customWidth="1"/>
    <col min="6" max="6" width="16.125" style="477" customWidth="1"/>
    <col min="7" max="7" width="16.875" style="477" customWidth="1"/>
    <col min="8" max="8" width="14.875" style="477" customWidth="1"/>
    <col min="9" max="9" width="16.875" style="477" customWidth="1"/>
    <col min="10" max="16384" width="9.125" style="477"/>
  </cols>
  <sheetData>
    <row r="1" spans="1:9" ht="40.5" customHeight="1">
      <c r="A1" s="1132" t="s">
        <v>1472</v>
      </c>
      <c r="B1" s="1133"/>
      <c r="C1" s="1133"/>
      <c r="D1" s="1133"/>
      <c r="E1" s="1133"/>
      <c r="F1" s="1133"/>
      <c r="G1" s="1133"/>
      <c r="H1" s="1133"/>
      <c r="I1" s="1133"/>
    </row>
    <row r="2" spans="1:9" ht="23.25" customHeight="1">
      <c r="A2" s="1134" t="str">
        <f>'B2'!A2:Q2</f>
        <v>(Kèm theo Quyết định số: 2255/QĐ-UBND ngày 15 tháng 12 năm 2024 của UBND tỉnh Lạng Sơn)</v>
      </c>
      <c r="B2" s="1134"/>
      <c r="C2" s="1134"/>
      <c r="D2" s="1134"/>
      <c r="E2" s="1134"/>
      <c r="F2" s="1134"/>
      <c r="G2" s="1134"/>
      <c r="H2" s="1134"/>
      <c r="I2" s="1134"/>
    </row>
    <row r="3" spans="1:9" ht="18.75">
      <c r="A3" s="411"/>
      <c r="B3" s="411"/>
      <c r="C3" s="411"/>
      <c r="D3" s="412"/>
      <c r="E3" s="413"/>
      <c r="F3" s="413"/>
      <c r="G3" s="413"/>
      <c r="H3" s="1140" t="s">
        <v>1097</v>
      </c>
      <c r="I3" s="1140"/>
    </row>
    <row r="4" spans="1:9" ht="15.75" customHeight="1">
      <c r="A4" s="1135" t="s">
        <v>0</v>
      </c>
      <c r="B4" s="1135" t="s">
        <v>897</v>
      </c>
      <c r="C4" s="1135" t="s">
        <v>900</v>
      </c>
      <c r="D4" s="1135" t="s">
        <v>242</v>
      </c>
      <c r="E4" s="1135" t="s">
        <v>243</v>
      </c>
      <c r="F4" s="1137" t="s">
        <v>244</v>
      </c>
      <c r="G4" s="1138"/>
      <c r="H4" s="1139"/>
      <c r="I4" s="1141" t="s">
        <v>1109</v>
      </c>
    </row>
    <row r="5" spans="1:9" ht="69.75" customHeight="1">
      <c r="A5" s="1136"/>
      <c r="B5" s="1136"/>
      <c r="C5" s="1136"/>
      <c r="D5" s="1136"/>
      <c r="E5" s="1136"/>
      <c r="F5" s="410" t="s">
        <v>246</v>
      </c>
      <c r="G5" s="410" t="s">
        <v>247</v>
      </c>
      <c r="H5" s="410" t="s">
        <v>248</v>
      </c>
      <c r="I5" s="1142"/>
    </row>
    <row r="6" spans="1:9" ht="20.25" customHeight="1">
      <c r="A6" s="414" t="s">
        <v>27</v>
      </c>
      <c r="B6" s="414" t="s">
        <v>28</v>
      </c>
      <c r="C6" s="414" t="s">
        <v>212</v>
      </c>
      <c r="D6" s="414" t="s">
        <v>216</v>
      </c>
      <c r="E6" s="414">
        <v>1</v>
      </c>
      <c r="F6" s="414">
        <v>2</v>
      </c>
      <c r="G6" s="414">
        <v>3</v>
      </c>
      <c r="H6" s="414">
        <v>4</v>
      </c>
      <c r="I6" s="414">
        <v>5</v>
      </c>
    </row>
    <row r="7" spans="1:9" s="491" customFormat="1" ht="29.25" customHeight="1">
      <c r="A7" s="416"/>
      <c r="B7" s="417" t="s">
        <v>249</v>
      </c>
      <c r="C7" s="417"/>
      <c r="D7" s="417"/>
      <c r="E7" s="418">
        <f>E8+E18+E24</f>
        <v>85713039717</v>
      </c>
      <c r="F7" s="418">
        <f>F8+F18+F24</f>
        <v>1422155036</v>
      </c>
      <c r="G7" s="418">
        <f>G8+G18+G24</f>
        <v>1422155036</v>
      </c>
      <c r="H7" s="418">
        <f>H8+H18+H24</f>
        <v>0</v>
      </c>
      <c r="I7" s="418">
        <f>I8+I18+I24</f>
        <v>1402653555</v>
      </c>
    </row>
    <row r="8" spans="1:9" s="906" customFormat="1" ht="29.25" customHeight="1">
      <c r="A8" s="1124">
        <v>1</v>
      </c>
      <c r="B8" s="1127" t="s">
        <v>250</v>
      </c>
      <c r="C8" s="448" t="s">
        <v>510</v>
      </c>
      <c r="D8" s="449"/>
      <c r="E8" s="419">
        <f>SUM(E9:E17)</f>
        <v>19046420412</v>
      </c>
      <c r="F8" s="419">
        <f>SUM(F9:F17)</f>
        <v>394626341</v>
      </c>
      <c r="G8" s="419">
        <f>SUM(G9:G17)</f>
        <v>394626341</v>
      </c>
      <c r="H8" s="419">
        <f>SUM(H9:H17)</f>
        <v>0</v>
      </c>
      <c r="I8" s="419">
        <f>SUM(I9:I17)</f>
        <v>386696772</v>
      </c>
    </row>
    <row r="9" spans="1:9" s="491" customFormat="1" ht="29.25" customHeight="1">
      <c r="A9" s="1125"/>
      <c r="B9" s="1128"/>
      <c r="C9" s="447" t="s">
        <v>1154</v>
      </c>
      <c r="D9" s="447" t="s">
        <v>1172</v>
      </c>
      <c r="E9" s="443">
        <v>6829276600</v>
      </c>
      <c r="F9" s="442">
        <f>G9+H9</f>
        <v>136527360</v>
      </c>
      <c r="G9" s="442">
        <v>136527360</v>
      </c>
      <c r="H9" s="442"/>
      <c r="I9" s="442">
        <v>136527360</v>
      </c>
    </row>
    <row r="10" spans="1:9" s="491" customFormat="1" ht="50.25" customHeight="1">
      <c r="A10" s="1125"/>
      <c r="B10" s="1128"/>
      <c r="C10" s="447" t="s">
        <v>1155</v>
      </c>
      <c r="D10" s="447" t="s">
        <v>1173</v>
      </c>
      <c r="E10" s="443">
        <v>3962401200</v>
      </c>
      <c r="F10" s="442">
        <f t="shared" ref="F10:F17" si="0">G10+H10</f>
        <v>44963763</v>
      </c>
      <c r="G10" s="442">
        <v>44963763</v>
      </c>
      <c r="H10" s="442"/>
      <c r="I10" s="442">
        <v>44963763</v>
      </c>
    </row>
    <row r="11" spans="1:9" s="491" customFormat="1" ht="50.25" customHeight="1">
      <c r="A11" s="1125"/>
      <c r="B11" s="1128"/>
      <c r="C11" s="440" t="s">
        <v>1156</v>
      </c>
      <c r="D11" s="446" t="s">
        <v>1174</v>
      </c>
      <c r="E11" s="443">
        <v>260928000</v>
      </c>
      <c r="F11" s="442">
        <f t="shared" si="0"/>
        <v>2826700</v>
      </c>
      <c r="G11" s="442">
        <v>2826700</v>
      </c>
      <c r="H11" s="442"/>
      <c r="I11" s="442">
        <v>2826700</v>
      </c>
    </row>
    <row r="12" spans="1:9" s="491" customFormat="1" ht="85.5" customHeight="1">
      <c r="A12" s="1125"/>
      <c r="B12" s="1128"/>
      <c r="C12" s="439" t="s">
        <v>1157</v>
      </c>
      <c r="D12" s="447" t="s">
        <v>1173</v>
      </c>
      <c r="E12" s="443">
        <v>487798700</v>
      </c>
      <c r="F12" s="442">
        <f t="shared" si="0"/>
        <v>5154400</v>
      </c>
      <c r="G12" s="442">
        <v>5154400</v>
      </c>
      <c r="H12" s="442"/>
      <c r="I12" s="442">
        <v>5154400</v>
      </c>
    </row>
    <row r="13" spans="1:9" s="491" customFormat="1" ht="50.25" customHeight="1">
      <c r="A13" s="1125"/>
      <c r="B13" s="1128"/>
      <c r="C13" s="447" t="s">
        <v>1158</v>
      </c>
      <c r="D13" s="447" t="s">
        <v>1175</v>
      </c>
      <c r="E13" s="443">
        <v>730000000</v>
      </c>
      <c r="F13" s="442">
        <f t="shared" si="0"/>
        <v>31718574</v>
      </c>
      <c r="G13" s="442">
        <v>31718574</v>
      </c>
      <c r="H13" s="442"/>
      <c r="I13" s="442">
        <v>23789005</v>
      </c>
    </row>
    <row r="14" spans="1:9" s="491" customFormat="1" ht="50.25" customHeight="1">
      <c r="A14" s="1125"/>
      <c r="B14" s="1128"/>
      <c r="C14" s="447" t="s">
        <v>1159</v>
      </c>
      <c r="D14" s="447" t="s">
        <v>1176</v>
      </c>
      <c r="E14" s="443">
        <v>1297286912</v>
      </c>
      <c r="F14" s="442">
        <f t="shared" si="0"/>
        <v>56541000</v>
      </c>
      <c r="G14" s="442">
        <v>56541000</v>
      </c>
      <c r="H14" s="442"/>
      <c r="I14" s="442">
        <v>56541000</v>
      </c>
    </row>
    <row r="15" spans="1:9" s="491" customFormat="1" ht="50.25" customHeight="1">
      <c r="A15" s="1125"/>
      <c r="B15" s="1128"/>
      <c r="C15" s="447" t="s">
        <v>1160</v>
      </c>
      <c r="D15" s="447" t="s">
        <v>1177</v>
      </c>
      <c r="E15" s="443">
        <v>427543000</v>
      </c>
      <c r="F15" s="442">
        <f t="shared" si="0"/>
        <v>34148000</v>
      </c>
      <c r="G15" s="442">
        <v>34148000</v>
      </c>
      <c r="H15" s="442"/>
      <c r="I15" s="442">
        <v>34148000</v>
      </c>
    </row>
    <row r="16" spans="1:9" s="491" customFormat="1" ht="50.25" customHeight="1">
      <c r="A16" s="1125"/>
      <c r="B16" s="1128"/>
      <c r="C16" s="447" t="s">
        <v>1161</v>
      </c>
      <c r="D16" s="447" t="s">
        <v>1178</v>
      </c>
      <c r="E16" s="443">
        <v>3215289000</v>
      </c>
      <c r="F16" s="442">
        <f t="shared" si="0"/>
        <v>57362900</v>
      </c>
      <c r="G16" s="442">
        <v>57362900</v>
      </c>
      <c r="H16" s="442"/>
      <c r="I16" s="442">
        <v>57362900</v>
      </c>
    </row>
    <row r="17" spans="1:9" s="491" customFormat="1" ht="50.25" customHeight="1">
      <c r="A17" s="1126"/>
      <c r="B17" s="1129"/>
      <c r="C17" s="447" t="s">
        <v>1162</v>
      </c>
      <c r="D17" s="447" t="s">
        <v>1179</v>
      </c>
      <c r="E17" s="442">
        <v>1835897000</v>
      </c>
      <c r="F17" s="442">
        <f t="shared" si="0"/>
        <v>25383644</v>
      </c>
      <c r="G17" s="442">
        <v>25383644</v>
      </c>
      <c r="H17" s="442"/>
      <c r="I17" s="442">
        <v>25383644</v>
      </c>
    </row>
    <row r="18" spans="1:9" s="491" customFormat="1" ht="21" customHeight="1">
      <c r="A18" s="1124">
        <v>2</v>
      </c>
      <c r="B18" s="1127" t="s">
        <v>251</v>
      </c>
      <c r="C18" s="448" t="s">
        <v>1163</v>
      </c>
      <c r="D18" s="445"/>
      <c r="E18" s="415">
        <f>SUM(E19:E23)</f>
        <v>66591619305</v>
      </c>
      <c r="F18" s="415">
        <f t="shared" ref="F18:I18" si="1">SUM(F19:F23)</f>
        <v>1005885717</v>
      </c>
      <c r="G18" s="415">
        <f t="shared" si="1"/>
        <v>1005885717</v>
      </c>
      <c r="H18" s="415">
        <f t="shared" si="1"/>
        <v>0</v>
      </c>
      <c r="I18" s="415">
        <f t="shared" si="1"/>
        <v>1005885717</v>
      </c>
    </row>
    <row r="19" spans="1:9" s="491" customFormat="1" ht="50.25" customHeight="1">
      <c r="A19" s="1125"/>
      <c r="B19" s="1128"/>
      <c r="C19" s="447" t="s">
        <v>1164</v>
      </c>
      <c r="D19" s="447" t="s">
        <v>1165</v>
      </c>
      <c r="E19" s="442">
        <v>4872011500</v>
      </c>
      <c r="F19" s="442">
        <f>G19+H19</f>
        <v>30752443</v>
      </c>
      <c r="G19" s="442">
        <v>30752443</v>
      </c>
      <c r="H19" s="442"/>
      <c r="I19" s="442">
        <v>30752443</v>
      </c>
    </row>
    <row r="20" spans="1:9" s="491" customFormat="1" ht="50.25" customHeight="1">
      <c r="A20" s="1125"/>
      <c r="B20" s="1128"/>
      <c r="C20" s="1130" t="s">
        <v>1166</v>
      </c>
      <c r="D20" s="444" t="s">
        <v>1167</v>
      </c>
      <c r="E20" s="442">
        <v>29591096505</v>
      </c>
      <c r="F20" s="442">
        <f t="shared" ref="F20:F23" si="2">G20+H20</f>
        <v>492020483</v>
      </c>
      <c r="G20" s="442">
        <v>492020483</v>
      </c>
      <c r="H20" s="442"/>
      <c r="I20" s="442">
        <v>492020483</v>
      </c>
    </row>
    <row r="21" spans="1:9" s="491" customFormat="1" ht="27" customHeight="1">
      <c r="A21" s="1125"/>
      <c r="B21" s="1128"/>
      <c r="C21" s="1131"/>
      <c r="D21" s="444" t="s">
        <v>1056</v>
      </c>
      <c r="E21" s="442">
        <v>23414517300</v>
      </c>
      <c r="F21" s="442">
        <f t="shared" si="2"/>
        <v>400111459</v>
      </c>
      <c r="G21" s="442">
        <v>400111459</v>
      </c>
      <c r="H21" s="442"/>
      <c r="I21" s="442">
        <v>400111459</v>
      </c>
    </row>
    <row r="22" spans="1:9" s="491" customFormat="1" ht="50.25" customHeight="1">
      <c r="A22" s="1125"/>
      <c r="B22" s="1128"/>
      <c r="C22" s="444" t="s">
        <v>1168</v>
      </c>
      <c r="D22" s="444" t="s">
        <v>1169</v>
      </c>
      <c r="E22" s="442">
        <v>1195641000</v>
      </c>
      <c r="F22" s="442">
        <f t="shared" si="2"/>
        <v>34384652</v>
      </c>
      <c r="G22" s="442">
        <v>34384652</v>
      </c>
      <c r="H22" s="442"/>
      <c r="I22" s="442">
        <v>34384652</v>
      </c>
    </row>
    <row r="23" spans="1:9" s="491" customFormat="1" ht="50.25" customHeight="1">
      <c r="A23" s="1126"/>
      <c r="B23" s="1129"/>
      <c r="C23" s="444" t="s">
        <v>1170</v>
      </c>
      <c r="D23" s="444" t="s">
        <v>1171</v>
      </c>
      <c r="E23" s="442">
        <v>7518353000</v>
      </c>
      <c r="F23" s="442">
        <f t="shared" si="2"/>
        <v>48616680</v>
      </c>
      <c r="G23" s="442">
        <v>48616680</v>
      </c>
      <c r="H23" s="442"/>
      <c r="I23" s="442">
        <v>48616680</v>
      </c>
    </row>
    <row r="24" spans="1:9" s="491" customFormat="1" ht="29.25" customHeight="1">
      <c r="A24" s="1120">
        <v>3</v>
      </c>
      <c r="B24" s="1122" t="s">
        <v>253</v>
      </c>
      <c r="C24" s="448" t="s">
        <v>1163</v>
      </c>
      <c r="D24" s="438"/>
      <c r="E24" s="415">
        <f>E25</f>
        <v>75000000</v>
      </c>
      <c r="F24" s="415">
        <f t="shared" ref="F24:I24" si="3">F25</f>
        <v>21642978</v>
      </c>
      <c r="G24" s="415">
        <f t="shared" si="3"/>
        <v>21642978</v>
      </c>
      <c r="H24" s="415">
        <f t="shared" si="3"/>
        <v>0</v>
      </c>
      <c r="I24" s="415">
        <f t="shared" si="3"/>
        <v>10071066</v>
      </c>
    </row>
    <row r="25" spans="1:9" s="491" customFormat="1" ht="29.25" customHeight="1">
      <c r="A25" s="1121"/>
      <c r="B25" s="1123"/>
      <c r="C25" s="450" t="s">
        <v>1180</v>
      </c>
      <c r="D25" s="451" t="s">
        <v>1181</v>
      </c>
      <c r="E25" s="441">
        <v>75000000</v>
      </c>
      <c r="F25" s="441">
        <f>G25+H25</f>
        <v>21642978</v>
      </c>
      <c r="G25" s="441">
        <v>21642978</v>
      </c>
      <c r="H25" s="441"/>
      <c r="I25" s="441">
        <v>10071066</v>
      </c>
    </row>
  </sheetData>
  <mergeCells count="17">
    <mergeCell ref="C20:C21"/>
    <mergeCell ref="A1:I1"/>
    <mergeCell ref="A2:I2"/>
    <mergeCell ref="A4:A5"/>
    <mergeCell ref="B4:B5"/>
    <mergeCell ref="C4:C5"/>
    <mergeCell ref="D4:D5"/>
    <mergeCell ref="E4:E5"/>
    <mergeCell ref="F4:H4"/>
    <mergeCell ref="H3:I3"/>
    <mergeCell ref="I4:I5"/>
    <mergeCell ref="A24:A25"/>
    <mergeCell ref="B24:B25"/>
    <mergeCell ref="A8:A17"/>
    <mergeCell ref="B8:B17"/>
    <mergeCell ref="A18:A23"/>
    <mergeCell ref="B18:B23"/>
  </mergeCells>
  <printOptions horizontalCentered="1"/>
  <pageMargins left="0.59055118110236227" right="0.19685039370078741" top="0.59055118110236227" bottom="0.59055118110236227" header="0.31496062992125984" footer="0.31496062992125984"/>
  <pageSetup paperSize="9" scale="80" orientation="landscape" r:id="rId1"/>
  <headerFooter differentFirst="1">
    <oddFooter>&amp;C&amp;P</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C25"/>
  <sheetViews>
    <sheetView topLeftCell="A19" zoomScale="90" zoomScaleNormal="90" workbookViewId="0">
      <selection activeCell="AD13" sqref="AD13"/>
    </sheetView>
  </sheetViews>
  <sheetFormatPr defaultColWidth="9.125" defaultRowHeight="12.75"/>
  <cols>
    <col min="1" max="1" width="5.625" style="572" customWidth="1"/>
    <col min="2" max="2" width="34.625" style="572" customWidth="1"/>
    <col min="3" max="3" width="15" style="572" customWidth="1"/>
    <col min="4" max="4" width="9.75" style="572" customWidth="1"/>
    <col min="5" max="7" width="10.125" style="572" hidden="1" customWidth="1"/>
    <col min="8" max="8" width="15" style="572" hidden="1" customWidth="1"/>
    <col min="9" max="9" width="10.125" style="572" hidden="1" customWidth="1"/>
    <col min="10" max="10" width="11" style="572" hidden="1" customWidth="1"/>
    <col min="11" max="11" width="18" style="572" hidden="1" customWidth="1"/>
    <col min="12" max="12" width="19.125" style="572" hidden="1" customWidth="1"/>
    <col min="13" max="13" width="0" style="572" hidden="1" customWidth="1"/>
    <col min="14" max="14" width="11.125" style="572" customWidth="1"/>
    <col min="15" max="15" width="9.125" style="572"/>
    <col min="16" max="16" width="10.625" style="572" bestFit="1" customWidth="1"/>
    <col min="17" max="20" width="0" style="572" hidden="1" customWidth="1"/>
    <col min="21" max="21" width="12.125" style="572" hidden="1" customWidth="1"/>
    <col min="22" max="22" width="0" style="572" hidden="1" customWidth="1"/>
    <col min="23" max="23" width="10.625" style="572" bestFit="1" customWidth="1"/>
    <col min="24" max="24" width="10.375" style="572" customWidth="1"/>
    <col min="25" max="25" width="10.625" style="572" bestFit="1" customWidth="1"/>
    <col min="26" max="26" width="20.625" style="572" customWidth="1"/>
    <col min="27" max="27" width="22.125" style="572" customWidth="1"/>
    <col min="28" max="28" width="11.375" style="572" bestFit="1" customWidth="1"/>
    <col min="29" max="16384" width="9.125" style="572"/>
  </cols>
  <sheetData>
    <row r="1" spans="1:29" ht="18.75">
      <c r="A1" s="1143" t="s">
        <v>1152</v>
      </c>
      <c r="B1" s="1143"/>
      <c r="C1" s="1143"/>
      <c r="D1" s="1143"/>
      <c r="E1" s="1143"/>
      <c r="F1" s="1143"/>
      <c r="G1" s="1143"/>
      <c r="H1" s="1143"/>
      <c r="I1" s="1143"/>
      <c r="J1" s="1143"/>
      <c r="K1" s="1143"/>
      <c r="L1" s="1143"/>
      <c r="M1" s="1143"/>
      <c r="N1" s="1143"/>
      <c r="O1" s="1143"/>
      <c r="P1" s="1143"/>
      <c r="Q1" s="1143"/>
      <c r="R1" s="1143"/>
      <c r="S1" s="1143"/>
      <c r="T1" s="1143"/>
      <c r="U1" s="1143"/>
      <c r="V1" s="1143"/>
      <c r="W1" s="1143"/>
      <c r="X1" s="1143"/>
      <c r="Y1" s="1143"/>
      <c r="Z1" s="1143"/>
      <c r="AA1" s="1143"/>
      <c r="AB1" s="477"/>
    </row>
    <row r="2" spans="1:29" s="211" customFormat="1" ht="16.5" customHeight="1">
      <c r="A2" s="1144" t="str">
        <f>'B6'!A2:I2</f>
        <v>(Kèm theo Quyết định số: 2255/QĐ-UBND ngày 15 tháng 12 năm 2024 của UBND tỉnh Lạng Sơn)</v>
      </c>
      <c r="B2" s="1144"/>
      <c r="C2" s="1144"/>
      <c r="D2" s="1144"/>
      <c r="E2" s="1144"/>
      <c r="F2" s="1144"/>
      <c r="G2" s="1144"/>
      <c r="H2" s="1144"/>
      <c r="I2" s="1144"/>
      <c r="J2" s="1144"/>
      <c r="K2" s="1144"/>
      <c r="L2" s="1144"/>
      <c r="M2" s="1144"/>
      <c r="N2" s="1144"/>
      <c r="O2" s="1144"/>
      <c r="P2" s="1144"/>
      <c r="Q2" s="1144"/>
      <c r="R2" s="1144"/>
      <c r="S2" s="1144"/>
      <c r="T2" s="1144"/>
      <c r="U2" s="1144"/>
      <c r="V2" s="1144"/>
      <c r="W2" s="1144"/>
      <c r="X2" s="1144"/>
      <c r="Y2" s="1144"/>
      <c r="Z2" s="1144"/>
      <c r="AA2" s="1144"/>
      <c r="AB2" s="477"/>
      <c r="AC2" s="573"/>
    </row>
    <row r="3" spans="1:29" ht="21" customHeight="1">
      <c r="A3" s="477"/>
      <c r="B3" s="477"/>
      <c r="C3" s="477"/>
      <c r="D3" s="477"/>
      <c r="E3" s="477"/>
      <c r="F3" s="477"/>
      <c r="G3" s="477"/>
      <c r="H3" s="477"/>
      <c r="I3" s="477"/>
      <c r="J3" s="477"/>
      <c r="K3" s="477"/>
      <c r="L3" s="477"/>
      <c r="M3" s="477"/>
      <c r="N3" s="477"/>
      <c r="O3" s="477"/>
      <c r="P3" s="477"/>
      <c r="Q3" s="477"/>
      <c r="R3" s="477"/>
      <c r="S3" s="477"/>
      <c r="T3" s="477"/>
      <c r="U3" s="477"/>
      <c r="V3" s="477"/>
      <c r="W3" s="477"/>
      <c r="X3" s="1145" t="s">
        <v>269</v>
      </c>
      <c r="Y3" s="1145"/>
      <c r="Z3" s="1145"/>
      <c r="AA3" s="1145"/>
      <c r="AB3" s="477"/>
    </row>
    <row r="4" spans="1:29" ht="32.25" customHeight="1">
      <c r="A4" s="1146" t="s">
        <v>0</v>
      </c>
      <c r="B4" s="1146" t="s">
        <v>257</v>
      </c>
      <c r="C4" s="1146" t="s">
        <v>258</v>
      </c>
      <c r="D4" s="1147" t="s">
        <v>259</v>
      </c>
      <c r="E4" s="1146" t="s">
        <v>260</v>
      </c>
      <c r="F4" s="1146"/>
      <c r="G4" s="1146"/>
      <c r="H4" s="1146"/>
      <c r="I4" s="1146"/>
      <c r="J4" s="1146"/>
      <c r="K4" s="1146"/>
      <c r="L4" s="1146"/>
      <c r="M4" s="1146"/>
      <c r="N4" s="1146"/>
      <c r="O4" s="1146"/>
      <c r="P4" s="1146"/>
      <c r="Q4" s="1146" t="s">
        <v>1109</v>
      </c>
      <c r="R4" s="1146"/>
      <c r="S4" s="1146"/>
      <c r="T4" s="1146"/>
      <c r="U4" s="1146"/>
      <c r="V4" s="1146"/>
      <c r="W4" s="1146"/>
      <c r="X4" s="1146"/>
      <c r="Y4" s="1146"/>
      <c r="Z4" s="1148" t="s">
        <v>270</v>
      </c>
      <c r="AA4" s="1148" t="s">
        <v>245</v>
      </c>
      <c r="AB4" s="477"/>
    </row>
    <row r="5" spans="1:29" ht="24.75" customHeight="1">
      <c r="A5" s="1146"/>
      <c r="B5" s="1146"/>
      <c r="C5" s="1146"/>
      <c r="D5" s="1147"/>
      <c r="E5" s="1147" t="s">
        <v>1117</v>
      </c>
      <c r="F5" s="1147"/>
      <c r="G5" s="1147"/>
      <c r="H5" s="1147"/>
      <c r="I5" s="1147"/>
      <c r="J5" s="1147"/>
      <c r="K5" s="1147" t="s">
        <v>261</v>
      </c>
      <c r="L5" s="1147"/>
      <c r="M5" s="1147"/>
      <c r="N5" s="1147"/>
      <c r="O5" s="1147"/>
      <c r="P5" s="1147"/>
      <c r="Q5" s="1147" t="s">
        <v>1117</v>
      </c>
      <c r="R5" s="1147"/>
      <c r="S5" s="1147"/>
      <c r="T5" s="1147"/>
      <c r="U5" s="1147"/>
      <c r="V5" s="1147"/>
      <c r="W5" s="1147" t="s">
        <v>261</v>
      </c>
      <c r="X5" s="1147"/>
      <c r="Y5" s="1147"/>
      <c r="Z5" s="1149"/>
      <c r="AA5" s="1149"/>
      <c r="AB5" s="477"/>
    </row>
    <row r="6" spans="1:29" ht="18" customHeight="1">
      <c r="A6" s="1146"/>
      <c r="B6" s="1146"/>
      <c r="C6" s="1146"/>
      <c r="D6" s="1147"/>
      <c r="E6" s="1147" t="s">
        <v>1118</v>
      </c>
      <c r="F6" s="1147"/>
      <c r="G6" s="1147"/>
      <c r="H6" s="1147" t="s">
        <v>6</v>
      </c>
      <c r="I6" s="1147"/>
      <c r="J6" s="1147"/>
      <c r="K6" s="1147" t="s">
        <v>1118</v>
      </c>
      <c r="L6" s="1147"/>
      <c r="M6" s="1147"/>
      <c r="N6" s="1147" t="s">
        <v>6</v>
      </c>
      <c r="O6" s="1147"/>
      <c r="P6" s="1147"/>
      <c r="Q6" s="1147" t="s">
        <v>1118</v>
      </c>
      <c r="R6" s="1147"/>
      <c r="S6" s="1147"/>
      <c r="T6" s="1147" t="s">
        <v>6</v>
      </c>
      <c r="U6" s="1147"/>
      <c r="V6" s="1147"/>
      <c r="W6" s="1147" t="s">
        <v>6</v>
      </c>
      <c r="X6" s="1147"/>
      <c r="Y6" s="1147"/>
      <c r="Z6" s="1149"/>
      <c r="AA6" s="1149"/>
      <c r="AB6" s="477"/>
    </row>
    <row r="7" spans="1:29" ht="20.25" customHeight="1">
      <c r="A7" s="1146"/>
      <c r="B7" s="1146"/>
      <c r="C7" s="1146"/>
      <c r="D7" s="1147"/>
      <c r="E7" s="1147" t="s">
        <v>262</v>
      </c>
      <c r="F7" s="1147" t="s">
        <v>263</v>
      </c>
      <c r="G7" s="1147"/>
      <c r="H7" s="1147" t="s">
        <v>262</v>
      </c>
      <c r="I7" s="1147" t="s">
        <v>263</v>
      </c>
      <c r="J7" s="1147"/>
      <c r="K7" s="1147" t="s">
        <v>262</v>
      </c>
      <c r="L7" s="1147" t="s">
        <v>263</v>
      </c>
      <c r="M7" s="1147"/>
      <c r="N7" s="1147" t="s">
        <v>262</v>
      </c>
      <c r="O7" s="1147" t="s">
        <v>263</v>
      </c>
      <c r="P7" s="1147"/>
      <c r="Q7" s="1147" t="s">
        <v>262</v>
      </c>
      <c r="R7" s="1147" t="s">
        <v>263</v>
      </c>
      <c r="S7" s="1147"/>
      <c r="T7" s="1147" t="s">
        <v>262</v>
      </c>
      <c r="U7" s="1147" t="s">
        <v>263</v>
      </c>
      <c r="V7" s="1147"/>
      <c r="W7" s="1147" t="s">
        <v>262</v>
      </c>
      <c r="X7" s="1147" t="s">
        <v>263</v>
      </c>
      <c r="Y7" s="1147"/>
      <c r="Z7" s="1149"/>
      <c r="AA7" s="1149"/>
      <c r="AB7" s="477"/>
    </row>
    <row r="8" spans="1:29" ht="49.5" customHeight="1">
      <c r="A8" s="1146"/>
      <c r="B8" s="1146"/>
      <c r="C8" s="1146"/>
      <c r="D8" s="1147"/>
      <c r="E8" s="1147"/>
      <c r="F8" s="574" t="s">
        <v>264</v>
      </c>
      <c r="G8" s="574" t="s">
        <v>265</v>
      </c>
      <c r="H8" s="1147"/>
      <c r="I8" s="574" t="s">
        <v>264</v>
      </c>
      <c r="J8" s="574" t="s">
        <v>265</v>
      </c>
      <c r="K8" s="1147"/>
      <c r="L8" s="574" t="s">
        <v>264</v>
      </c>
      <c r="M8" s="574" t="s">
        <v>265</v>
      </c>
      <c r="N8" s="1147"/>
      <c r="O8" s="574" t="s">
        <v>264</v>
      </c>
      <c r="P8" s="574" t="s">
        <v>265</v>
      </c>
      <c r="Q8" s="1147"/>
      <c r="R8" s="574" t="s">
        <v>264</v>
      </c>
      <c r="S8" s="574" t="s">
        <v>265</v>
      </c>
      <c r="T8" s="1147"/>
      <c r="U8" s="574" t="s">
        <v>264</v>
      </c>
      <c r="V8" s="574" t="s">
        <v>265</v>
      </c>
      <c r="W8" s="1147"/>
      <c r="X8" s="574" t="s">
        <v>264</v>
      </c>
      <c r="Y8" s="574" t="s">
        <v>265</v>
      </c>
      <c r="Z8" s="1150"/>
      <c r="AA8" s="1150"/>
      <c r="AB8" s="477"/>
    </row>
    <row r="9" spans="1:29" ht="21.75" customHeight="1">
      <c r="A9" s="575" t="s">
        <v>27</v>
      </c>
      <c r="B9" s="575" t="s">
        <v>28</v>
      </c>
      <c r="C9" s="575">
        <v>1</v>
      </c>
      <c r="D9" s="575">
        <v>2</v>
      </c>
      <c r="E9" s="575">
        <v>3</v>
      </c>
      <c r="F9" s="575">
        <v>4</v>
      </c>
      <c r="G9" s="575">
        <v>5</v>
      </c>
      <c r="H9" s="575">
        <v>6</v>
      </c>
      <c r="I9" s="575">
        <v>7</v>
      </c>
      <c r="J9" s="575">
        <v>8</v>
      </c>
      <c r="K9" s="575">
        <v>9</v>
      </c>
      <c r="L9" s="575">
        <v>10</v>
      </c>
      <c r="M9" s="575">
        <v>11</v>
      </c>
      <c r="N9" s="575">
        <v>3</v>
      </c>
      <c r="O9" s="575">
        <v>4</v>
      </c>
      <c r="P9" s="575">
        <v>5</v>
      </c>
      <c r="Q9" s="575">
        <v>39</v>
      </c>
      <c r="R9" s="575">
        <v>40</v>
      </c>
      <c r="S9" s="575">
        <v>41</v>
      </c>
      <c r="T9" s="575">
        <v>42</v>
      </c>
      <c r="U9" s="575">
        <v>43</v>
      </c>
      <c r="V9" s="575">
        <v>44</v>
      </c>
      <c r="W9" s="575">
        <v>6</v>
      </c>
      <c r="X9" s="575">
        <v>7</v>
      </c>
      <c r="Y9" s="575">
        <v>8</v>
      </c>
      <c r="Z9" s="575">
        <v>9</v>
      </c>
      <c r="AA9" s="575">
        <v>10</v>
      </c>
      <c r="AB9" s="576"/>
    </row>
    <row r="10" spans="1:29" ht="20.25" customHeight="1">
      <c r="A10" s="577"/>
      <c r="B10" s="577" t="s">
        <v>266</v>
      </c>
      <c r="C10" s="577"/>
      <c r="D10" s="577"/>
      <c r="E10" s="578" t="e">
        <v>#REF!</v>
      </c>
      <c r="F10" s="578" t="e">
        <v>#REF!</v>
      </c>
      <c r="G10" s="578" t="e">
        <v>#REF!</v>
      </c>
      <c r="H10" s="578" t="e">
        <v>#REF!</v>
      </c>
      <c r="I10" s="578" t="e">
        <v>#REF!</v>
      </c>
      <c r="J10" s="578" t="e">
        <v>#REF!</v>
      </c>
      <c r="K10" s="578" t="e">
        <v>#REF!</v>
      </c>
      <c r="L10" s="578" t="e">
        <v>#REF!</v>
      </c>
      <c r="M10" s="578" t="e">
        <v>#REF!</v>
      </c>
      <c r="N10" s="579">
        <f>N11+N23</f>
        <v>13975.337</v>
      </c>
      <c r="O10" s="579">
        <f>O11+O23</f>
        <v>352.06</v>
      </c>
      <c r="P10" s="579">
        <f>P11+P23</f>
        <v>13623.277</v>
      </c>
      <c r="Q10" s="580">
        <v>0</v>
      </c>
      <c r="R10" s="580">
        <v>0</v>
      </c>
      <c r="S10" s="580">
        <v>0</v>
      </c>
      <c r="T10" s="580">
        <v>0</v>
      </c>
      <c r="U10" s="580">
        <v>0</v>
      </c>
      <c r="V10" s="580">
        <v>0</v>
      </c>
      <c r="W10" s="579">
        <f>W11+W23</f>
        <v>12847.535</v>
      </c>
      <c r="X10" s="579">
        <f>X11+X23</f>
        <v>285.13499999999999</v>
      </c>
      <c r="Y10" s="579">
        <f>Y11+Y23</f>
        <v>12562.4</v>
      </c>
      <c r="Z10" s="581"/>
      <c r="AA10" s="582"/>
      <c r="AB10" s="477"/>
    </row>
    <row r="11" spans="1:29" ht="20.25" customHeight="1">
      <c r="A11" s="583" t="s">
        <v>27</v>
      </c>
      <c r="B11" s="584" t="s">
        <v>1119</v>
      </c>
      <c r="C11" s="583"/>
      <c r="D11" s="583"/>
      <c r="E11" s="585"/>
      <c r="F11" s="585"/>
      <c r="G11" s="585"/>
      <c r="H11" s="585"/>
      <c r="I11" s="585"/>
      <c r="J11" s="585"/>
      <c r="K11" s="585"/>
      <c r="L11" s="585"/>
      <c r="M11" s="585"/>
      <c r="N11" s="586">
        <f>N12+N14+N19+N21</f>
        <v>5311.3369999999995</v>
      </c>
      <c r="O11" s="586">
        <f>O12+O14+O19+O21</f>
        <v>352.06</v>
      </c>
      <c r="P11" s="586">
        <f>P12+P14+P19+P21</f>
        <v>4959.277</v>
      </c>
      <c r="Q11" s="587">
        <v>0</v>
      </c>
      <c r="R11" s="587">
        <v>0</v>
      </c>
      <c r="S11" s="587">
        <v>0</v>
      </c>
      <c r="T11" s="587">
        <v>0</v>
      </c>
      <c r="U11" s="587">
        <v>0</v>
      </c>
      <c r="V11" s="587">
        <v>0</v>
      </c>
      <c r="W11" s="586">
        <f>W12+W14+W19+W21</f>
        <v>4183.5349999999999</v>
      </c>
      <c r="X11" s="586">
        <f>X12+X14+X19+X21</f>
        <v>285.13499999999999</v>
      </c>
      <c r="Y11" s="586">
        <f>Y12+Y14+Y19+Y21</f>
        <v>3898.4</v>
      </c>
      <c r="Z11" s="588"/>
      <c r="AA11" s="589"/>
      <c r="AB11" s="477"/>
    </row>
    <row r="12" spans="1:29" ht="20.25" customHeight="1">
      <c r="A12" s="583" t="s">
        <v>1</v>
      </c>
      <c r="B12" s="590" t="s">
        <v>1120</v>
      </c>
      <c r="C12" s="583"/>
      <c r="D12" s="583"/>
      <c r="E12" s="585" t="e">
        <v>#REF!</v>
      </c>
      <c r="F12" s="585" t="e">
        <v>#REF!</v>
      </c>
      <c r="G12" s="585" t="e">
        <v>#REF!</v>
      </c>
      <c r="H12" s="585" t="e">
        <v>#REF!</v>
      </c>
      <c r="I12" s="585" t="e">
        <v>#REF!</v>
      </c>
      <c r="J12" s="585" t="e">
        <v>#REF!</v>
      </c>
      <c r="K12" s="585" t="e">
        <v>#REF!</v>
      </c>
      <c r="L12" s="585" t="e">
        <v>#REF!</v>
      </c>
      <c r="M12" s="585" t="e">
        <v>#REF!</v>
      </c>
      <c r="N12" s="586">
        <f>N13</f>
        <v>3649.877</v>
      </c>
      <c r="O12" s="586">
        <f t="shared" ref="O12:P12" si="0">O13</f>
        <v>0</v>
      </c>
      <c r="P12" s="586">
        <f t="shared" si="0"/>
        <v>3649.877</v>
      </c>
      <c r="Q12" s="587">
        <v>0</v>
      </c>
      <c r="R12" s="587">
        <v>0</v>
      </c>
      <c r="S12" s="587">
        <v>0</v>
      </c>
      <c r="T12" s="587">
        <v>0</v>
      </c>
      <c r="U12" s="587">
        <v>0</v>
      </c>
      <c r="V12" s="587">
        <v>0</v>
      </c>
      <c r="W12" s="586">
        <f>W13</f>
        <v>2589</v>
      </c>
      <c r="X12" s="586">
        <f>X13</f>
        <v>0</v>
      </c>
      <c r="Y12" s="586">
        <f>Y13</f>
        <v>2589</v>
      </c>
      <c r="Z12" s="588"/>
      <c r="AA12" s="591"/>
      <c r="AB12" s="477"/>
    </row>
    <row r="13" spans="1:29" ht="71.25" customHeight="1">
      <c r="A13" s="592">
        <v>1</v>
      </c>
      <c r="B13" s="591" t="s">
        <v>1121</v>
      </c>
      <c r="C13" s="592" t="s">
        <v>1122</v>
      </c>
      <c r="D13" s="592" t="s">
        <v>1123</v>
      </c>
      <c r="E13" s="593"/>
      <c r="F13" s="593"/>
      <c r="G13" s="593"/>
      <c r="H13" s="593"/>
      <c r="I13" s="593"/>
      <c r="J13" s="593"/>
      <c r="K13" s="593"/>
      <c r="L13" s="593"/>
      <c r="M13" s="593"/>
      <c r="N13" s="594">
        <f>O13+P13</f>
        <v>3649.877</v>
      </c>
      <c r="O13" s="594"/>
      <c r="P13" s="594">
        <v>3649.877</v>
      </c>
      <c r="Q13" s="595"/>
      <c r="R13" s="595"/>
      <c r="S13" s="595"/>
      <c r="T13" s="595"/>
      <c r="U13" s="595"/>
      <c r="V13" s="595"/>
      <c r="W13" s="594">
        <f>X13+Y13</f>
        <v>2589</v>
      </c>
      <c r="X13" s="594"/>
      <c r="Y13" s="594">
        <v>2589</v>
      </c>
      <c r="Z13" s="588" t="s">
        <v>271</v>
      </c>
      <c r="AA13" s="591" t="s">
        <v>1124</v>
      </c>
      <c r="AB13" s="596"/>
    </row>
    <row r="14" spans="1:29" ht="20.25" customHeight="1">
      <c r="A14" s="583" t="s">
        <v>2</v>
      </c>
      <c r="B14" s="590" t="s">
        <v>1125</v>
      </c>
      <c r="C14" s="583"/>
      <c r="D14" s="583"/>
      <c r="E14" s="585"/>
      <c r="F14" s="585"/>
      <c r="G14" s="585"/>
      <c r="H14" s="585"/>
      <c r="I14" s="585"/>
      <c r="J14" s="585"/>
      <c r="K14" s="585"/>
      <c r="L14" s="585"/>
      <c r="M14" s="585"/>
      <c r="N14" s="586">
        <f t="shared" ref="N14:Y14" si="1">SUM(N15:N17)</f>
        <v>299.53499999999997</v>
      </c>
      <c r="O14" s="586">
        <f t="shared" si="1"/>
        <v>285.13499999999999</v>
      </c>
      <c r="P14" s="586">
        <f t="shared" si="1"/>
        <v>14.4</v>
      </c>
      <c r="Q14" s="586">
        <f t="shared" si="1"/>
        <v>0</v>
      </c>
      <c r="R14" s="586">
        <f t="shared" si="1"/>
        <v>0</v>
      </c>
      <c r="S14" s="586">
        <f t="shared" si="1"/>
        <v>0</v>
      </c>
      <c r="T14" s="586">
        <f t="shared" si="1"/>
        <v>0</v>
      </c>
      <c r="U14" s="586">
        <f t="shared" si="1"/>
        <v>0</v>
      </c>
      <c r="V14" s="586">
        <f t="shared" si="1"/>
        <v>0</v>
      </c>
      <c r="W14" s="586">
        <f t="shared" si="1"/>
        <v>299.53499999999997</v>
      </c>
      <c r="X14" s="586">
        <f t="shared" si="1"/>
        <v>285.13499999999999</v>
      </c>
      <c r="Y14" s="586">
        <f t="shared" si="1"/>
        <v>14.4</v>
      </c>
      <c r="Z14" s="584"/>
      <c r="AA14" s="590"/>
      <c r="AB14" s="597"/>
    </row>
    <row r="15" spans="1:29" ht="46.5" customHeight="1">
      <c r="A15" s="592">
        <v>1</v>
      </c>
      <c r="B15" s="591" t="s">
        <v>1127</v>
      </c>
      <c r="C15" s="592" t="s">
        <v>1128</v>
      </c>
      <c r="D15" s="592">
        <v>2023</v>
      </c>
      <c r="E15" s="593"/>
      <c r="F15" s="593"/>
      <c r="G15" s="593"/>
      <c r="H15" s="593"/>
      <c r="I15" s="593"/>
      <c r="J15" s="593"/>
      <c r="K15" s="593"/>
      <c r="L15" s="593"/>
      <c r="M15" s="593"/>
      <c r="N15" s="594">
        <f>O15+P15</f>
        <v>14.4</v>
      </c>
      <c r="O15" s="594"/>
      <c r="P15" s="594">
        <v>14.4</v>
      </c>
      <c r="Q15" s="595"/>
      <c r="R15" s="595"/>
      <c r="S15" s="595"/>
      <c r="T15" s="595"/>
      <c r="U15" s="595"/>
      <c r="V15" s="595"/>
      <c r="W15" s="594">
        <f>X15+Y15</f>
        <v>14.4</v>
      </c>
      <c r="X15" s="594"/>
      <c r="Y15" s="594">
        <v>14.4</v>
      </c>
      <c r="Z15" s="588" t="s">
        <v>1126</v>
      </c>
      <c r="AA15" s="591" t="s">
        <v>1129</v>
      </c>
      <c r="AB15" s="477"/>
    </row>
    <row r="16" spans="1:29" ht="61.5" customHeight="1">
      <c r="A16" s="592">
        <v>2</v>
      </c>
      <c r="B16" s="591" t="s">
        <v>1130</v>
      </c>
      <c r="C16" s="592" t="s">
        <v>1131</v>
      </c>
      <c r="D16" s="592">
        <v>2024</v>
      </c>
      <c r="E16" s="593"/>
      <c r="F16" s="593"/>
      <c r="G16" s="593"/>
      <c r="H16" s="593"/>
      <c r="I16" s="593"/>
      <c r="J16" s="593"/>
      <c r="K16" s="593"/>
      <c r="L16" s="593"/>
      <c r="M16" s="593"/>
      <c r="N16" s="594">
        <f>O16+P16</f>
        <v>185.13499999999999</v>
      </c>
      <c r="O16" s="594">
        <v>185.13499999999999</v>
      </c>
      <c r="P16" s="594"/>
      <c r="Q16" s="595"/>
      <c r="R16" s="595"/>
      <c r="S16" s="595"/>
      <c r="T16" s="595"/>
      <c r="U16" s="595"/>
      <c r="V16" s="595"/>
      <c r="W16" s="594">
        <f>X16+Y16</f>
        <v>185.13499999999999</v>
      </c>
      <c r="X16" s="594">
        <v>185.13499999999999</v>
      </c>
      <c r="Y16" s="594"/>
      <c r="Z16" s="588" t="s">
        <v>1132</v>
      </c>
      <c r="AA16" s="591" t="s">
        <v>1133</v>
      </c>
      <c r="AB16" s="477"/>
    </row>
    <row r="17" spans="1:28" ht="57.75" customHeight="1">
      <c r="A17" s="592">
        <v>3</v>
      </c>
      <c r="B17" s="591" t="s">
        <v>1134</v>
      </c>
      <c r="C17" s="592" t="s">
        <v>1135</v>
      </c>
      <c r="D17" s="592">
        <v>2024</v>
      </c>
      <c r="E17" s="593"/>
      <c r="F17" s="593"/>
      <c r="G17" s="593"/>
      <c r="H17" s="593"/>
      <c r="I17" s="593"/>
      <c r="J17" s="593"/>
      <c r="K17" s="593"/>
      <c r="L17" s="593"/>
      <c r="M17" s="593"/>
      <c r="N17" s="594">
        <f>O17+P17</f>
        <v>100</v>
      </c>
      <c r="O17" s="594">
        <v>100</v>
      </c>
      <c r="P17" s="594"/>
      <c r="Q17" s="595"/>
      <c r="R17" s="595"/>
      <c r="S17" s="595"/>
      <c r="T17" s="595"/>
      <c r="U17" s="595"/>
      <c r="V17" s="595"/>
      <c r="W17" s="594">
        <f>X17+Y17</f>
        <v>100</v>
      </c>
      <c r="X17" s="594">
        <v>100</v>
      </c>
      <c r="Y17" s="594"/>
      <c r="Z17" s="588" t="s">
        <v>1136</v>
      </c>
      <c r="AA17" s="591" t="s">
        <v>1137</v>
      </c>
      <c r="AB17" s="477"/>
    </row>
    <row r="18" spans="1:28" ht="15" hidden="1">
      <c r="A18" s="592"/>
      <c r="B18" s="591"/>
      <c r="C18" s="592"/>
      <c r="D18" s="592"/>
      <c r="E18" s="593"/>
      <c r="F18" s="593"/>
      <c r="G18" s="593"/>
      <c r="H18" s="593"/>
      <c r="I18" s="593"/>
      <c r="J18" s="593"/>
      <c r="K18" s="593"/>
      <c r="L18" s="593"/>
      <c r="M18" s="593"/>
      <c r="N18" s="594"/>
      <c r="O18" s="594"/>
      <c r="P18" s="594"/>
      <c r="Q18" s="595"/>
      <c r="R18" s="595"/>
      <c r="S18" s="595"/>
      <c r="T18" s="595"/>
      <c r="U18" s="595"/>
      <c r="V18" s="595"/>
      <c r="W18" s="594"/>
      <c r="X18" s="594"/>
      <c r="Y18" s="594"/>
      <c r="Z18" s="588"/>
      <c r="AA18" s="591"/>
      <c r="AB18" s="477"/>
    </row>
    <row r="19" spans="1:28" ht="20.25" customHeight="1">
      <c r="A19" s="583" t="s">
        <v>4</v>
      </c>
      <c r="B19" s="590" t="s">
        <v>268</v>
      </c>
      <c r="C19" s="583"/>
      <c r="D19" s="583"/>
      <c r="E19" s="585" t="e">
        <v>#REF!</v>
      </c>
      <c r="F19" s="585" t="e">
        <v>#REF!</v>
      </c>
      <c r="G19" s="585" t="e">
        <v>#REF!</v>
      </c>
      <c r="H19" s="585" t="e">
        <v>#REF!</v>
      </c>
      <c r="I19" s="585" t="e">
        <v>#REF!</v>
      </c>
      <c r="J19" s="585" t="e">
        <v>#REF!</v>
      </c>
      <c r="K19" s="585" t="e">
        <v>#REF!</v>
      </c>
      <c r="L19" s="585" t="e">
        <v>#REF!</v>
      </c>
      <c r="M19" s="585" t="e">
        <v>#REF!</v>
      </c>
      <c r="N19" s="586">
        <f>N20</f>
        <v>361.92500000000001</v>
      </c>
      <c r="O19" s="586">
        <f t="shared" ref="O19:Y19" si="2">O20</f>
        <v>66.924999999999997</v>
      </c>
      <c r="P19" s="586">
        <f t="shared" si="2"/>
        <v>295</v>
      </c>
      <c r="Q19" s="586">
        <f t="shared" si="2"/>
        <v>0</v>
      </c>
      <c r="R19" s="586">
        <f t="shared" si="2"/>
        <v>0</v>
      </c>
      <c r="S19" s="586">
        <f t="shared" si="2"/>
        <v>0</v>
      </c>
      <c r="T19" s="586">
        <f t="shared" si="2"/>
        <v>0</v>
      </c>
      <c r="U19" s="586">
        <f t="shared" si="2"/>
        <v>0</v>
      </c>
      <c r="V19" s="586">
        <f t="shared" si="2"/>
        <v>0</v>
      </c>
      <c r="W19" s="586">
        <f t="shared" si="2"/>
        <v>295</v>
      </c>
      <c r="X19" s="586">
        <f t="shared" si="2"/>
        <v>0</v>
      </c>
      <c r="Y19" s="586">
        <f t="shared" si="2"/>
        <v>295</v>
      </c>
      <c r="Z19" s="584"/>
      <c r="AA19" s="590"/>
      <c r="AB19" s="598"/>
    </row>
    <row r="20" spans="1:28" ht="48" customHeight="1">
      <c r="A20" s="592">
        <v>1</v>
      </c>
      <c r="B20" s="591" t="s">
        <v>1140</v>
      </c>
      <c r="C20" s="592" t="s">
        <v>1138</v>
      </c>
      <c r="D20" s="592">
        <v>2024</v>
      </c>
      <c r="E20" s="593"/>
      <c r="F20" s="593"/>
      <c r="G20" s="593"/>
      <c r="H20" s="593"/>
      <c r="I20" s="593"/>
      <c r="J20" s="593"/>
      <c r="K20" s="593"/>
      <c r="L20" s="593"/>
      <c r="M20" s="593"/>
      <c r="N20" s="594">
        <f>O20+P20</f>
        <v>361.92500000000001</v>
      </c>
      <c r="O20" s="594">
        <v>66.924999999999997</v>
      </c>
      <c r="P20" s="594">
        <v>295</v>
      </c>
      <c r="Q20" s="595"/>
      <c r="R20" s="595"/>
      <c r="S20" s="595"/>
      <c r="T20" s="595"/>
      <c r="U20" s="595"/>
      <c r="V20" s="595"/>
      <c r="W20" s="594">
        <v>295</v>
      </c>
      <c r="X20" s="594"/>
      <c r="Y20" s="594">
        <v>295</v>
      </c>
      <c r="Z20" s="588" t="s">
        <v>1139</v>
      </c>
      <c r="AA20" s="591" t="s">
        <v>1141</v>
      </c>
      <c r="AB20" s="477"/>
    </row>
    <row r="21" spans="1:28" ht="20.25" customHeight="1">
      <c r="A21" s="583" t="s">
        <v>8</v>
      </c>
      <c r="B21" s="590" t="s">
        <v>1153</v>
      </c>
      <c r="C21" s="583"/>
      <c r="D21" s="583"/>
      <c r="E21" s="585"/>
      <c r="F21" s="585"/>
      <c r="G21" s="585"/>
      <c r="H21" s="585"/>
      <c r="I21" s="585"/>
      <c r="J21" s="585"/>
      <c r="K21" s="585"/>
      <c r="L21" s="585"/>
      <c r="M21" s="585"/>
      <c r="N21" s="586">
        <f>N22</f>
        <v>1000</v>
      </c>
      <c r="O21" s="586">
        <f t="shared" ref="O21:Y21" si="3">O22</f>
        <v>0</v>
      </c>
      <c r="P21" s="586">
        <f t="shared" si="3"/>
        <v>1000</v>
      </c>
      <c r="Q21" s="586">
        <f t="shared" si="3"/>
        <v>0</v>
      </c>
      <c r="R21" s="586">
        <f t="shared" si="3"/>
        <v>0</v>
      </c>
      <c r="S21" s="586">
        <f t="shared" si="3"/>
        <v>0</v>
      </c>
      <c r="T21" s="586">
        <f t="shared" si="3"/>
        <v>0</v>
      </c>
      <c r="U21" s="586">
        <f t="shared" si="3"/>
        <v>0</v>
      </c>
      <c r="V21" s="586">
        <f t="shared" si="3"/>
        <v>0</v>
      </c>
      <c r="W21" s="586">
        <f t="shared" si="3"/>
        <v>1000</v>
      </c>
      <c r="X21" s="586">
        <f t="shared" si="3"/>
        <v>0</v>
      </c>
      <c r="Y21" s="586">
        <f t="shared" si="3"/>
        <v>1000</v>
      </c>
      <c r="Z21" s="584"/>
      <c r="AA21" s="590"/>
      <c r="AB21" s="599"/>
    </row>
    <row r="22" spans="1:28" ht="48.75" customHeight="1">
      <c r="A22" s="592">
        <v>1</v>
      </c>
      <c r="B22" s="591" t="s">
        <v>1142</v>
      </c>
      <c r="C22" s="592" t="s">
        <v>1143</v>
      </c>
      <c r="D22" s="592">
        <v>2024</v>
      </c>
      <c r="E22" s="593"/>
      <c r="F22" s="593"/>
      <c r="G22" s="593"/>
      <c r="H22" s="593"/>
      <c r="I22" s="593"/>
      <c r="J22" s="593"/>
      <c r="K22" s="593"/>
      <c r="L22" s="593"/>
      <c r="M22" s="593"/>
      <c r="N22" s="594">
        <v>1000</v>
      </c>
      <c r="O22" s="594"/>
      <c r="P22" s="594">
        <f>N22</f>
        <v>1000</v>
      </c>
      <c r="Q22" s="595"/>
      <c r="R22" s="595"/>
      <c r="S22" s="595"/>
      <c r="T22" s="595"/>
      <c r="U22" s="595"/>
      <c r="V22" s="595"/>
      <c r="W22" s="594">
        <f>X22+Y22</f>
        <v>1000</v>
      </c>
      <c r="X22" s="594"/>
      <c r="Y22" s="594">
        <v>1000</v>
      </c>
      <c r="Z22" s="588" t="s">
        <v>1144</v>
      </c>
      <c r="AA22" s="591" t="s">
        <v>1145</v>
      </c>
      <c r="AB22" s="477"/>
    </row>
    <row r="23" spans="1:28" ht="20.25" customHeight="1">
      <c r="A23" s="583" t="s">
        <v>28</v>
      </c>
      <c r="B23" s="590" t="s">
        <v>1146</v>
      </c>
      <c r="C23" s="583"/>
      <c r="D23" s="583"/>
      <c r="E23" s="585">
        <v>0</v>
      </c>
      <c r="F23" s="585">
        <v>0</v>
      </c>
      <c r="G23" s="585">
        <v>0</v>
      </c>
      <c r="H23" s="585">
        <v>0</v>
      </c>
      <c r="I23" s="585">
        <v>0</v>
      </c>
      <c r="J23" s="585">
        <v>0</v>
      </c>
      <c r="K23" s="585">
        <v>0</v>
      </c>
      <c r="L23" s="585">
        <v>0</v>
      </c>
      <c r="M23" s="585">
        <v>0</v>
      </c>
      <c r="N23" s="600">
        <f t="shared" ref="N23:P24" si="4">N24</f>
        <v>8664</v>
      </c>
      <c r="O23" s="600">
        <f t="shared" si="4"/>
        <v>0</v>
      </c>
      <c r="P23" s="600">
        <f t="shared" si="4"/>
        <v>8664</v>
      </c>
      <c r="Q23" s="601">
        <v>0</v>
      </c>
      <c r="R23" s="601">
        <v>0</v>
      </c>
      <c r="S23" s="601">
        <v>0</v>
      </c>
      <c r="T23" s="601">
        <v>0</v>
      </c>
      <c r="U23" s="601">
        <v>0</v>
      </c>
      <c r="V23" s="601">
        <v>0</v>
      </c>
      <c r="W23" s="600">
        <f t="shared" ref="W23:Y24" si="5">W24</f>
        <v>8664</v>
      </c>
      <c r="X23" s="600">
        <f t="shared" si="5"/>
        <v>0</v>
      </c>
      <c r="Y23" s="600">
        <f t="shared" si="5"/>
        <v>8664</v>
      </c>
      <c r="Z23" s="584"/>
      <c r="AA23" s="590"/>
      <c r="AB23" s="598"/>
    </row>
    <row r="24" spans="1:28" ht="20.25" customHeight="1">
      <c r="A24" s="583" t="s">
        <v>1</v>
      </c>
      <c r="B24" s="590" t="s">
        <v>1147</v>
      </c>
      <c r="C24" s="583"/>
      <c r="D24" s="583"/>
      <c r="E24" s="585">
        <v>0</v>
      </c>
      <c r="F24" s="585">
        <v>0</v>
      </c>
      <c r="G24" s="585">
        <v>0</v>
      </c>
      <c r="H24" s="585">
        <v>0</v>
      </c>
      <c r="I24" s="585">
        <v>0</v>
      </c>
      <c r="J24" s="585">
        <v>0</v>
      </c>
      <c r="K24" s="585">
        <v>0</v>
      </c>
      <c r="L24" s="585">
        <v>0</v>
      </c>
      <c r="M24" s="585">
        <v>0</v>
      </c>
      <c r="N24" s="600">
        <f t="shared" si="4"/>
        <v>8664</v>
      </c>
      <c r="O24" s="600">
        <f t="shared" si="4"/>
        <v>0</v>
      </c>
      <c r="P24" s="600">
        <f t="shared" si="4"/>
        <v>8664</v>
      </c>
      <c r="Q24" s="601">
        <v>0</v>
      </c>
      <c r="R24" s="601">
        <v>0</v>
      </c>
      <c r="S24" s="601">
        <v>0</v>
      </c>
      <c r="T24" s="601">
        <v>0</v>
      </c>
      <c r="U24" s="601">
        <v>0</v>
      </c>
      <c r="V24" s="601">
        <v>0</v>
      </c>
      <c r="W24" s="600">
        <f t="shared" si="5"/>
        <v>8664</v>
      </c>
      <c r="X24" s="600">
        <f t="shared" si="5"/>
        <v>0</v>
      </c>
      <c r="Y24" s="600">
        <f t="shared" si="5"/>
        <v>8664</v>
      </c>
      <c r="Z24" s="584"/>
      <c r="AA24" s="590"/>
      <c r="AB24" s="598"/>
    </row>
    <row r="25" spans="1:28" ht="75.75" customHeight="1">
      <c r="A25" s="602">
        <v>1</v>
      </c>
      <c r="B25" s="603" t="s">
        <v>1148</v>
      </c>
      <c r="C25" s="602" t="s">
        <v>1149</v>
      </c>
      <c r="D25" s="602" t="s">
        <v>924</v>
      </c>
      <c r="E25" s="604"/>
      <c r="F25" s="604"/>
      <c r="G25" s="604"/>
      <c r="H25" s="604"/>
      <c r="I25" s="604"/>
      <c r="J25" s="604"/>
      <c r="K25" s="604"/>
      <c r="L25" s="604"/>
      <c r="M25" s="604"/>
      <c r="N25" s="605">
        <f>O25+P25</f>
        <v>8664</v>
      </c>
      <c r="O25" s="605"/>
      <c r="P25" s="605">
        <v>8664</v>
      </c>
      <c r="Q25" s="606"/>
      <c r="R25" s="606"/>
      <c r="S25" s="606"/>
      <c r="T25" s="606"/>
      <c r="U25" s="606"/>
      <c r="V25" s="606"/>
      <c r="W25" s="605">
        <v>8664</v>
      </c>
      <c r="X25" s="605"/>
      <c r="Y25" s="605">
        <v>8664</v>
      </c>
      <c r="Z25" s="607" t="s">
        <v>1150</v>
      </c>
      <c r="AA25" s="603" t="s">
        <v>1151</v>
      </c>
    </row>
  </sheetData>
  <mergeCells count="36">
    <mergeCell ref="X7:Y7"/>
    <mergeCell ref="Q7:Q8"/>
    <mergeCell ref="R7:S7"/>
    <mergeCell ref="Z4:Z8"/>
    <mergeCell ref="AA4:AA8"/>
    <mergeCell ref="T7:T8"/>
    <mergeCell ref="U7:V7"/>
    <mergeCell ref="W7:W8"/>
    <mergeCell ref="E5:J5"/>
    <mergeCell ref="K5:P5"/>
    <mergeCell ref="Q5:V5"/>
    <mergeCell ref="W5:Y5"/>
    <mergeCell ref="E6:G6"/>
    <mergeCell ref="T6:V6"/>
    <mergeCell ref="W6:Y6"/>
    <mergeCell ref="E7:E8"/>
    <mergeCell ref="F7:G7"/>
    <mergeCell ref="H7:H8"/>
    <mergeCell ref="I7:J7"/>
    <mergeCell ref="Q6:S6"/>
    <mergeCell ref="A1:AA1"/>
    <mergeCell ref="A2:AA2"/>
    <mergeCell ref="X3:AA3"/>
    <mergeCell ref="A4:A8"/>
    <mergeCell ref="B4:B8"/>
    <mergeCell ref="C4:C8"/>
    <mergeCell ref="D4:D8"/>
    <mergeCell ref="E4:P4"/>
    <mergeCell ref="K7:K8"/>
    <mergeCell ref="L7:M7"/>
    <mergeCell ref="N7:N8"/>
    <mergeCell ref="O7:P7"/>
    <mergeCell ref="H6:J6"/>
    <mergeCell ref="K6:M6"/>
    <mergeCell ref="N6:P6"/>
    <mergeCell ref="Q4:Y4"/>
  </mergeCells>
  <printOptions horizontalCentered="1"/>
  <pageMargins left="0.59055118110236227" right="0.19685039370078741" top="0.59055118110236227" bottom="0.59055118110236227" header="0.31496062992125984" footer="0.31496062992125984"/>
  <pageSetup paperSize="9" scale="80" orientation="landscape" r:id="rId1"/>
  <headerFooter>
    <oddFooter>&amp;C&amp;P</oddFooter>
  </headerFooter>
  <colBreaks count="1" manualBreakCount="1">
    <brk id="27" max="1048575"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K144"/>
  <sheetViews>
    <sheetView workbookViewId="0">
      <pane xSplit="2" ySplit="6" topLeftCell="C107" activePane="bottomRight" state="frozen"/>
      <selection pane="topRight" activeCell="C1" sqref="C1"/>
      <selection pane="bottomLeft" activeCell="A7" sqref="A7"/>
      <selection pane="bottomRight" activeCell="E28" sqref="E28"/>
    </sheetView>
  </sheetViews>
  <sheetFormatPr defaultColWidth="52" defaultRowHeight="15"/>
  <cols>
    <col min="1" max="1" width="6.875" style="907" customWidth="1"/>
    <col min="2" max="2" width="65" style="907" customWidth="1"/>
    <col min="3" max="3" width="21.875" style="909" customWidth="1"/>
    <col min="4" max="4" width="14.375" style="910" customWidth="1"/>
    <col min="5" max="5" width="14.375" style="907" customWidth="1"/>
    <col min="6" max="6" width="14.375" style="911" customWidth="1"/>
    <col min="7" max="9" width="14.375" style="907" customWidth="1"/>
    <col min="10" max="243" width="9.125" style="907" customWidth="1"/>
    <col min="244" max="244" width="6.875" style="907" customWidth="1"/>
    <col min="245" max="245" width="52" style="907" customWidth="1"/>
    <col min="246" max="16384" width="52" style="908"/>
  </cols>
  <sheetData>
    <row r="1" spans="1:245" ht="23.25" customHeight="1">
      <c r="A1" s="1151" t="s">
        <v>1788</v>
      </c>
      <c r="B1" s="1151"/>
      <c r="C1" s="1151"/>
      <c r="D1" s="1151"/>
      <c r="E1" s="1151"/>
      <c r="F1" s="1151"/>
      <c r="G1" s="1151"/>
      <c r="H1" s="1151"/>
      <c r="I1" s="1151"/>
    </row>
    <row r="2" spans="1:245" ht="23.25" customHeight="1">
      <c r="A2" s="1155" t="str">
        <f>'B2'!A2:Q2</f>
        <v>(Kèm theo Quyết định số: 2255/QĐ-UBND ngày 15 tháng 12 năm 2024 của UBND tỉnh Lạng Sơn)</v>
      </c>
      <c r="B2" s="1155"/>
      <c r="C2" s="1155"/>
      <c r="D2" s="1155"/>
      <c r="E2" s="1155"/>
      <c r="F2" s="1155"/>
      <c r="G2" s="1155"/>
      <c r="H2" s="1155"/>
      <c r="I2" s="1155"/>
    </row>
    <row r="3" spans="1:245" ht="18.75">
      <c r="G3" s="1152" t="s">
        <v>269</v>
      </c>
      <c r="H3" s="1152"/>
      <c r="I3" s="1152"/>
    </row>
    <row r="4" spans="1:245" ht="17.45" customHeight="1">
      <c r="A4" s="1153" t="s">
        <v>0</v>
      </c>
      <c r="B4" s="1153" t="s">
        <v>254</v>
      </c>
      <c r="C4" s="1153" t="s">
        <v>255</v>
      </c>
      <c r="D4" s="1154" t="s">
        <v>1108</v>
      </c>
      <c r="E4" s="1154" t="s">
        <v>90</v>
      </c>
      <c r="F4" s="1154"/>
      <c r="G4" s="1154"/>
      <c r="H4" s="1154"/>
      <c r="I4" s="1154"/>
    </row>
    <row r="5" spans="1:245" ht="59.25" customHeight="1">
      <c r="A5" s="1153"/>
      <c r="B5" s="1153"/>
      <c r="C5" s="1153"/>
      <c r="D5" s="1154"/>
      <c r="E5" s="912" t="s">
        <v>45</v>
      </c>
      <c r="F5" s="913" t="s">
        <v>44</v>
      </c>
      <c r="G5" s="912" t="s">
        <v>49</v>
      </c>
      <c r="H5" s="912" t="s">
        <v>46</v>
      </c>
      <c r="I5" s="912" t="s">
        <v>54</v>
      </c>
    </row>
    <row r="6" spans="1:245" ht="16.5">
      <c r="A6" s="914" t="s">
        <v>27</v>
      </c>
      <c r="B6" s="914" t="s">
        <v>28</v>
      </c>
      <c r="C6" s="914">
        <v>1</v>
      </c>
      <c r="D6" s="915">
        <v>2</v>
      </c>
      <c r="E6" s="915">
        <v>3</v>
      </c>
      <c r="F6" s="916">
        <v>4</v>
      </c>
      <c r="G6" s="915">
        <v>5</v>
      </c>
      <c r="H6" s="915">
        <v>6</v>
      </c>
      <c r="I6" s="915">
        <v>7</v>
      </c>
    </row>
    <row r="7" spans="1:245" ht="24" customHeight="1">
      <c r="A7" s="917"/>
      <c r="B7" s="917" t="s">
        <v>249</v>
      </c>
      <c r="C7" s="917"/>
      <c r="D7" s="918">
        <f t="shared" ref="D7:I7" si="0">D8+D48+D80+D92</f>
        <v>549389.83161051979</v>
      </c>
      <c r="E7" s="918">
        <f t="shared" si="0"/>
        <v>70999.931289710687</v>
      </c>
      <c r="F7" s="918">
        <f t="shared" si="0"/>
        <v>207069.49758816365</v>
      </c>
      <c r="G7" s="918">
        <f t="shared" si="0"/>
        <v>700</v>
      </c>
      <c r="H7" s="918">
        <f t="shared" si="0"/>
        <v>86620.402732645467</v>
      </c>
      <c r="I7" s="918">
        <f t="shared" si="0"/>
        <v>184000</v>
      </c>
    </row>
    <row r="8" spans="1:245" ht="24" customHeight="1">
      <c r="A8" s="919" t="s">
        <v>1</v>
      </c>
      <c r="B8" s="920" t="s">
        <v>1202</v>
      </c>
      <c r="C8" s="919"/>
      <c r="D8" s="921">
        <f>SUM(D9:D47)</f>
        <v>364000</v>
      </c>
      <c r="E8" s="921">
        <f>SUM(E9:E47)</f>
        <v>15000</v>
      </c>
      <c r="F8" s="921">
        <f t="shared" ref="F8:I8" si="1">SUM(F9:F47)</f>
        <v>110000</v>
      </c>
      <c r="G8" s="921">
        <f t="shared" si="1"/>
        <v>0</v>
      </c>
      <c r="H8" s="921">
        <f t="shared" si="1"/>
        <v>55000</v>
      </c>
      <c r="I8" s="921">
        <f t="shared" si="1"/>
        <v>184000</v>
      </c>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2"/>
      <c r="AY8" s="922"/>
      <c r="AZ8" s="922"/>
      <c r="BA8" s="922"/>
      <c r="BB8" s="922"/>
      <c r="BC8" s="922"/>
      <c r="BD8" s="922"/>
      <c r="BE8" s="922"/>
      <c r="BF8" s="922"/>
      <c r="BG8" s="922"/>
      <c r="BH8" s="922"/>
      <c r="BI8" s="922"/>
      <c r="BJ8" s="922"/>
      <c r="BK8" s="922"/>
      <c r="BL8" s="922"/>
      <c r="BM8" s="922"/>
      <c r="BN8" s="922"/>
      <c r="BO8" s="922"/>
      <c r="BP8" s="922"/>
      <c r="BQ8" s="922"/>
      <c r="BR8" s="922"/>
      <c r="BS8" s="922"/>
      <c r="BT8" s="922"/>
      <c r="BU8" s="922"/>
      <c r="BV8" s="922"/>
      <c r="BW8" s="922"/>
      <c r="BX8" s="922"/>
      <c r="BY8" s="922"/>
      <c r="BZ8" s="922"/>
      <c r="CA8" s="922"/>
      <c r="CB8" s="922"/>
      <c r="CC8" s="922"/>
      <c r="CD8" s="922"/>
      <c r="CE8" s="922"/>
      <c r="CF8" s="922"/>
      <c r="CG8" s="922"/>
      <c r="CH8" s="922"/>
      <c r="CI8" s="922"/>
      <c r="CJ8" s="922"/>
      <c r="CK8" s="922"/>
      <c r="CL8" s="922"/>
      <c r="CM8" s="922"/>
      <c r="CN8" s="922"/>
      <c r="CO8" s="922"/>
      <c r="CP8" s="922"/>
      <c r="CQ8" s="922"/>
      <c r="CR8" s="922"/>
      <c r="CS8" s="922"/>
      <c r="CT8" s="922"/>
      <c r="CU8" s="922"/>
      <c r="CV8" s="922"/>
      <c r="CW8" s="922"/>
      <c r="CX8" s="922"/>
      <c r="CY8" s="922"/>
      <c r="CZ8" s="922"/>
      <c r="DA8" s="922"/>
      <c r="DB8" s="922"/>
      <c r="DC8" s="922"/>
      <c r="DD8" s="922"/>
      <c r="DE8" s="922"/>
      <c r="DF8" s="922"/>
      <c r="DG8" s="922"/>
      <c r="DH8" s="922"/>
      <c r="DI8" s="922"/>
      <c r="DJ8" s="922"/>
      <c r="DK8" s="922"/>
      <c r="DL8" s="922"/>
      <c r="DM8" s="922"/>
      <c r="DN8" s="922"/>
      <c r="DO8" s="922"/>
      <c r="DP8" s="922"/>
      <c r="DQ8" s="922"/>
      <c r="DR8" s="922"/>
      <c r="DS8" s="922"/>
      <c r="DT8" s="922"/>
      <c r="DU8" s="922"/>
      <c r="DV8" s="922"/>
      <c r="DW8" s="922"/>
      <c r="DX8" s="922"/>
      <c r="DY8" s="922"/>
      <c r="DZ8" s="922"/>
      <c r="EA8" s="922"/>
      <c r="EB8" s="922"/>
      <c r="EC8" s="922"/>
      <c r="ED8" s="922"/>
      <c r="EE8" s="922"/>
      <c r="EF8" s="922"/>
      <c r="EG8" s="922"/>
      <c r="EH8" s="922"/>
      <c r="EI8" s="922"/>
      <c r="EJ8" s="922"/>
      <c r="EK8" s="922"/>
      <c r="EL8" s="922"/>
      <c r="EM8" s="922"/>
      <c r="EN8" s="922"/>
      <c r="EO8" s="922"/>
      <c r="EP8" s="922"/>
      <c r="EQ8" s="922"/>
      <c r="ER8" s="922"/>
      <c r="ES8" s="922"/>
      <c r="ET8" s="922"/>
      <c r="EU8" s="922"/>
      <c r="EV8" s="922"/>
      <c r="EW8" s="922"/>
      <c r="EX8" s="922"/>
      <c r="EY8" s="922"/>
      <c r="EZ8" s="922"/>
      <c r="FA8" s="922"/>
      <c r="FB8" s="922"/>
      <c r="FC8" s="922"/>
      <c r="FD8" s="922"/>
      <c r="FE8" s="922"/>
      <c r="FF8" s="922"/>
      <c r="FG8" s="922"/>
      <c r="FH8" s="922"/>
      <c r="FI8" s="922"/>
      <c r="FJ8" s="922"/>
      <c r="FK8" s="922"/>
      <c r="FL8" s="922"/>
      <c r="FM8" s="922"/>
      <c r="FN8" s="922"/>
      <c r="FO8" s="922"/>
      <c r="FP8" s="922"/>
      <c r="FQ8" s="922"/>
      <c r="FR8" s="922"/>
      <c r="FS8" s="922"/>
      <c r="FT8" s="922"/>
      <c r="FU8" s="922"/>
      <c r="FV8" s="922"/>
      <c r="FW8" s="922"/>
      <c r="FX8" s="922"/>
      <c r="FY8" s="922"/>
      <c r="FZ8" s="922"/>
      <c r="GA8" s="922"/>
      <c r="GB8" s="922"/>
      <c r="GC8" s="922"/>
      <c r="GD8" s="922"/>
      <c r="GE8" s="922"/>
      <c r="GF8" s="922"/>
      <c r="GG8" s="922"/>
      <c r="GH8" s="922"/>
      <c r="GI8" s="922"/>
      <c r="GJ8" s="922"/>
      <c r="GK8" s="922"/>
      <c r="GL8" s="922"/>
      <c r="GM8" s="922"/>
      <c r="GN8" s="922"/>
      <c r="GO8" s="922"/>
      <c r="GP8" s="922"/>
      <c r="GQ8" s="922"/>
      <c r="GR8" s="922"/>
      <c r="GS8" s="922"/>
      <c r="GT8" s="922"/>
      <c r="GU8" s="922"/>
      <c r="GV8" s="922"/>
      <c r="GW8" s="922"/>
      <c r="GX8" s="922"/>
      <c r="GY8" s="922"/>
      <c r="GZ8" s="922"/>
      <c r="HA8" s="922"/>
      <c r="HB8" s="922"/>
      <c r="HC8" s="922"/>
      <c r="HD8" s="922"/>
      <c r="HE8" s="922"/>
      <c r="HF8" s="922"/>
      <c r="HG8" s="922"/>
      <c r="HH8" s="922"/>
      <c r="HI8" s="922"/>
      <c r="HJ8" s="922"/>
      <c r="HK8" s="922"/>
      <c r="HL8" s="922"/>
      <c r="HM8" s="922"/>
      <c r="HN8" s="922"/>
      <c r="HO8" s="922"/>
      <c r="HP8" s="922"/>
      <c r="HQ8" s="922"/>
      <c r="HR8" s="922"/>
      <c r="HS8" s="922"/>
      <c r="HT8" s="922"/>
      <c r="HU8" s="922"/>
      <c r="HV8" s="922"/>
      <c r="HW8" s="922"/>
      <c r="HX8" s="922"/>
      <c r="HY8" s="922"/>
      <c r="HZ8" s="922"/>
      <c r="IA8" s="922"/>
      <c r="IB8" s="922"/>
      <c r="IC8" s="922"/>
      <c r="ID8" s="922"/>
      <c r="IE8" s="922"/>
      <c r="IF8" s="922"/>
      <c r="IG8" s="922"/>
      <c r="IH8" s="922"/>
      <c r="II8" s="922"/>
      <c r="IJ8" s="922"/>
      <c r="IK8" s="922"/>
    </row>
    <row r="9" spans="1:245" ht="38.25" customHeight="1">
      <c r="A9" s="923">
        <v>1</v>
      </c>
      <c r="B9" s="924" t="s">
        <v>1203</v>
      </c>
      <c r="C9" s="925" t="s">
        <v>1204</v>
      </c>
      <c r="D9" s="926">
        <f t="shared" ref="D9:D47" si="2">SUM(E9:I9)</f>
        <v>56500</v>
      </c>
      <c r="E9" s="927"/>
      <c r="F9" s="927">
        <v>6500</v>
      </c>
      <c r="G9" s="927"/>
      <c r="H9" s="928">
        <v>50000</v>
      </c>
      <c r="I9" s="926"/>
      <c r="J9" s="922"/>
      <c r="K9" s="922"/>
      <c r="L9" s="922"/>
      <c r="M9" s="922"/>
      <c r="N9" s="922"/>
      <c r="O9" s="922"/>
      <c r="P9" s="922"/>
      <c r="Q9" s="922"/>
      <c r="R9" s="922"/>
      <c r="S9" s="922"/>
      <c r="T9" s="922"/>
      <c r="U9" s="922"/>
      <c r="V9" s="922"/>
      <c r="W9" s="922"/>
      <c r="X9" s="922"/>
      <c r="Y9" s="922"/>
      <c r="Z9" s="922"/>
      <c r="AA9" s="922"/>
      <c r="AB9" s="922"/>
      <c r="AC9" s="922"/>
      <c r="AD9" s="922"/>
      <c r="AE9" s="922"/>
      <c r="AF9" s="922"/>
      <c r="AG9" s="922"/>
      <c r="AH9" s="922"/>
      <c r="AI9" s="922"/>
      <c r="AJ9" s="922"/>
      <c r="AK9" s="922"/>
      <c r="AL9" s="922"/>
      <c r="AM9" s="922"/>
      <c r="AN9" s="922"/>
      <c r="AO9" s="922"/>
      <c r="AP9" s="922"/>
      <c r="AQ9" s="922"/>
      <c r="AR9" s="922"/>
      <c r="AS9" s="922"/>
      <c r="AT9" s="922"/>
      <c r="AU9" s="922"/>
      <c r="AV9" s="922"/>
      <c r="AW9" s="922"/>
      <c r="AX9" s="922"/>
      <c r="AY9" s="922"/>
      <c r="AZ9" s="922"/>
      <c r="BA9" s="922"/>
      <c r="BB9" s="922"/>
      <c r="BC9" s="922"/>
      <c r="BD9" s="922"/>
      <c r="BE9" s="922"/>
      <c r="BF9" s="922"/>
      <c r="BG9" s="922"/>
      <c r="BH9" s="922"/>
      <c r="BI9" s="922"/>
      <c r="BJ9" s="922"/>
      <c r="BK9" s="922"/>
      <c r="BL9" s="922"/>
      <c r="BM9" s="922"/>
      <c r="BN9" s="922"/>
      <c r="BO9" s="922"/>
      <c r="BP9" s="922"/>
      <c r="BQ9" s="922"/>
      <c r="BR9" s="922"/>
      <c r="BS9" s="922"/>
      <c r="BT9" s="922"/>
      <c r="BU9" s="922"/>
      <c r="BV9" s="922"/>
      <c r="BW9" s="922"/>
      <c r="BX9" s="922"/>
      <c r="BY9" s="922"/>
      <c r="BZ9" s="922"/>
      <c r="CA9" s="922"/>
      <c r="CB9" s="922"/>
      <c r="CC9" s="922"/>
      <c r="CD9" s="922"/>
      <c r="CE9" s="922"/>
      <c r="CF9" s="922"/>
      <c r="CG9" s="922"/>
      <c r="CH9" s="922"/>
      <c r="CI9" s="922"/>
      <c r="CJ9" s="922"/>
      <c r="CK9" s="922"/>
      <c r="CL9" s="922"/>
      <c r="CM9" s="922"/>
      <c r="CN9" s="922"/>
      <c r="CO9" s="922"/>
      <c r="CP9" s="922"/>
      <c r="CQ9" s="922"/>
      <c r="CR9" s="922"/>
      <c r="CS9" s="922"/>
      <c r="CT9" s="922"/>
      <c r="CU9" s="922"/>
      <c r="CV9" s="922"/>
      <c r="CW9" s="922"/>
      <c r="CX9" s="922"/>
      <c r="CY9" s="922"/>
      <c r="CZ9" s="922"/>
      <c r="DA9" s="922"/>
      <c r="DB9" s="922"/>
      <c r="DC9" s="922"/>
      <c r="DD9" s="922"/>
      <c r="DE9" s="922"/>
      <c r="DF9" s="922"/>
      <c r="DG9" s="922"/>
      <c r="DH9" s="922"/>
      <c r="DI9" s="922"/>
      <c r="DJ9" s="922"/>
      <c r="DK9" s="922"/>
      <c r="DL9" s="922"/>
      <c r="DM9" s="922"/>
      <c r="DN9" s="922"/>
      <c r="DO9" s="922"/>
      <c r="DP9" s="922"/>
      <c r="DQ9" s="922"/>
      <c r="DR9" s="922"/>
      <c r="DS9" s="922"/>
      <c r="DT9" s="922"/>
      <c r="DU9" s="922"/>
      <c r="DV9" s="922"/>
      <c r="DW9" s="922"/>
      <c r="DX9" s="922"/>
      <c r="DY9" s="922"/>
      <c r="DZ9" s="922"/>
      <c r="EA9" s="922"/>
      <c r="EB9" s="922"/>
      <c r="EC9" s="922"/>
      <c r="ED9" s="922"/>
      <c r="EE9" s="922"/>
      <c r="EF9" s="922"/>
      <c r="EG9" s="922"/>
      <c r="EH9" s="922"/>
      <c r="EI9" s="922"/>
      <c r="EJ9" s="922"/>
      <c r="EK9" s="922"/>
      <c r="EL9" s="922"/>
      <c r="EM9" s="922"/>
      <c r="EN9" s="922"/>
      <c r="EO9" s="922"/>
      <c r="EP9" s="922"/>
      <c r="EQ9" s="922"/>
      <c r="ER9" s="922"/>
      <c r="ES9" s="922"/>
      <c r="ET9" s="922"/>
      <c r="EU9" s="922"/>
      <c r="EV9" s="922"/>
      <c r="EW9" s="922"/>
      <c r="EX9" s="922"/>
      <c r="EY9" s="922"/>
      <c r="EZ9" s="922"/>
      <c r="FA9" s="922"/>
      <c r="FB9" s="922"/>
      <c r="FC9" s="922"/>
      <c r="FD9" s="922"/>
      <c r="FE9" s="922"/>
      <c r="FF9" s="922"/>
      <c r="FG9" s="922"/>
      <c r="FH9" s="922"/>
      <c r="FI9" s="922"/>
      <c r="FJ9" s="922"/>
      <c r="FK9" s="922"/>
      <c r="FL9" s="922"/>
      <c r="FM9" s="922"/>
      <c r="FN9" s="922"/>
      <c r="FO9" s="922"/>
      <c r="FP9" s="922"/>
      <c r="FQ9" s="922"/>
      <c r="FR9" s="922"/>
      <c r="FS9" s="922"/>
      <c r="FT9" s="922"/>
      <c r="FU9" s="922"/>
      <c r="FV9" s="922"/>
      <c r="FW9" s="922"/>
      <c r="FX9" s="922"/>
      <c r="FY9" s="922"/>
      <c r="FZ9" s="922"/>
      <c r="GA9" s="922"/>
      <c r="GB9" s="922"/>
      <c r="GC9" s="922"/>
      <c r="GD9" s="922"/>
      <c r="GE9" s="922"/>
      <c r="GF9" s="922"/>
      <c r="GG9" s="922"/>
      <c r="GH9" s="922"/>
      <c r="GI9" s="922"/>
      <c r="GJ9" s="922"/>
      <c r="GK9" s="922"/>
      <c r="GL9" s="922"/>
      <c r="GM9" s="922"/>
      <c r="GN9" s="922"/>
      <c r="GO9" s="922"/>
      <c r="GP9" s="922"/>
      <c r="GQ9" s="922"/>
      <c r="GR9" s="922"/>
      <c r="GS9" s="922"/>
      <c r="GT9" s="922"/>
      <c r="GU9" s="922"/>
      <c r="GV9" s="922"/>
      <c r="GW9" s="922"/>
      <c r="GX9" s="922"/>
      <c r="GY9" s="922"/>
      <c r="GZ9" s="922"/>
      <c r="HA9" s="922"/>
      <c r="HB9" s="922"/>
      <c r="HC9" s="922"/>
      <c r="HD9" s="922"/>
      <c r="HE9" s="922"/>
      <c r="HF9" s="922"/>
      <c r="HG9" s="922"/>
      <c r="HH9" s="922"/>
      <c r="HI9" s="922"/>
      <c r="HJ9" s="922"/>
      <c r="HK9" s="922"/>
      <c r="HL9" s="922"/>
      <c r="HM9" s="922"/>
      <c r="HN9" s="922"/>
      <c r="HO9" s="922"/>
      <c r="HP9" s="922"/>
      <c r="HQ9" s="922"/>
      <c r="HR9" s="922"/>
      <c r="HS9" s="922"/>
      <c r="HT9" s="922"/>
      <c r="HU9" s="922"/>
      <c r="HV9" s="922"/>
      <c r="HW9" s="922"/>
      <c r="HX9" s="922"/>
      <c r="HY9" s="922"/>
      <c r="HZ9" s="922"/>
      <c r="IA9" s="922"/>
      <c r="IB9" s="922"/>
      <c r="IC9" s="922"/>
      <c r="ID9" s="922"/>
      <c r="IE9" s="922"/>
      <c r="IF9" s="922"/>
      <c r="IG9" s="922"/>
      <c r="IH9" s="922"/>
      <c r="II9" s="922"/>
      <c r="IJ9" s="922"/>
      <c r="IK9" s="922"/>
    </row>
    <row r="10" spans="1:245" ht="24" customHeight="1">
      <c r="A10" s="923">
        <v>2</v>
      </c>
      <c r="B10" s="924" t="s">
        <v>1205</v>
      </c>
      <c r="C10" s="925" t="s">
        <v>1206</v>
      </c>
      <c r="D10" s="926">
        <f t="shared" si="2"/>
        <v>420</v>
      </c>
      <c r="E10" s="927">
        <v>420</v>
      </c>
      <c r="F10" s="927"/>
      <c r="G10" s="927"/>
      <c r="H10" s="928"/>
      <c r="I10" s="926"/>
      <c r="J10" s="922"/>
      <c r="K10" s="922"/>
      <c r="L10" s="922"/>
      <c r="M10" s="922"/>
      <c r="N10" s="922"/>
      <c r="O10" s="922"/>
      <c r="P10" s="922"/>
      <c r="Q10" s="922"/>
      <c r="R10" s="922"/>
      <c r="S10" s="922"/>
      <c r="T10" s="922"/>
      <c r="U10" s="922"/>
      <c r="V10" s="922"/>
      <c r="W10" s="922"/>
      <c r="X10" s="922"/>
      <c r="Y10" s="922"/>
      <c r="Z10" s="922"/>
      <c r="AA10" s="922"/>
      <c r="AB10" s="922"/>
      <c r="AC10" s="922"/>
      <c r="AD10" s="922"/>
      <c r="AE10" s="922"/>
      <c r="AF10" s="922"/>
      <c r="AG10" s="922"/>
      <c r="AH10" s="922"/>
      <c r="AI10" s="922"/>
      <c r="AJ10" s="922"/>
      <c r="AK10" s="922"/>
      <c r="AL10" s="922"/>
      <c r="AM10" s="922"/>
      <c r="AN10" s="922"/>
      <c r="AO10" s="922"/>
      <c r="AP10" s="922"/>
      <c r="AQ10" s="922"/>
      <c r="AR10" s="922"/>
      <c r="AS10" s="922"/>
      <c r="AT10" s="922"/>
      <c r="AU10" s="922"/>
      <c r="AV10" s="922"/>
      <c r="AW10" s="922"/>
      <c r="AX10" s="922"/>
      <c r="AY10" s="922"/>
      <c r="AZ10" s="922"/>
      <c r="BA10" s="922"/>
      <c r="BB10" s="922"/>
      <c r="BC10" s="922"/>
      <c r="BD10" s="922"/>
      <c r="BE10" s="922"/>
      <c r="BF10" s="922"/>
      <c r="BG10" s="922"/>
      <c r="BH10" s="922"/>
      <c r="BI10" s="922"/>
      <c r="BJ10" s="922"/>
      <c r="BK10" s="922"/>
      <c r="BL10" s="922"/>
      <c r="BM10" s="922"/>
      <c r="BN10" s="922"/>
      <c r="BO10" s="922"/>
      <c r="BP10" s="922"/>
      <c r="BQ10" s="922"/>
      <c r="BR10" s="922"/>
      <c r="BS10" s="922"/>
      <c r="BT10" s="922"/>
      <c r="BU10" s="922"/>
      <c r="BV10" s="922"/>
      <c r="BW10" s="922"/>
      <c r="BX10" s="922"/>
      <c r="BY10" s="922"/>
      <c r="BZ10" s="922"/>
      <c r="CA10" s="922"/>
      <c r="CB10" s="922"/>
      <c r="CC10" s="922"/>
      <c r="CD10" s="922"/>
      <c r="CE10" s="922"/>
      <c r="CF10" s="922"/>
      <c r="CG10" s="922"/>
      <c r="CH10" s="922"/>
      <c r="CI10" s="922"/>
      <c r="CJ10" s="922"/>
      <c r="CK10" s="922"/>
      <c r="CL10" s="922"/>
      <c r="CM10" s="922"/>
      <c r="CN10" s="922"/>
      <c r="CO10" s="922"/>
      <c r="CP10" s="922"/>
      <c r="CQ10" s="922"/>
      <c r="CR10" s="922"/>
      <c r="CS10" s="922"/>
      <c r="CT10" s="922"/>
      <c r="CU10" s="922"/>
      <c r="CV10" s="922"/>
      <c r="CW10" s="922"/>
      <c r="CX10" s="922"/>
      <c r="CY10" s="922"/>
      <c r="CZ10" s="922"/>
      <c r="DA10" s="922"/>
      <c r="DB10" s="922"/>
      <c r="DC10" s="922"/>
      <c r="DD10" s="922"/>
      <c r="DE10" s="922"/>
      <c r="DF10" s="922"/>
      <c r="DG10" s="922"/>
      <c r="DH10" s="922"/>
      <c r="DI10" s="922"/>
      <c r="DJ10" s="922"/>
      <c r="DK10" s="922"/>
      <c r="DL10" s="922"/>
      <c r="DM10" s="922"/>
      <c r="DN10" s="922"/>
      <c r="DO10" s="922"/>
      <c r="DP10" s="922"/>
      <c r="DQ10" s="922"/>
      <c r="DR10" s="922"/>
      <c r="DS10" s="922"/>
      <c r="DT10" s="922"/>
      <c r="DU10" s="922"/>
      <c r="DV10" s="922"/>
      <c r="DW10" s="922"/>
      <c r="DX10" s="922"/>
      <c r="DY10" s="922"/>
      <c r="DZ10" s="922"/>
      <c r="EA10" s="922"/>
      <c r="EB10" s="922"/>
      <c r="EC10" s="922"/>
      <c r="ED10" s="922"/>
      <c r="EE10" s="922"/>
      <c r="EF10" s="922"/>
      <c r="EG10" s="922"/>
      <c r="EH10" s="922"/>
      <c r="EI10" s="922"/>
      <c r="EJ10" s="922"/>
      <c r="EK10" s="922"/>
      <c r="EL10" s="922"/>
      <c r="EM10" s="922"/>
      <c r="EN10" s="922"/>
      <c r="EO10" s="922"/>
      <c r="EP10" s="922"/>
      <c r="EQ10" s="922"/>
      <c r="ER10" s="922"/>
      <c r="ES10" s="922"/>
      <c r="ET10" s="922"/>
      <c r="EU10" s="922"/>
      <c r="EV10" s="922"/>
      <c r="EW10" s="922"/>
      <c r="EX10" s="922"/>
      <c r="EY10" s="922"/>
      <c r="EZ10" s="922"/>
      <c r="FA10" s="922"/>
      <c r="FB10" s="922"/>
      <c r="FC10" s="922"/>
      <c r="FD10" s="922"/>
      <c r="FE10" s="922"/>
      <c r="FF10" s="922"/>
      <c r="FG10" s="922"/>
      <c r="FH10" s="922"/>
      <c r="FI10" s="922"/>
      <c r="FJ10" s="922"/>
      <c r="FK10" s="922"/>
      <c r="FL10" s="922"/>
      <c r="FM10" s="922"/>
      <c r="FN10" s="922"/>
      <c r="FO10" s="922"/>
      <c r="FP10" s="922"/>
      <c r="FQ10" s="922"/>
      <c r="FR10" s="922"/>
      <c r="FS10" s="922"/>
      <c r="FT10" s="922"/>
      <c r="FU10" s="922"/>
      <c r="FV10" s="922"/>
      <c r="FW10" s="922"/>
      <c r="FX10" s="922"/>
      <c r="FY10" s="922"/>
      <c r="FZ10" s="922"/>
      <c r="GA10" s="922"/>
      <c r="GB10" s="922"/>
      <c r="GC10" s="922"/>
      <c r="GD10" s="922"/>
      <c r="GE10" s="922"/>
      <c r="GF10" s="922"/>
      <c r="GG10" s="922"/>
      <c r="GH10" s="922"/>
      <c r="GI10" s="922"/>
      <c r="GJ10" s="922"/>
      <c r="GK10" s="922"/>
      <c r="GL10" s="922"/>
      <c r="GM10" s="922"/>
      <c r="GN10" s="922"/>
      <c r="GO10" s="922"/>
      <c r="GP10" s="922"/>
      <c r="GQ10" s="922"/>
      <c r="GR10" s="922"/>
      <c r="GS10" s="922"/>
      <c r="GT10" s="922"/>
      <c r="GU10" s="922"/>
      <c r="GV10" s="922"/>
      <c r="GW10" s="922"/>
      <c r="GX10" s="922"/>
      <c r="GY10" s="922"/>
      <c r="GZ10" s="922"/>
      <c r="HA10" s="922"/>
      <c r="HB10" s="922"/>
      <c r="HC10" s="922"/>
      <c r="HD10" s="922"/>
      <c r="HE10" s="922"/>
      <c r="HF10" s="922"/>
      <c r="HG10" s="922"/>
      <c r="HH10" s="922"/>
      <c r="HI10" s="922"/>
      <c r="HJ10" s="922"/>
      <c r="HK10" s="922"/>
      <c r="HL10" s="922"/>
      <c r="HM10" s="922"/>
      <c r="HN10" s="922"/>
      <c r="HO10" s="922"/>
      <c r="HP10" s="922"/>
      <c r="HQ10" s="922"/>
      <c r="HR10" s="922"/>
      <c r="HS10" s="922"/>
      <c r="HT10" s="922"/>
      <c r="HU10" s="922"/>
      <c r="HV10" s="922"/>
      <c r="HW10" s="922"/>
      <c r="HX10" s="922"/>
      <c r="HY10" s="922"/>
      <c r="HZ10" s="922"/>
      <c r="IA10" s="922"/>
      <c r="IB10" s="922"/>
      <c r="IC10" s="922"/>
      <c r="ID10" s="922"/>
      <c r="IE10" s="922"/>
      <c r="IF10" s="922"/>
      <c r="IG10" s="922"/>
      <c r="IH10" s="922"/>
      <c r="II10" s="922"/>
      <c r="IJ10" s="922"/>
      <c r="IK10" s="922"/>
    </row>
    <row r="11" spans="1:245" ht="38.25" hidden="1" customHeight="1">
      <c r="A11" s="923">
        <v>3</v>
      </c>
      <c r="B11" s="924" t="s">
        <v>1207</v>
      </c>
      <c r="C11" s="925" t="s">
        <v>1208</v>
      </c>
      <c r="D11" s="926">
        <f t="shared" si="2"/>
        <v>0</v>
      </c>
      <c r="E11" s="927"/>
      <c r="F11" s="927">
        <v>0</v>
      </c>
      <c r="G11" s="927"/>
      <c r="H11" s="928"/>
      <c r="I11" s="926"/>
      <c r="J11" s="922"/>
      <c r="K11" s="922"/>
      <c r="L11" s="922"/>
      <c r="M11" s="922"/>
      <c r="N11" s="922"/>
      <c r="O11" s="922"/>
      <c r="P11" s="922"/>
      <c r="Q11" s="922"/>
      <c r="R11" s="922"/>
      <c r="S11" s="922"/>
      <c r="T11" s="922"/>
      <c r="U11" s="922"/>
      <c r="V11" s="922"/>
      <c r="W11" s="922"/>
      <c r="X11" s="922"/>
      <c r="Y11" s="922"/>
      <c r="Z11" s="922"/>
      <c r="AA11" s="922"/>
      <c r="AB11" s="922"/>
      <c r="AC11" s="922"/>
      <c r="AD11" s="922"/>
      <c r="AE11" s="922"/>
      <c r="AF11" s="922"/>
      <c r="AG11" s="922"/>
      <c r="AH11" s="922"/>
      <c r="AI11" s="922"/>
      <c r="AJ11" s="922"/>
      <c r="AK11" s="922"/>
      <c r="AL11" s="922"/>
      <c r="AM11" s="922"/>
      <c r="AN11" s="922"/>
      <c r="AO11" s="922"/>
      <c r="AP11" s="922"/>
      <c r="AQ11" s="922"/>
      <c r="AR11" s="922"/>
      <c r="AS11" s="922"/>
      <c r="AT11" s="922"/>
      <c r="AU11" s="922"/>
      <c r="AV11" s="922"/>
      <c r="AW11" s="922"/>
      <c r="AX11" s="922"/>
      <c r="AY11" s="922"/>
      <c r="AZ11" s="922"/>
      <c r="BA11" s="922"/>
      <c r="BB11" s="922"/>
      <c r="BC11" s="922"/>
      <c r="BD11" s="922"/>
      <c r="BE11" s="922"/>
      <c r="BF11" s="922"/>
      <c r="BG11" s="922"/>
      <c r="BH11" s="922"/>
      <c r="BI11" s="922"/>
      <c r="BJ11" s="922"/>
      <c r="BK11" s="922"/>
      <c r="BL11" s="922"/>
      <c r="BM11" s="922"/>
      <c r="BN11" s="922"/>
      <c r="BO11" s="922"/>
      <c r="BP11" s="922"/>
      <c r="BQ11" s="922"/>
      <c r="BR11" s="922"/>
      <c r="BS11" s="922"/>
      <c r="BT11" s="922"/>
      <c r="BU11" s="922"/>
      <c r="BV11" s="922"/>
      <c r="BW11" s="922"/>
      <c r="BX11" s="922"/>
      <c r="BY11" s="922"/>
      <c r="BZ11" s="922"/>
      <c r="CA11" s="922"/>
      <c r="CB11" s="922"/>
      <c r="CC11" s="922"/>
      <c r="CD11" s="922"/>
      <c r="CE11" s="922"/>
      <c r="CF11" s="922"/>
      <c r="CG11" s="922"/>
      <c r="CH11" s="922"/>
      <c r="CI11" s="922"/>
      <c r="CJ11" s="922"/>
      <c r="CK11" s="922"/>
      <c r="CL11" s="922"/>
      <c r="CM11" s="922"/>
      <c r="CN11" s="922"/>
      <c r="CO11" s="922"/>
      <c r="CP11" s="922"/>
      <c r="CQ11" s="922"/>
      <c r="CR11" s="922"/>
      <c r="CS11" s="922"/>
      <c r="CT11" s="922"/>
      <c r="CU11" s="922"/>
      <c r="CV11" s="922"/>
      <c r="CW11" s="922"/>
      <c r="CX11" s="922"/>
      <c r="CY11" s="922"/>
      <c r="CZ11" s="922"/>
      <c r="DA11" s="922"/>
      <c r="DB11" s="922"/>
      <c r="DC11" s="922"/>
      <c r="DD11" s="922"/>
      <c r="DE11" s="922"/>
      <c r="DF11" s="922"/>
      <c r="DG11" s="922"/>
      <c r="DH11" s="922"/>
      <c r="DI11" s="922"/>
      <c r="DJ11" s="922"/>
      <c r="DK11" s="922"/>
      <c r="DL11" s="922"/>
      <c r="DM11" s="922"/>
      <c r="DN11" s="922"/>
      <c r="DO11" s="922"/>
      <c r="DP11" s="922"/>
      <c r="DQ11" s="922"/>
      <c r="DR11" s="922"/>
      <c r="DS11" s="922"/>
      <c r="DT11" s="922"/>
      <c r="DU11" s="922"/>
      <c r="DV11" s="922"/>
      <c r="DW11" s="922"/>
      <c r="DX11" s="922"/>
      <c r="DY11" s="922"/>
      <c r="DZ11" s="922"/>
      <c r="EA11" s="922"/>
      <c r="EB11" s="922"/>
      <c r="EC11" s="922"/>
      <c r="ED11" s="922"/>
      <c r="EE11" s="922"/>
      <c r="EF11" s="922"/>
      <c r="EG11" s="922"/>
      <c r="EH11" s="922"/>
      <c r="EI11" s="922"/>
      <c r="EJ11" s="922"/>
      <c r="EK11" s="922"/>
      <c r="EL11" s="922"/>
      <c r="EM11" s="922"/>
      <c r="EN11" s="922"/>
      <c r="EO11" s="922"/>
      <c r="EP11" s="922"/>
      <c r="EQ11" s="922"/>
      <c r="ER11" s="922"/>
      <c r="ES11" s="922"/>
      <c r="ET11" s="922"/>
      <c r="EU11" s="922"/>
      <c r="EV11" s="922"/>
      <c r="EW11" s="922"/>
      <c r="EX11" s="922"/>
      <c r="EY11" s="922"/>
      <c r="EZ11" s="922"/>
      <c r="FA11" s="922"/>
      <c r="FB11" s="922"/>
      <c r="FC11" s="922"/>
      <c r="FD11" s="922"/>
      <c r="FE11" s="922"/>
      <c r="FF11" s="922"/>
      <c r="FG11" s="922"/>
      <c r="FH11" s="922"/>
      <c r="FI11" s="922"/>
      <c r="FJ11" s="922"/>
      <c r="FK11" s="922"/>
      <c r="FL11" s="922"/>
      <c r="FM11" s="922"/>
      <c r="FN11" s="922"/>
      <c r="FO11" s="922"/>
      <c r="FP11" s="922"/>
      <c r="FQ11" s="922"/>
      <c r="FR11" s="922"/>
      <c r="FS11" s="922"/>
      <c r="FT11" s="922"/>
      <c r="FU11" s="922"/>
      <c r="FV11" s="922"/>
      <c r="FW11" s="922"/>
      <c r="FX11" s="922"/>
      <c r="FY11" s="922"/>
      <c r="FZ11" s="922"/>
      <c r="GA11" s="922"/>
      <c r="GB11" s="922"/>
      <c r="GC11" s="922"/>
      <c r="GD11" s="922"/>
      <c r="GE11" s="922"/>
      <c r="GF11" s="922"/>
      <c r="GG11" s="922"/>
      <c r="GH11" s="922"/>
      <c r="GI11" s="922"/>
      <c r="GJ11" s="922"/>
      <c r="GK11" s="922"/>
      <c r="GL11" s="922"/>
      <c r="GM11" s="922"/>
      <c r="GN11" s="922"/>
      <c r="GO11" s="922"/>
      <c r="GP11" s="922"/>
      <c r="GQ11" s="922"/>
      <c r="GR11" s="922"/>
      <c r="GS11" s="922"/>
      <c r="GT11" s="922"/>
      <c r="GU11" s="922"/>
      <c r="GV11" s="922"/>
      <c r="GW11" s="922"/>
      <c r="GX11" s="922"/>
      <c r="GY11" s="922"/>
      <c r="GZ11" s="922"/>
      <c r="HA11" s="922"/>
      <c r="HB11" s="922"/>
      <c r="HC11" s="922"/>
      <c r="HD11" s="922"/>
      <c r="HE11" s="922"/>
      <c r="HF11" s="922"/>
      <c r="HG11" s="922"/>
      <c r="HH11" s="922"/>
      <c r="HI11" s="922"/>
      <c r="HJ11" s="922"/>
      <c r="HK11" s="922"/>
      <c r="HL11" s="922"/>
      <c r="HM11" s="922"/>
      <c r="HN11" s="922"/>
      <c r="HO11" s="922"/>
      <c r="HP11" s="922"/>
      <c r="HQ11" s="922"/>
      <c r="HR11" s="922"/>
      <c r="HS11" s="922"/>
      <c r="HT11" s="922"/>
      <c r="HU11" s="922"/>
      <c r="HV11" s="922"/>
      <c r="HW11" s="922"/>
      <c r="HX11" s="922"/>
      <c r="HY11" s="922"/>
      <c r="HZ11" s="922"/>
      <c r="IA11" s="922"/>
      <c r="IB11" s="922"/>
      <c r="IC11" s="922"/>
      <c r="ID11" s="922"/>
      <c r="IE11" s="922"/>
      <c r="IF11" s="922"/>
      <c r="IG11" s="922"/>
      <c r="IH11" s="922"/>
      <c r="II11" s="922"/>
      <c r="IJ11" s="922"/>
      <c r="IK11" s="922"/>
    </row>
    <row r="12" spans="1:245" ht="24" customHeight="1">
      <c r="A12" s="923">
        <v>3</v>
      </c>
      <c r="B12" s="924" t="s">
        <v>1209</v>
      </c>
      <c r="C12" s="925" t="s">
        <v>1210</v>
      </c>
      <c r="D12" s="926">
        <f t="shared" si="2"/>
        <v>9000</v>
      </c>
      <c r="E12" s="927"/>
      <c r="F12" s="927">
        <v>9000</v>
      </c>
      <c r="G12" s="927"/>
      <c r="H12" s="928"/>
      <c r="I12" s="926"/>
      <c r="J12" s="922"/>
      <c r="K12" s="922"/>
      <c r="L12" s="922"/>
      <c r="M12" s="922"/>
      <c r="N12" s="922"/>
      <c r="O12" s="922"/>
      <c r="P12" s="922"/>
      <c r="Q12" s="922"/>
      <c r="R12" s="922"/>
      <c r="S12" s="922"/>
      <c r="T12" s="922"/>
      <c r="U12" s="922"/>
      <c r="V12" s="922"/>
      <c r="W12" s="922"/>
      <c r="X12" s="922"/>
      <c r="Y12" s="922"/>
      <c r="Z12" s="922"/>
      <c r="AA12" s="922"/>
      <c r="AB12" s="922"/>
      <c r="AC12" s="922"/>
      <c r="AD12" s="922"/>
      <c r="AE12" s="922"/>
      <c r="AF12" s="922"/>
      <c r="AG12" s="922"/>
      <c r="AH12" s="922"/>
      <c r="AI12" s="922"/>
      <c r="AJ12" s="922"/>
      <c r="AK12" s="922"/>
      <c r="AL12" s="922"/>
      <c r="AM12" s="922"/>
      <c r="AN12" s="922"/>
      <c r="AO12" s="922"/>
      <c r="AP12" s="922"/>
      <c r="AQ12" s="922"/>
      <c r="AR12" s="922"/>
      <c r="AS12" s="922"/>
      <c r="AT12" s="922"/>
      <c r="AU12" s="922"/>
      <c r="AV12" s="922"/>
      <c r="AW12" s="922"/>
      <c r="AX12" s="922"/>
      <c r="AY12" s="922"/>
      <c r="AZ12" s="922"/>
      <c r="BA12" s="922"/>
      <c r="BB12" s="922"/>
      <c r="BC12" s="922"/>
      <c r="BD12" s="922"/>
      <c r="BE12" s="922"/>
      <c r="BF12" s="922"/>
      <c r="BG12" s="922"/>
      <c r="BH12" s="922"/>
      <c r="BI12" s="922"/>
      <c r="BJ12" s="922"/>
      <c r="BK12" s="922"/>
      <c r="BL12" s="922"/>
      <c r="BM12" s="922"/>
      <c r="BN12" s="922"/>
      <c r="BO12" s="922"/>
      <c r="BP12" s="922"/>
      <c r="BQ12" s="922"/>
      <c r="BR12" s="922"/>
      <c r="BS12" s="922"/>
      <c r="BT12" s="922"/>
      <c r="BU12" s="922"/>
      <c r="BV12" s="922"/>
      <c r="BW12" s="922"/>
      <c r="BX12" s="922"/>
      <c r="BY12" s="922"/>
      <c r="BZ12" s="922"/>
      <c r="CA12" s="922"/>
      <c r="CB12" s="922"/>
      <c r="CC12" s="922"/>
      <c r="CD12" s="922"/>
      <c r="CE12" s="922"/>
      <c r="CF12" s="922"/>
      <c r="CG12" s="922"/>
      <c r="CH12" s="922"/>
      <c r="CI12" s="922"/>
      <c r="CJ12" s="922"/>
      <c r="CK12" s="922"/>
      <c r="CL12" s="922"/>
      <c r="CM12" s="922"/>
      <c r="CN12" s="922"/>
      <c r="CO12" s="922"/>
      <c r="CP12" s="922"/>
      <c r="CQ12" s="922"/>
      <c r="CR12" s="922"/>
      <c r="CS12" s="922"/>
      <c r="CT12" s="922"/>
      <c r="CU12" s="922"/>
      <c r="CV12" s="922"/>
      <c r="CW12" s="922"/>
      <c r="CX12" s="922"/>
      <c r="CY12" s="922"/>
      <c r="CZ12" s="922"/>
      <c r="DA12" s="922"/>
      <c r="DB12" s="922"/>
      <c r="DC12" s="922"/>
      <c r="DD12" s="922"/>
      <c r="DE12" s="922"/>
      <c r="DF12" s="922"/>
      <c r="DG12" s="922"/>
      <c r="DH12" s="922"/>
      <c r="DI12" s="922"/>
      <c r="DJ12" s="922"/>
      <c r="DK12" s="922"/>
      <c r="DL12" s="922"/>
      <c r="DM12" s="922"/>
      <c r="DN12" s="922"/>
      <c r="DO12" s="922"/>
      <c r="DP12" s="922"/>
      <c r="DQ12" s="922"/>
      <c r="DR12" s="922"/>
      <c r="DS12" s="922"/>
      <c r="DT12" s="922"/>
      <c r="DU12" s="922"/>
      <c r="DV12" s="922"/>
      <c r="DW12" s="922"/>
      <c r="DX12" s="922"/>
      <c r="DY12" s="922"/>
      <c r="DZ12" s="922"/>
      <c r="EA12" s="922"/>
      <c r="EB12" s="922"/>
      <c r="EC12" s="922"/>
      <c r="ED12" s="922"/>
      <c r="EE12" s="922"/>
      <c r="EF12" s="922"/>
      <c r="EG12" s="922"/>
      <c r="EH12" s="922"/>
      <c r="EI12" s="922"/>
      <c r="EJ12" s="922"/>
      <c r="EK12" s="922"/>
      <c r="EL12" s="922"/>
      <c r="EM12" s="922"/>
      <c r="EN12" s="922"/>
      <c r="EO12" s="922"/>
      <c r="EP12" s="922"/>
      <c r="EQ12" s="922"/>
      <c r="ER12" s="922"/>
      <c r="ES12" s="922"/>
      <c r="ET12" s="922"/>
      <c r="EU12" s="922"/>
      <c r="EV12" s="922"/>
      <c r="EW12" s="922"/>
      <c r="EX12" s="922"/>
      <c r="EY12" s="922"/>
      <c r="EZ12" s="922"/>
      <c r="FA12" s="922"/>
      <c r="FB12" s="922"/>
      <c r="FC12" s="922"/>
      <c r="FD12" s="922"/>
      <c r="FE12" s="922"/>
      <c r="FF12" s="922"/>
      <c r="FG12" s="922"/>
      <c r="FH12" s="922"/>
      <c r="FI12" s="922"/>
      <c r="FJ12" s="922"/>
      <c r="FK12" s="922"/>
      <c r="FL12" s="922"/>
      <c r="FM12" s="922"/>
      <c r="FN12" s="922"/>
      <c r="FO12" s="922"/>
      <c r="FP12" s="922"/>
      <c r="FQ12" s="922"/>
      <c r="FR12" s="922"/>
      <c r="FS12" s="922"/>
      <c r="FT12" s="922"/>
      <c r="FU12" s="922"/>
      <c r="FV12" s="922"/>
      <c r="FW12" s="922"/>
      <c r="FX12" s="922"/>
      <c r="FY12" s="922"/>
      <c r="FZ12" s="922"/>
      <c r="GA12" s="922"/>
      <c r="GB12" s="922"/>
      <c r="GC12" s="922"/>
      <c r="GD12" s="922"/>
      <c r="GE12" s="922"/>
      <c r="GF12" s="922"/>
      <c r="GG12" s="922"/>
      <c r="GH12" s="922"/>
      <c r="GI12" s="922"/>
      <c r="GJ12" s="922"/>
      <c r="GK12" s="922"/>
      <c r="GL12" s="922"/>
      <c r="GM12" s="922"/>
      <c r="GN12" s="922"/>
      <c r="GO12" s="922"/>
      <c r="GP12" s="922"/>
      <c r="GQ12" s="922"/>
      <c r="GR12" s="922"/>
      <c r="GS12" s="922"/>
      <c r="GT12" s="922"/>
      <c r="GU12" s="922"/>
      <c r="GV12" s="922"/>
      <c r="GW12" s="922"/>
      <c r="GX12" s="922"/>
      <c r="GY12" s="922"/>
      <c r="GZ12" s="922"/>
      <c r="HA12" s="922"/>
      <c r="HB12" s="922"/>
      <c r="HC12" s="922"/>
      <c r="HD12" s="922"/>
      <c r="HE12" s="922"/>
      <c r="HF12" s="922"/>
      <c r="HG12" s="922"/>
      <c r="HH12" s="922"/>
      <c r="HI12" s="922"/>
      <c r="HJ12" s="922"/>
      <c r="HK12" s="922"/>
      <c r="HL12" s="922"/>
      <c r="HM12" s="922"/>
      <c r="HN12" s="922"/>
      <c r="HO12" s="922"/>
      <c r="HP12" s="922"/>
      <c r="HQ12" s="922"/>
      <c r="HR12" s="922"/>
      <c r="HS12" s="922"/>
      <c r="HT12" s="922"/>
      <c r="HU12" s="922"/>
      <c r="HV12" s="922"/>
      <c r="HW12" s="922"/>
      <c r="HX12" s="922"/>
      <c r="HY12" s="922"/>
      <c r="HZ12" s="922"/>
      <c r="IA12" s="922"/>
      <c r="IB12" s="922"/>
      <c r="IC12" s="922"/>
      <c r="ID12" s="922"/>
      <c r="IE12" s="922"/>
      <c r="IF12" s="922"/>
      <c r="IG12" s="922"/>
      <c r="IH12" s="922"/>
      <c r="II12" s="922"/>
      <c r="IJ12" s="922"/>
      <c r="IK12" s="922"/>
    </row>
    <row r="13" spans="1:245" ht="24" customHeight="1">
      <c r="A13" s="923">
        <v>4</v>
      </c>
      <c r="B13" s="929" t="s">
        <v>1211</v>
      </c>
      <c r="C13" s="925" t="s">
        <v>1212</v>
      </c>
      <c r="D13" s="926">
        <f t="shared" si="2"/>
        <v>188500</v>
      </c>
      <c r="E13" s="927"/>
      <c r="F13" s="927">
        <v>14500</v>
      </c>
      <c r="G13" s="927"/>
      <c r="H13" s="928"/>
      <c r="I13" s="926">
        <v>174000</v>
      </c>
      <c r="J13" s="922"/>
      <c r="K13" s="922"/>
      <c r="L13" s="922"/>
      <c r="M13" s="922"/>
      <c r="N13" s="922"/>
      <c r="O13" s="922"/>
      <c r="P13" s="922"/>
      <c r="Q13" s="922"/>
      <c r="R13" s="922"/>
      <c r="S13" s="922"/>
      <c r="T13" s="922"/>
      <c r="U13" s="922"/>
      <c r="V13" s="922"/>
      <c r="W13" s="922"/>
      <c r="X13" s="922"/>
      <c r="Y13" s="922"/>
      <c r="Z13" s="922"/>
      <c r="AA13" s="922"/>
      <c r="AB13" s="922"/>
      <c r="AC13" s="922"/>
      <c r="AD13" s="922"/>
      <c r="AE13" s="922"/>
      <c r="AF13" s="922"/>
      <c r="AG13" s="922"/>
      <c r="AH13" s="922"/>
      <c r="AI13" s="922"/>
      <c r="AJ13" s="922"/>
      <c r="AK13" s="922"/>
      <c r="AL13" s="922"/>
      <c r="AM13" s="922"/>
      <c r="AN13" s="922"/>
      <c r="AO13" s="922"/>
      <c r="AP13" s="922"/>
      <c r="AQ13" s="922"/>
      <c r="AR13" s="922"/>
      <c r="AS13" s="922"/>
      <c r="AT13" s="922"/>
      <c r="AU13" s="922"/>
      <c r="AV13" s="922"/>
      <c r="AW13" s="922"/>
      <c r="AX13" s="922"/>
      <c r="AY13" s="922"/>
      <c r="AZ13" s="922"/>
      <c r="BA13" s="922"/>
      <c r="BB13" s="922"/>
      <c r="BC13" s="922"/>
      <c r="BD13" s="922"/>
      <c r="BE13" s="922"/>
      <c r="BF13" s="922"/>
      <c r="BG13" s="922"/>
      <c r="BH13" s="922"/>
      <c r="BI13" s="922"/>
      <c r="BJ13" s="922"/>
      <c r="BK13" s="922"/>
      <c r="BL13" s="922"/>
      <c r="BM13" s="922"/>
      <c r="BN13" s="922"/>
      <c r="BO13" s="922"/>
      <c r="BP13" s="922"/>
      <c r="BQ13" s="922"/>
      <c r="BR13" s="922"/>
      <c r="BS13" s="922"/>
      <c r="BT13" s="922"/>
      <c r="BU13" s="922"/>
      <c r="BV13" s="922"/>
      <c r="BW13" s="922"/>
      <c r="BX13" s="922"/>
      <c r="BY13" s="922"/>
      <c r="BZ13" s="922"/>
      <c r="CA13" s="922"/>
      <c r="CB13" s="922"/>
      <c r="CC13" s="922"/>
      <c r="CD13" s="922"/>
      <c r="CE13" s="922"/>
      <c r="CF13" s="922"/>
      <c r="CG13" s="922"/>
      <c r="CH13" s="922"/>
      <c r="CI13" s="922"/>
      <c r="CJ13" s="922"/>
      <c r="CK13" s="922"/>
      <c r="CL13" s="922"/>
      <c r="CM13" s="922"/>
      <c r="CN13" s="922"/>
      <c r="CO13" s="922"/>
      <c r="CP13" s="922"/>
      <c r="CQ13" s="922"/>
      <c r="CR13" s="922"/>
      <c r="CS13" s="922"/>
      <c r="CT13" s="922"/>
      <c r="CU13" s="922"/>
      <c r="CV13" s="922"/>
      <c r="CW13" s="922"/>
      <c r="CX13" s="922"/>
      <c r="CY13" s="922"/>
      <c r="CZ13" s="922"/>
      <c r="DA13" s="922"/>
      <c r="DB13" s="922"/>
      <c r="DC13" s="922"/>
      <c r="DD13" s="922"/>
      <c r="DE13" s="922"/>
      <c r="DF13" s="922"/>
      <c r="DG13" s="922"/>
      <c r="DH13" s="922"/>
      <c r="DI13" s="922"/>
      <c r="DJ13" s="922"/>
      <c r="DK13" s="922"/>
      <c r="DL13" s="922"/>
      <c r="DM13" s="922"/>
      <c r="DN13" s="922"/>
      <c r="DO13" s="922"/>
      <c r="DP13" s="922"/>
      <c r="DQ13" s="922"/>
      <c r="DR13" s="922"/>
      <c r="DS13" s="922"/>
      <c r="DT13" s="922"/>
      <c r="DU13" s="922"/>
      <c r="DV13" s="922"/>
      <c r="DW13" s="922"/>
      <c r="DX13" s="922"/>
      <c r="DY13" s="922"/>
      <c r="DZ13" s="922"/>
      <c r="EA13" s="922"/>
      <c r="EB13" s="922"/>
      <c r="EC13" s="922"/>
      <c r="ED13" s="922"/>
      <c r="EE13" s="922"/>
      <c r="EF13" s="922"/>
      <c r="EG13" s="922"/>
      <c r="EH13" s="922"/>
      <c r="EI13" s="922"/>
      <c r="EJ13" s="922"/>
      <c r="EK13" s="922"/>
      <c r="EL13" s="922"/>
      <c r="EM13" s="922"/>
      <c r="EN13" s="922"/>
      <c r="EO13" s="922"/>
      <c r="EP13" s="922"/>
      <c r="EQ13" s="922"/>
      <c r="ER13" s="922"/>
      <c r="ES13" s="922"/>
      <c r="ET13" s="922"/>
      <c r="EU13" s="922"/>
      <c r="EV13" s="922"/>
      <c r="EW13" s="922"/>
      <c r="EX13" s="922"/>
      <c r="EY13" s="922"/>
      <c r="EZ13" s="922"/>
      <c r="FA13" s="922"/>
      <c r="FB13" s="922"/>
      <c r="FC13" s="922"/>
      <c r="FD13" s="922"/>
      <c r="FE13" s="922"/>
      <c r="FF13" s="922"/>
      <c r="FG13" s="922"/>
      <c r="FH13" s="922"/>
      <c r="FI13" s="922"/>
      <c r="FJ13" s="922"/>
      <c r="FK13" s="922"/>
      <c r="FL13" s="922"/>
      <c r="FM13" s="922"/>
      <c r="FN13" s="922"/>
      <c r="FO13" s="922"/>
      <c r="FP13" s="922"/>
      <c r="FQ13" s="922"/>
      <c r="FR13" s="922"/>
      <c r="FS13" s="922"/>
      <c r="FT13" s="922"/>
      <c r="FU13" s="922"/>
      <c r="FV13" s="922"/>
      <c r="FW13" s="922"/>
      <c r="FX13" s="922"/>
      <c r="FY13" s="922"/>
      <c r="FZ13" s="922"/>
      <c r="GA13" s="922"/>
      <c r="GB13" s="922"/>
      <c r="GC13" s="922"/>
      <c r="GD13" s="922"/>
      <c r="GE13" s="922"/>
      <c r="GF13" s="922"/>
      <c r="GG13" s="922"/>
      <c r="GH13" s="922"/>
      <c r="GI13" s="922"/>
      <c r="GJ13" s="922"/>
      <c r="GK13" s="922"/>
      <c r="GL13" s="922"/>
      <c r="GM13" s="922"/>
      <c r="GN13" s="922"/>
      <c r="GO13" s="922"/>
      <c r="GP13" s="922"/>
      <c r="GQ13" s="922"/>
      <c r="GR13" s="922"/>
      <c r="GS13" s="922"/>
      <c r="GT13" s="922"/>
      <c r="GU13" s="922"/>
      <c r="GV13" s="922"/>
      <c r="GW13" s="922"/>
      <c r="GX13" s="922"/>
      <c r="GY13" s="922"/>
      <c r="GZ13" s="922"/>
      <c r="HA13" s="922"/>
      <c r="HB13" s="922"/>
      <c r="HC13" s="922"/>
      <c r="HD13" s="922"/>
      <c r="HE13" s="922"/>
      <c r="HF13" s="922"/>
      <c r="HG13" s="922"/>
      <c r="HH13" s="922"/>
      <c r="HI13" s="922"/>
      <c r="HJ13" s="922"/>
      <c r="HK13" s="922"/>
      <c r="HL13" s="922"/>
      <c r="HM13" s="922"/>
      <c r="HN13" s="922"/>
      <c r="HO13" s="922"/>
      <c r="HP13" s="922"/>
      <c r="HQ13" s="922"/>
      <c r="HR13" s="922"/>
      <c r="HS13" s="922"/>
      <c r="HT13" s="922"/>
      <c r="HU13" s="922"/>
      <c r="HV13" s="922"/>
      <c r="HW13" s="922"/>
      <c r="HX13" s="922"/>
      <c r="HY13" s="922"/>
      <c r="HZ13" s="922"/>
      <c r="IA13" s="922"/>
      <c r="IB13" s="922"/>
      <c r="IC13" s="922"/>
      <c r="ID13" s="922"/>
      <c r="IE13" s="922"/>
      <c r="IF13" s="922"/>
      <c r="IG13" s="922"/>
      <c r="IH13" s="922"/>
      <c r="II13" s="922"/>
      <c r="IJ13" s="922"/>
      <c r="IK13" s="922"/>
    </row>
    <row r="14" spans="1:245" ht="24" customHeight="1">
      <c r="A14" s="923">
        <v>5</v>
      </c>
      <c r="B14" s="929" t="s">
        <v>1213</v>
      </c>
      <c r="C14" s="925">
        <v>4900102900</v>
      </c>
      <c r="D14" s="926">
        <f t="shared" si="2"/>
        <v>11500</v>
      </c>
      <c r="E14" s="927"/>
      <c r="F14" s="927">
        <v>11500</v>
      </c>
      <c r="G14" s="927"/>
      <c r="H14" s="928"/>
      <c r="I14" s="926"/>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2"/>
      <c r="AY14" s="922"/>
      <c r="AZ14" s="922"/>
      <c r="BA14" s="922"/>
      <c r="BB14" s="922"/>
      <c r="BC14" s="922"/>
      <c r="BD14" s="922"/>
      <c r="BE14" s="922"/>
      <c r="BF14" s="922"/>
      <c r="BG14" s="922"/>
      <c r="BH14" s="922"/>
      <c r="BI14" s="922"/>
      <c r="BJ14" s="922"/>
      <c r="BK14" s="922"/>
      <c r="BL14" s="922"/>
      <c r="BM14" s="922"/>
      <c r="BN14" s="922"/>
      <c r="BO14" s="922"/>
      <c r="BP14" s="922"/>
      <c r="BQ14" s="922"/>
      <c r="BR14" s="922"/>
      <c r="BS14" s="922"/>
      <c r="BT14" s="922"/>
      <c r="BU14" s="922"/>
      <c r="BV14" s="922"/>
      <c r="BW14" s="922"/>
      <c r="BX14" s="922"/>
      <c r="BY14" s="922"/>
      <c r="BZ14" s="922"/>
      <c r="CA14" s="922"/>
      <c r="CB14" s="922"/>
      <c r="CC14" s="922"/>
      <c r="CD14" s="922"/>
      <c r="CE14" s="922"/>
      <c r="CF14" s="922"/>
      <c r="CG14" s="922"/>
      <c r="CH14" s="922"/>
      <c r="CI14" s="922"/>
      <c r="CJ14" s="922"/>
      <c r="CK14" s="922"/>
      <c r="CL14" s="922"/>
      <c r="CM14" s="922"/>
      <c r="CN14" s="922"/>
      <c r="CO14" s="922"/>
      <c r="CP14" s="922"/>
      <c r="CQ14" s="922"/>
      <c r="CR14" s="922"/>
      <c r="CS14" s="922"/>
      <c r="CT14" s="922"/>
      <c r="CU14" s="922"/>
      <c r="CV14" s="922"/>
      <c r="CW14" s="922"/>
      <c r="CX14" s="922"/>
      <c r="CY14" s="922"/>
      <c r="CZ14" s="922"/>
      <c r="DA14" s="922"/>
      <c r="DB14" s="922"/>
      <c r="DC14" s="922"/>
      <c r="DD14" s="922"/>
      <c r="DE14" s="922"/>
      <c r="DF14" s="922"/>
      <c r="DG14" s="922"/>
      <c r="DH14" s="922"/>
      <c r="DI14" s="922"/>
      <c r="DJ14" s="922"/>
      <c r="DK14" s="922"/>
      <c r="DL14" s="922"/>
      <c r="DM14" s="922"/>
      <c r="DN14" s="922"/>
      <c r="DO14" s="922"/>
      <c r="DP14" s="922"/>
      <c r="DQ14" s="922"/>
      <c r="DR14" s="922"/>
      <c r="DS14" s="922"/>
      <c r="DT14" s="922"/>
      <c r="DU14" s="922"/>
      <c r="DV14" s="922"/>
      <c r="DW14" s="922"/>
      <c r="DX14" s="922"/>
      <c r="DY14" s="922"/>
      <c r="DZ14" s="922"/>
      <c r="EA14" s="922"/>
      <c r="EB14" s="922"/>
      <c r="EC14" s="922"/>
      <c r="ED14" s="922"/>
      <c r="EE14" s="922"/>
      <c r="EF14" s="922"/>
      <c r="EG14" s="922"/>
      <c r="EH14" s="922"/>
      <c r="EI14" s="922"/>
      <c r="EJ14" s="922"/>
      <c r="EK14" s="922"/>
      <c r="EL14" s="922"/>
      <c r="EM14" s="922"/>
      <c r="EN14" s="922"/>
      <c r="EO14" s="922"/>
      <c r="EP14" s="922"/>
      <c r="EQ14" s="922"/>
      <c r="ER14" s="922"/>
      <c r="ES14" s="922"/>
      <c r="ET14" s="922"/>
      <c r="EU14" s="922"/>
      <c r="EV14" s="922"/>
      <c r="EW14" s="922"/>
      <c r="EX14" s="922"/>
      <c r="EY14" s="922"/>
      <c r="EZ14" s="922"/>
      <c r="FA14" s="922"/>
      <c r="FB14" s="922"/>
      <c r="FC14" s="922"/>
      <c r="FD14" s="922"/>
      <c r="FE14" s="922"/>
      <c r="FF14" s="922"/>
      <c r="FG14" s="922"/>
      <c r="FH14" s="922"/>
      <c r="FI14" s="922"/>
      <c r="FJ14" s="922"/>
      <c r="FK14" s="922"/>
      <c r="FL14" s="922"/>
      <c r="FM14" s="922"/>
      <c r="FN14" s="922"/>
      <c r="FO14" s="922"/>
      <c r="FP14" s="922"/>
      <c r="FQ14" s="922"/>
      <c r="FR14" s="922"/>
      <c r="FS14" s="922"/>
      <c r="FT14" s="922"/>
      <c r="FU14" s="922"/>
      <c r="FV14" s="922"/>
      <c r="FW14" s="922"/>
      <c r="FX14" s="922"/>
      <c r="FY14" s="922"/>
      <c r="FZ14" s="922"/>
      <c r="GA14" s="922"/>
      <c r="GB14" s="922"/>
      <c r="GC14" s="922"/>
      <c r="GD14" s="922"/>
      <c r="GE14" s="922"/>
      <c r="GF14" s="922"/>
      <c r="GG14" s="922"/>
      <c r="GH14" s="922"/>
      <c r="GI14" s="922"/>
      <c r="GJ14" s="922"/>
      <c r="GK14" s="922"/>
      <c r="GL14" s="922"/>
      <c r="GM14" s="922"/>
      <c r="GN14" s="922"/>
      <c r="GO14" s="922"/>
      <c r="GP14" s="922"/>
      <c r="GQ14" s="922"/>
      <c r="GR14" s="922"/>
      <c r="GS14" s="922"/>
      <c r="GT14" s="922"/>
      <c r="GU14" s="922"/>
      <c r="GV14" s="922"/>
      <c r="GW14" s="922"/>
      <c r="GX14" s="922"/>
      <c r="GY14" s="922"/>
      <c r="GZ14" s="922"/>
      <c r="HA14" s="922"/>
      <c r="HB14" s="922"/>
      <c r="HC14" s="922"/>
      <c r="HD14" s="922"/>
      <c r="HE14" s="922"/>
      <c r="HF14" s="922"/>
      <c r="HG14" s="922"/>
      <c r="HH14" s="922"/>
      <c r="HI14" s="922"/>
      <c r="HJ14" s="922"/>
      <c r="HK14" s="922"/>
      <c r="HL14" s="922"/>
      <c r="HM14" s="922"/>
      <c r="HN14" s="922"/>
      <c r="HO14" s="922"/>
      <c r="HP14" s="922"/>
      <c r="HQ14" s="922"/>
      <c r="HR14" s="922"/>
      <c r="HS14" s="922"/>
      <c r="HT14" s="922"/>
      <c r="HU14" s="922"/>
      <c r="HV14" s="922"/>
      <c r="HW14" s="922"/>
      <c r="HX14" s="922"/>
      <c r="HY14" s="922"/>
      <c r="HZ14" s="922"/>
      <c r="IA14" s="922"/>
      <c r="IB14" s="922"/>
      <c r="IC14" s="922"/>
      <c r="ID14" s="922"/>
      <c r="IE14" s="922"/>
      <c r="IF14" s="922"/>
      <c r="IG14" s="922"/>
      <c r="IH14" s="922"/>
      <c r="II14" s="922"/>
      <c r="IJ14" s="922"/>
      <c r="IK14" s="922"/>
    </row>
    <row r="15" spans="1:245" ht="24" customHeight="1">
      <c r="A15" s="923">
        <v>6</v>
      </c>
      <c r="B15" s="930" t="s">
        <v>1214</v>
      </c>
      <c r="C15" s="931">
        <v>100100199</v>
      </c>
      <c r="D15" s="926">
        <f t="shared" si="2"/>
        <v>150</v>
      </c>
      <c r="E15" s="927">
        <v>150</v>
      </c>
      <c r="F15" s="927"/>
      <c r="G15" s="927"/>
      <c r="H15" s="928"/>
      <c r="I15" s="926"/>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2"/>
      <c r="AY15" s="922"/>
      <c r="AZ15" s="922"/>
      <c r="BA15" s="922"/>
      <c r="BB15" s="922"/>
      <c r="BC15" s="922"/>
      <c r="BD15" s="922"/>
      <c r="BE15" s="922"/>
      <c r="BF15" s="922"/>
      <c r="BG15" s="922"/>
      <c r="BH15" s="922"/>
      <c r="BI15" s="922"/>
      <c r="BJ15" s="922"/>
      <c r="BK15" s="922"/>
      <c r="BL15" s="922"/>
      <c r="BM15" s="922"/>
      <c r="BN15" s="922"/>
      <c r="BO15" s="922"/>
      <c r="BP15" s="922"/>
      <c r="BQ15" s="922"/>
      <c r="BR15" s="922"/>
      <c r="BS15" s="922"/>
      <c r="BT15" s="922"/>
      <c r="BU15" s="922"/>
      <c r="BV15" s="922"/>
      <c r="BW15" s="922"/>
      <c r="BX15" s="922"/>
      <c r="BY15" s="922"/>
      <c r="BZ15" s="922"/>
      <c r="CA15" s="922"/>
      <c r="CB15" s="922"/>
      <c r="CC15" s="922"/>
      <c r="CD15" s="922"/>
      <c r="CE15" s="922"/>
      <c r="CF15" s="922"/>
      <c r="CG15" s="922"/>
      <c r="CH15" s="922"/>
      <c r="CI15" s="922"/>
      <c r="CJ15" s="922"/>
      <c r="CK15" s="922"/>
      <c r="CL15" s="922"/>
      <c r="CM15" s="922"/>
      <c r="CN15" s="922"/>
      <c r="CO15" s="922"/>
      <c r="CP15" s="922"/>
      <c r="CQ15" s="922"/>
      <c r="CR15" s="922"/>
      <c r="CS15" s="922"/>
      <c r="CT15" s="922"/>
      <c r="CU15" s="922"/>
      <c r="CV15" s="922"/>
      <c r="CW15" s="922"/>
      <c r="CX15" s="922"/>
      <c r="CY15" s="922"/>
      <c r="CZ15" s="922"/>
      <c r="DA15" s="922"/>
      <c r="DB15" s="922"/>
      <c r="DC15" s="922"/>
      <c r="DD15" s="922"/>
      <c r="DE15" s="922"/>
      <c r="DF15" s="922"/>
      <c r="DG15" s="922"/>
      <c r="DH15" s="922"/>
      <c r="DI15" s="922"/>
      <c r="DJ15" s="922"/>
      <c r="DK15" s="922"/>
      <c r="DL15" s="922"/>
      <c r="DM15" s="922"/>
      <c r="DN15" s="922"/>
      <c r="DO15" s="922"/>
      <c r="DP15" s="922"/>
      <c r="DQ15" s="922"/>
      <c r="DR15" s="922"/>
      <c r="DS15" s="922"/>
      <c r="DT15" s="922"/>
      <c r="DU15" s="922"/>
      <c r="DV15" s="922"/>
      <c r="DW15" s="922"/>
      <c r="DX15" s="922"/>
      <c r="DY15" s="922"/>
      <c r="DZ15" s="922"/>
      <c r="EA15" s="922"/>
      <c r="EB15" s="922"/>
      <c r="EC15" s="922"/>
      <c r="ED15" s="922"/>
      <c r="EE15" s="922"/>
      <c r="EF15" s="922"/>
      <c r="EG15" s="922"/>
      <c r="EH15" s="922"/>
      <c r="EI15" s="922"/>
      <c r="EJ15" s="922"/>
      <c r="EK15" s="922"/>
      <c r="EL15" s="922"/>
      <c r="EM15" s="922"/>
      <c r="EN15" s="922"/>
      <c r="EO15" s="922"/>
      <c r="EP15" s="922"/>
      <c r="EQ15" s="922"/>
      <c r="ER15" s="922"/>
      <c r="ES15" s="922"/>
      <c r="ET15" s="922"/>
      <c r="EU15" s="922"/>
      <c r="EV15" s="922"/>
      <c r="EW15" s="922"/>
      <c r="EX15" s="922"/>
      <c r="EY15" s="922"/>
      <c r="EZ15" s="922"/>
      <c r="FA15" s="922"/>
      <c r="FB15" s="922"/>
      <c r="FC15" s="922"/>
      <c r="FD15" s="922"/>
      <c r="FE15" s="922"/>
      <c r="FF15" s="922"/>
      <c r="FG15" s="922"/>
      <c r="FH15" s="922"/>
      <c r="FI15" s="922"/>
      <c r="FJ15" s="922"/>
      <c r="FK15" s="922"/>
      <c r="FL15" s="922"/>
      <c r="FM15" s="922"/>
      <c r="FN15" s="922"/>
      <c r="FO15" s="922"/>
      <c r="FP15" s="922"/>
      <c r="FQ15" s="922"/>
      <c r="FR15" s="922"/>
      <c r="FS15" s="922"/>
      <c r="FT15" s="922"/>
      <c r="FU15" s="922"/>
      <c r="FV15" s="922"/>
      <c r="FW15" s="922"/>
      <c r="FX15" s="922"/>
      <c r="FY15" s="922"/>
      <c r="FZ15" s="922"/>
      <c r="GA15" s="922"/>
      <c r="GB15" s="922"/>
      <c r="GC15" s="922"/>
      <c r="GD15" s="922"/>
      <c r="GE15" s="922"/>
      <c r="GF15" s="922"/>
      <c r="GG15" s="922"/>
      <c r="GH15" s="922"/>
      <c r="GI15" s="922"/>
      <c r="GJ15" s="922"/>
      <c r="GK15" s="922"/>
      <c r="GL15" s="922"/>
      <c r="GM15" s="922"/>
      <c r="GN15" s="922"/>
      <c r="GO15" s="922"/>
      <c r="GP15" s="922"/>
      <c r="GQ15" s="922"/>
      <c r="GR15" s="922"/>
      <c r="GS15" s="922"/>
      <c r="GT15" s="922"/>
      <c r="GU15" s="922"/>
      <c r="GV15" s="922"/>
      <c r="GW15" s="922"/>
      <c r="GX15" s="922"/>
      <c r="GY15" s="922"/>
      <c r="GZ15" s="922"/>
      <c r="HA15" s="922"/>
      <c r="HB15" s="922"/>
      <c r="HC15" s="922"/>
      <c r="HD15" s="922"/>
      <c r="HE15" s="922"/>
      <c r="HF15" s="922"/>
      <c r="HG15" s="922"/>
      <c r="HH15" s="922"/>
      <c r="HI15" s="922"/>
      <c r="HJ15" s="922"/>
      <c r="HK15" s="922"/>
      <c r="HL15" s="922"/>
      <c r="HM15" s="922"/>
      <c r="HN15" s="922"/>
      <c r="HO15" s="922"/>
      <c r="HP15" s="922"/>
      <c r="HQ15" s="922"/>
      <c r="HR15" s="922"/>
      <c r="HS15" s="922"/>
      <c r="HT15" s="922"/>
      <c r="HU15" s="922"/>
      <c r="HV15" s="922"/>
      <c r="HW15" s="922"/>
      <c r="HX15" s="922"/>
      <c r="HY15" s="922"/>
      <c r="HZ15" s="922"/>
      <c r="IA15" s="922"/>
      <c r="IB15" s="922"/>
      <c r="IC15" s="922"/>
      <c r="ID15" s="922"/>
      <c r="IE15" s="922"/>
      <c r="IF15" s="922"/>
      <c r="IG15" s="922"/>
      <c r="IH15" s="922"/>
      <c r="II15" s="922"/>
      <c r="IJ15" s="922"/>
      <c r="IK15" s="922"/>
    </row>
    <row r="16" spans="1:245" ht="24" customHeight="1">
      <c r="A16" s="923">
        <v>7</v>
      </c>
      <c r="B16" s="932" t="s">
        <v>1215</v>
      </c>
      <c r="C16" s="925" t="s">
        <v>1216</v>
      </c>
      <c r="D16" s="926">
        <f t="shared" si="2"/>
        <v>200</v>
      </c>
      <c r="E16" s="927"/>
      <c r="F16" s="927">
        <v>200</v>
      </c>
      <c r="G16" s="927"/>
      <c r="H16" s="928"/>
      <c r="I16" s="926"/>
      <c r="J16" s="922"/>
      <c r="K16" s="922"/>
      <c r="L16" s="922"/>
      <c r="M16" s="922"/>
      <c r="N16" s="922"/>
      <c r="O16" s="922"/>
      <c r="P16" s="922"/>
      <c r="Q16" s="922"/>
      <c r="R16" s="922"/>
      <c r="S16" s="922"/>
      <c r="T16" s="922"/>
      <c r="U16" s="922"/>
      <c r="V16" s="922"/>
      <c r="W16" s="922"/>
      <c r="X16" s="922"/>
      <c r="Y16" s="922"/>
      <c r="Z16" s="922"/>
      <c r="AA16" s="922"/>
      <c r="AB16" s="922"/>
      <c r="AC16" s="922"/>
      <c r="AD16" s="922"/>
      <c r="AE16" s="922"/>
      <c r="AF16" s="922"/>
      <c r="AG16" s="922"/>
      <c r="AH16" s="922"/>
      <c r="AI16" s="922"/>
      <c r="AJ16" s="922"/>
      <c r="AK16" s="922"/>
      <c r="AL16" s="922"/>
      <c r="AM16" s="922"/>
      <c r="AN16" s="922"/>
      <c r="AO16" s="922"/>
      <c r="AP16" s="922"/>
      <c r="AQ16" s="922"/>
      <c r="AR16" s="922"/>
      <c r="AS16" s="922"/>
      <c r="AT16" s="922"/>
      <c r="AU16" s="922"/>
      <c r="AV16" s="922"/>
      <c r="AW16" s="922"/>
      <c r="AX16" s="922"/>
      <c r="AY16" s="922"/>
      <c r="AZ16" s="922"/>
      <c r="BA16" s="922"/>
      <c r="BB16" s="922"/>
      <c r="BC16" s="922"/>
      <c r="BD16" s="922"/>
      <c r="BE16" s="922"/>
      <c r="BF16" s="922"/>
      <c r="BG16" s="922"/>
      <c r="BH16" s="922"/>
      <c r="BI16" s="922"/>
      <c r="BJ16" s="922"/>
      <c r="BK16" s="922"/>
      <c r="BL16" s="922"/>
      <c r="BM16" s="922"/>
      <c r="BN16" s="922"/>
      <c r="BO16" s="922"/>
      <c r="BP16" s="922"/>
      <c r="BQ16" s="922"/>
      <c r="BR16" s="922"/>
      <c r="BS16" s="922"/>
      <c r="BT16" s="922"/>
      <c r="BU16" s="922"/>
      <c r="BV16" s="922"/>
      <c r="BW16" s="922"/>
      <c r="BX16" s="922"/>
      <c r="BY16" s="922"/>
      <c r="BZ16" s="922"/>
      <c r="CA16" s="922"/>
      <c r="CB16" s="922"/>
      <c r="CC16" s="922"/>
      <c r="CD16" s="922"/>
      <c r="CE16" s="922"/>
      <c r="CF16" s="922"/>
      <c r="CG16" s="922"/>
      <c r="CH16" s="922"/>
      <c r="CI16" s="922"/>
      <c r="CJ16" s="922"/>
      <c r="CK16" s="922"/>
      <c r="CL16" s="922"/>
      <c r="CM16" s="922"/>
      <c r="CN16" s="922"/>
      <c r="CO16" s="922"/>
      <c r="CP16" s="922"/>
      <c r="CQ16" s="922"/>
      <c r="CR16" s="922"/>
      <c r="CS16" s="922"/>
      <c r="CT16" s="922"/>
      <c r="CU16" s="922"/>
      <c r="CV16" s="922"/>
      <c r="CW16" s="922"/>
      <c r="CX16" s="922"/>
      <c r="CY16" s="922"/>
      <c r="CZ16" s="922"/>
      <c r="DA16" s="922"/>
      <c r="DB16" s="922"/>
      <c r="DC16" s="922"/>
      <c r="DD16" s="922"/>
      <c r="DE16" s="922"/>
      <c r="DF16" s="922"/>
      <c r="DG16" s="922"/>
      <c r="DH16" s="922"/>
      <c r="DI16" s="922"/>
      <c r="DJ16" s="922"/>
      <c r="DK16" s="922"/>
      <c r="DL16" s="922"/>
      <c r="DM16" s="922"/>
      <c r="DN16" s="922"/>
      <c r="DO16" s="922"/>
      <c r="DP16" s="922"/>
      <c r="DQ16" s="922"/>
      <c r="DR16" s="922"/>
      <c r="DS16" s="922"/>
      <c r="DT16" s="922"/>
      <c r="DU16" s="922"/>
      <c r="DV16" s="922"/>
      <c r="DW16" s="922"/>
      <c r="DX16" s="922"/>
      <c r="DY16" s="922"/>
      <c r="DZ16" s="922"/>
      <c r="EA16" s="922"/>
      <c r="EB16" s="922"/>
      <c r="EC16" s="922"/>
      <c r="ED16" s="922"/>
      <c r="EE16" s="922"/>
      <c r="EF16" s="922"/>
      <c r="EG16" s="922"/>
      <c r="EH16" s="922"/>
      <c r="EI16" s="922"/>
      <c r="EJ16" s="922"/>
      <c r="EK16" s="922"/>
      <c r="EL16" s="922"/>
      <c r="EM16" s="922"/>
      <c r="EN16" s="922"/>
      <c r="EO16" s="922"/>
      <c r="EP16" s="922"/>
      <c r="EQ16" s="922"/>
      <c r="ER16" s="922"/>
      <c r="ES16" s="922"/>
      <c r="ET16" s="922"/>
      <c r="EU16" s="922"/>
      <c r="EV16" s="922"/>
      <c r="EW16" s="922"/>
      <c r="EX16" s="922"/>
      <c r="EY16" s="922"/>
      <c r="EZ16" s="922"/>
      <c r="FA16" s="922"/>
      <c r="FB16" s="922"/>
      <c r="FC16" s="922"/>
      <c r="FD16" s="922"/>
      <c r="FE16" s="922"/>
      <c r="FF16" s="922"/>
      <c r="FG16" s="922"/>
      <c r="FH16" s="922"/>
      <c r="FI16" s="922"/>
      <c r="FJ16" s="922"/>
      <c r="FK16" s="922"/>
      <c r="FL16" s="922"/>
      <c r="FM16" s="922"/>
      <c r="FN16" s="922"/>
      <c r="FO16" s="922"/>
      <c r="FP16" s="922"/>
      <c r="FQ16" s="922"/>
      <c r="FR16" s="922"/>
      <c r="FS16" s="922"/>
      <c r="FT16" s="922"/>
      <c r="FU16" s="922"/>
      <c r="FV16" s="922"/>
      <c r="FW16" s="922"/>
      <c r="FX16" s="922"/>
      <c r="FY16" s="922"/>
      <c r="FZ16" s="922"/>
      <c r="GA16" s="922"/>
      <c r="GB16" s="922"/>
      <c r="GC16" s="922"/>
      <c r="GD16" s="922"/>
      <c r="GE16" s="922"/>
      <c r="GF16" s="922"/>
      <c r="GG16" s="922"/>
      <c r="GH16" s="922"/>
      <c r="GI16" s="922"/>
      <c r="GJ16" s="922"/>
      <c r="GK16" s="922"/>
      <c r="GL16" s="922"/>
      <c r="GM16" s="922"/>
      <c r="GN16" s="922"/>
      <c r="GO16" s="922"/>
      <c r="GP16" s="922"/>
      <c r="GQ16" s="922"/>
      <c r="GR16" s="922"/>
      <c r="GS16" s="922"/>
      <c r="GT16" s="922"/>
      <c r="GU16" s="922"/>
      <c r="GV16" s="922"/>
      <c r="GW16" s="922"/>
      <c r="GX16" s="922"/>
      <c r="GY16" s="922"/>
      <c r="GZ16" s="922"/>
      <c r="HA16" s="922"/>
      <c r="HB16" s="922"/>
      <c r="HC16" s="922"/>
      <c r="HD16" s="922"/>
      <c r="HE16" s="922"/>
      <c r="HF16" s="922"/>
      <c r="HG16" s="922"/>
      <c r="HH16" s="922"/>
      <c r="HI16" s="922"/>
      <c r="HJ16" s="922"/>
      <c r="HK16" s="922"/>
      <c r="HL16" s="922"/>
      <c r="HM16" s="922"/>
      <c r="HN16" s="922"/>
      <c r="HO16" s="922"/>
      <c r="HP16" s="922"/>
      <c r="HQ16" s="922"/>
      <c r="HR16" s="922"/>
      <c r="HS16" s="922"/>
      <c r="HT16" s="922"/>
      <c r="HU16" s="922"/>
      <c r="HV16" s="922"/>
      <c r="HW16" s="922"/>
      <c r="HX16" s="922"/>
      <c r="HY16" s="922"/>
      <c r="HZ16" s="922"/>
      <c r="IA16" s="922"/>
      <c r="IB16" s="922"/>
      <c r="IC16" s="922"/>
      <c r="ID16" s="922"/>
      <c r="IE16" s="922"/>
      <c r="IF16" s="922"/>
      <c r="IG16" s="922"/>
      <c r="IH16" s="922"/>
      <c r="II16" s="922"/>
      <c r="IJ16" s="922"/>
      <c r="IK16" s="922"/>
    </row>
    <row r="17" spans="1:245" ht="38.25" customHeight="1">
      <c r="A17" s="923">
        <v>8</v>
      </c>
      <c r="B17" s="924" t="s">
        <v>1217</v>
      </c>
      <c r="C17" s="925" t="s">
        <v>1218</v>
      </c>
      <c r="D17" s="926">
        <f t="shared" si="2"/>
        <v>1500</v>
      </c>
      <c r="E17" s="927"/>
      <c r="F17" s="927">
        <v>1500</v>
      </c>
      <c r="G17" s="927"/>
      <c r="H17" s="928"/>
      <c r="I17" s="926"/>
      <c r="J17" s="922"/>
      <c r="K17" s="922"/>
      <c r="L17" s="922"/>
      <c r="M17" s="922"/>
      <c r="N17" s="922"/>
      <c r="O17" s="922"/>
      <c r="P17" s="922"/>
      <c r="Q17" s="922"/>
      <c r="R17" s="922"/>
      <c r="S17" s="922"/>
      <c r="T17" s="922"/>
      <c r="U17" s="922"/>
      <c r="V17" s="922"/>
      <c r="W17" s="922"/>
      <c r="X17" s="922"/>
      <c r="Y17" s="922"/>
      <c r="Z17" s="922"/>
      <c r="AA17" s="922"/>
      <c r="AB17" s="922"/>
      <c r="AC17" s="922"/>
      <c r="AD17" s="922"/>
      <c r="AE17" s="922"/>
      <c r="AF17" s="922"/>
      <c r="AG17" s="922"/>
      <c r="AH17" s="922"/>
      <c r="AI17" s="922"/>
      <c r="AJ17" s="922"/>
      <c r="AK17" s="922"/>
      <c r="AL17" s="922"/>
      <c r="AM17" s="922"/>
      <c r="AN17" s="922"/>
      <c r="AO17" s="922"/>
      <c r="AP17" s="922"/>
      <c r="AQ17" s="922"/>
      <c r="AR17" s="922"/>
      <c r="AS17" s="922"/>
      <c r="AT17" s="922"/>
      <c r="AU17" s="922"/>
      <c r="AV17" s="922"/>
      <c r="AW17" s="922"/>
      <c r="AX17" s="922"/>
      <c r="AY17" s="922"/>
      <c r="AZ17" s="922"/>
      <c r="BA17" s="922"/>
      <c r="BB17" s="922"/>
      <c r="BC17" s="922"/>
      <c r="BD17" s="922"/>
      <c r="BE17" s="922"/>
      <c r="BF17" s="922"/>
      <c r="BG17" s="922"/>
      <c r="BH17" s="922"/>
      <c r="BI17" s="922"/>
      <c r="BJ17" s="922"/>
      <c r="BK17" s="922"/>
      <c r="BL17" s="922"/>
      <c r="BM17" s="922"/>
      <c r="BN17" s="922"/>
      <c r="BO17" s="922"/>
      <c r="BP17" s="922"/>
      <c r="BQ17" s="922"/>
      <c r="BR17" s="922"/>
      <c r="BS17" s="922"/>
      <c r="BT17" s="922"/>
      <c r="BU17" s="922"/>
      <c r="BV17" s="922"/>
      <c r="BW17" s="922"/>
      <c r="BX17" s="922"/>
      <c r="BY17" s="922"/>
      <c r="BZ17" s="922"/>
      <c r="CA17" s="922"/>
      <c r="CB17" s="922"/>
      <c r="CC17" s="922"/>
      <c r="CD17" s="922"/>
      <c r="CE17" s="922"/>
      <c r="CF17" s="922"/>
      <c r="CG17" s="922"/>
      <c r="CH17" s="922"/>
      <c r="CI17" s="922"/>
      <c r="CJ17" s="922"/>
      <c r="CK17" s="922"/>
      <c r="CL17" s="922"/>
      <c r="CM17" s="922"/>
      <c r="CN17" s="922"/>
      <c r="CO17" s="922"/>
      <c r="CP17" s="922"/>
      <c r="CQ17" s="922"/>
      <c r="CR17" s="922"/>
      <c r="CS17" s="922"/>
      <c r="CT17" s="922"/>
      <c r="CU17" s="922"/>
      <c r="CV17" s="922"/>
      <c r="CW17" s="922"/>
      <c r="CX17" s="922"/>
      <c r="CY17" s="922"/>
      <c r="CZ17" s="922"/>
      <c r="DA17" s="922"/>
      <c r="DB17" s="922"/>
      <c r="DC17" s="922"/>
      <c r="DD17" s="922"/>
      <c r="DE17" s="922"/>
      <c r="DF17" s="922"/>
      <c r="DG17" s="922"/>
      <c r="DH17" s="922"/>
      <c r="DI17" s="922"/>
      <c r="DJ17" s="922"/>
      <c r="DK17" s="922"/>
      <c r="DL17" s="922"/>
      <c r="DM17" s="922"/>
      <c r="DN17" s="922"/>
      <c r="DO17" s="922"/>
      <c r="DP17" s="922"/>
      <c r="DQ17" s="922"/>
      <c r="DR17" s="922"/>
      <c r="DS17" s="922"/>
      <c r="DT17" s="922"/>
      <c r="DU17" s="922"/>
      <c r="DV17" s="922"/>
      <c r="DW17" s="922"/>
      <c r="DX17" s="922"/>
      <c r="DY17" s="922"/>
      <c r="DZ17" s="922"/>
      <c r="EA17" s="922"/>
      <c r="EB17" s="922"/>
      <c r="EC17" s="922"/>
      <c r="ED17" s="922"/>
      <c r="EE17" s="922"/>
      <c r="EF17" s="922"/>
      <c r="EG17" s="922"/>
      <c r="EH17" s="922"/>
      <c r="EI17" s="922"/>
      <c r="EJ17" s="922"/>
      <c r="EK17" s="922"/>
      <c r="EL17" s="922"/>
      <c r="EM17" s="922"/>
      <c r="EN17" s="922"/>
      <c r="EO17" s="922"/>
      <c r="EP17" s="922"/>
      <c r="EQ17" s="922"/>
      <c r="ER17" s="922"/>
      <c r="ES17" s="922"/>
      <c r="ET17" s="922"/>
      <c r="EU17" s="922"/>
      <c r="EV17" s="922"/>
      <c r="EW17" s="922"/>
      <c r="EX17" s="922"/>
      <c r="EY17" s="922"/>
      <c r="EZ17" s="922"/>
      <c r="FA17" s="922"/>
      <c r="FB17" s="922"/>
      <c r="FC17" s="922"/>
      <c r="FD17" s="922"/>
      <c r="FE17" s="922"/>
      <c r="FF17" s="922"/>
      <c r="FG17" s="922"/>
      <c r="FH17" s="922"/>
      <c r="FI17" s="922"/>
      <c r="FJ17" s="922"/>
      <c r="FK17" s="922"/>
      <c r="FL17" s="922"/>
      <c r="FM17" s="922"/>
      <c r="FN17" s="922"/>
      <c r="FO17" s="922"/>
      <c r="FP17" s="922"/>
      <c r="FQ17" s="922"/>
      <c r="FR17" s="922"/>
      <c r="FS17" s="922"/>
      <c r="FT17" s="922"/>
      <c r="FU17" s="922"/>
      <c r="FV17" s="922"/>
      <c r="FW17" s="922"/>
      <c r="FX17" s="922"/>
      <c r="FY17" s="922"/>
      <c r="FZ17" s="922"/>
      <c r="GA17" s="922"/>
      <c r="GB17" s="922"/>
      <c r="GC17" s="922"/>
      <c r="GD17" s="922"/>
      <c r="GE17" s="922"/>
      <c r="GF17" s="922"/>
      <c r="GG17" s="922"/>
      <c r="GH17" s="922"/>
      <c r="GI17" s="922"/>
      <c r="GJ17" s="922"/>
      <c r="GK17" s="922"/>
      <c r="GL17" s="922"/>
      <c r="GM17" s="922"/>
      <c r="GN17" s="922"/>
      <c r="GO17" s="922"/>
      <c r="GP17" s="922"/>
      <c r="GQ17" s="922"/>
      <c r="GR17" s="922"/>
      <c r="GS17" s="922"/>
      <c r="GT17" s="922"/>
      <c r="GU17" s="922"/>
      <c r="GV17" s="922"/>
      <c r="GW17" s="922"/>
      <c r="GX17" s="922"/>
      <c r="GY17" s="922"/>
      <c r="GZ17" s="922"/>
      <c r="HA17" s="922"/>
      <c r="HB17" s="922"/>
      <c r="HC17" s="922"/>
      <c r="HD17" s="922"/>
      <c r="HE17" s="922"/>
      <c r="HF17" s="922"/>
      <c r="HG17" s="922"/>
      <c r="HH17" s="922"/>
      <c r="HI17" s="922"/>
      <c r="HJ17" s="922"/>
      <c r="HK17" s="922"/>
      <c r="HL17" s="922"/>
      <c r="HM17" s="922"/>
      <c r="HN17" s="922"/>
      <c r="HO17" s="922"/>
      <c r="HP17" s="922"/>
      <c r="HQ17" s="922"/>
      <c r="HR17" s="922"/>
      <c r="HS17" s="922"/>
      <c r="HT17" s="922"/>
      <c r="HU17" s="922"/>
      <c r="HV17" s="922"/>
      <c r="HW17" s="922"/>
      <c r="HX17" s="922"/>
      <c r="HY17" s="922"/>
      <c r="HZ17" s="922"/>
      <c r="IA17" s="922"/>
      <c r="IB17" s="922"/>
      <c r="IC17" s="922"/>
      <c r="ID17" s="922"/>
      <c r="IE17" s="922"/>
      <c r="IF17" s="922"/>
      <c r="IG17" s="922"/>
      <c r="IH17" s="922"/>
      <c r="II17" s="922"/>
      <c r="IJ17" s="922"/>
      <c r="IK17" s="922"/>
    </row>
    <row r="18" spans="1:245" ht="24" customHeight="1">
      <c r="A18" s="923">
        <v>9</v>
      </c>
      <c r="B18" s="933" t="s">
        <v>1219</v>
      </c>
      <c r="C18" s="931">
        <v>100109106</v>
      </c>
      <c r="D18" s="926">
        <f t="shared" si="2"/>
        <v>3500</v>
      </c>
      <c r="E18" s="927"/>
      <c r="F18" s="927">
        <v>3500</v>
      </c>
      <c r="G18" s="927"/>
      <c r="H18" s="928"/>
      <c r="I18" s="926"/>
      <c r="J18" s="922"/>
      <c r="K18" s="922"/>
      <c r="L18" s="922"/>
      <c r="M18" s="922"/>
      <c r="N18" s="922"/>
      <c r="O18" s="922"/>
      <c r="P18" s="922"/>
      <c r="Q18" s="922"/>
      <c r="R18" s="922"/>
      <c r="S18" s="922"/>
      <c r="T18" s="922"/>
      <c r="U18" s="922"/>
      <c r="V18" s="922"/>
      <c r="W18" s="922"/>
      <c r="X18" s="922"/>
      <c r="Y18" s="922"/>
      <c r="Z18" s="922"/>
      <c r="AA18" s="922"/>
      <c r="AB18" s="922"/>
      <c r="AC18" s="922"/>
      <c r="AD18" s="922"/>
      <c r="AE18" s="922"/>
      <c r="AF18" s="922"/>
      <c r="AG18" s="922"/>
      <c r="AH18" s="922"/>
      <c r="AI18" s="922"/>
      <c r="AJ18" s="922"/>
      <c r="AK18" s="922"/>
      <c r="AL18" s="922"/>
      <c r="AM18" s="922"/>
      <c r="AN18" s="922"/>
      <c r="AO18" s="922"/>
      <c r="AP18" s="922"/>
      <c r="AQ18" s="922"/>
      <c r="AR18" s="922"/>
      <c r="AS18" s="922"/>
      <c r="AT18" s="922"/>
      <c r="AU18" s="922"/>
      <c r="AV18" s="922"/>
      <c r="AW18" s="922"/>
      <c r="AX18" s="922"/>
      <c r="AY18" s="922"/>
      <c r="AZ18" s="922"/>
      <c r="BA18" s="922"/>
      <c r="BB18" s="922"/>
      <c r="BC18" s="922"/>
      <c r="BD18" s="922"/>
      <c r="BE18" s="922"/>
      <c r="BF18" s="922"/>
      <c r="BG18" s="922"/>
      <c r="BH18" s="922"/>
      <c r="BI18" s="922"/>
      <c r="BJ18" s="922"/>
      <c r="BK18" s="922"/>
      <c r="BL18" s="922"/>
      <c r="BM18" s="922"/>
      <c r="BN18" s="922"/>
      <c r="BO18" s="922"/>
      <c r="BP18" s="922"/>
      <c r="BQ18" s="922"/>
      <c r="BR18" s="922"/>
      <c r="BS18" s="922"/>
      <c r="BT18" s="922"/>
      <c r="BU18" s="922"/>
      <c r="BV18" s="922"/>
      <c r="BW18" s="922"/>
      <c r="BX18" s="922"/>
      <c r="BY18" s="922"/>
      <c r="BZ18" s="922"/>
      <c r="CA18" s="922"/>
      <c r="CB18" s="922"/>
      <c r="CC18" s="922"/>
      <c r="CD18" s="922"/>
      <c r="CE18" s="922"/>
      <c r="CF18" s="922"/>
      <c r="CG18" s="922"/>
      <c r="CH18" s="922"/>
      <c r="CI18" s="922"/>
      <c r="CJ18" s="922"/>
      <c r="CK18" s="922"/>
      <c r="CL18" s="922"/>
      <c r="CM18" s="922"/>
      <c r="CN18" s="922"/>
      <c r="CO18" s="922"/>
      <c r="CP18" s="922"/>
      <c r="CQ18" s="922"/>
      <c r="CR18" s="922"/>
      <c r="CS18" s="922"/>
      <c r="CT18" s="922"/>
      <c r="CU18" s="922"/>
      <c r="CV18" s="922"/>
      <c r="CW18" s="922"/>
      <c r="CX18" s="922"/>
      <c r="CY18" s="922"/>
      <c r="CZ18" s="922"/>
      <c r="DA18" s="922"/>
      <c r="DB18" s="922"/>
      <c r="DC18" s="922"/>
      <c r="DD18" s="922"/>
      <c r="DE18" s="922"/>
      <c r="DF18" s="922"/>
      <c r="DG18" s="922"/>
      <c r="DH18" s="922"/>
      <c r="DI18" s="922"/>
      <c r="DJ18" s="922"/>
      <c r="DK18" s="922"/>
      <c r="DL18" s="922"/>
      <c r="DM18" s="922"/>
      <c r="DN18" s="922"/>
      <c r="DO18" s="922"/>
      <c r="DP18" s="922"/>
      <c r="DQ18" s="922"/>
      <c r="DR18" s="922"/>
      <c r="DS18" s="922"/>
      <c r="DT18" s="922"/>
      <c r="DU18" s="922"/>
      <c r="DV18" s="922"/>
      <c r="DW18" s="922"/>
      <c r="DX18" s="922"/>
      <c r="DY18" s="922"/>
      <c r="DZ18" s="922"/>
      <c r="EA18" s="922"/>
      <c r="EB18" s="922"/>
      <c r="EC18" s="922"/>
      <c r="ED18" s="922"/>
      <c r="EE18" s="922"/>
      <c r="EF18" s="922"/>
      <c r="EG18" s="922"/>
      <c r="EH18" s="922"/>
      <c r="EI18" s="922"/>
      <c r="EJ18" s="922"/>
      <c r="EK18" s="922"/>
      <c r="EL18" s="922"/>
      <c r="EM18" s="922"/>
      <c r="EN18" s="922"/>
      <c r="EO18" s="922"/>
      <c r="EP18" s="922"/>
      <c r="EQ18" s="922"/>
      <c r="ER18" s="922"/>
      <c r="ES18" s="922"/>
      <c r="ET18" s="922"/>
      <c r="EU18" s="922"/>
      <c r="EV18" s="922"/>
      <c r="EW18" s="922"/>
      <c r="EX18" s="922"/>
      <c r="EY18" s="922"/>
      <c r="EZ18" s="922"/>
      <c r="FA18" s="922"/>
      <c r="FB18" s="922"/>
      <c r="FC18" s="922"/>
      <c r="FD18" s="922"/>
      <c r="FE18" s="922"/>
      <c r="FF18" s="922"/>
      <c r="FG18" s="922"/>
      <c r="FH18" s="922"/>
      <c r="FI18" s="922"/>
      <c r="FJ18" s="922"/>
      <c r="FK18" s="922"/>
      <c r="FL18" s="922"/>
      <c r="FM18" s="922"/>
      <c r="FN18" s="922"/>
      <c r="FO18" s="922"/>
      <c r="FP18" s="922"/>
      <c r="FQ18" s="922"/>
      <c r="FR18" s="922"/>
      <c r="FS18" s="922"/>
      <c r="FT18" s="922"/>
      <c r="FU18" s="922"/>
      <c r="FV18" s="922"/>
      <c r="FW18" s="922"/>
      <c r="FX18" s="922"/>
      <c r="FY18" s="922"/>
      <c r="FZ18" s="922"/>
      <c r="GA18" s="922"/>
      <c r="GB18" s="922"/>
      <c r="GC18" s="922"/>
      <c r="GD18" s="922"/>
      <c r="GE18" s="922"/>
      <c r="GF18" s="922"/>
      <c r="GG18" s="922"/>
      <c r="GH18" s="922"/>
      <c r="GI18" s="922"/>
      <c r="GJ18" s="922"/>
      <c r="GK18" s="922"/>
      <c r="GL18" s="922"/>
      <c r="GM18" s="922"/>
      <c r="GN18" s="922"/>
      <c r="GO18" s="922"/>
      <c r="GP18" s="922"/>
      <c r="GQ18" s="922"/>
      <c r="GR18" s="922"/>
      <c r="GS18" s="922"/>
      <c r="GT18" s="922"/>
      <c r="GU18" s="922"/>
      <c r="GV18" s="922"/>
      <c r="GW18" s="922"/>
      <c r="GX18" s="922"/>
      <c r="GY18" s="922"/>
      <c r="GZ18" s="922"/>
      <c r="HA18" s="922"/>
      <c r="HB18" s="922"/>
      <c r="HC18" s="922"/>
      <c r="HD18" s="922"/>
      <c r="HE18" s="922"/>
      <c r="HF18" s="922"/>
      <c r="HG18" s="922"/>
      <c r="HH18" s="922"/>
      <c r="HI18" s="922"/>
      <c r="HJ18" s="922"/>
      <c r="HK18" s="922"/>
      <c r="HL18" s="922"/>
      <c r="HM18" s="922"/>
      <c r="HN18" s="922"/>
      <c r="HO18" s="922"/>
      <c r="HP18" s="922"/>
      <c r="HQ18" s="922"/>
      <c r="HR18" s="922"/>
      <c r="HS18" s="922"/>
      <c r="HT18" s="922"/>
      <c r="HU18" s="922"/>
      <c r="HV18" s="922"/>
      <c r="HW18" s="922"/>
      <c r="HX18" s="922"/>
      <c r="HY18" s="922"/>
      <c r="HZ18" s="922"/>
      <c r="IA18" s="922"/>
      <c r="IB18" s="922"/>
      <c r="IC18" s="922"/>
      <c r="ID18" s="922"/>
      <c r="IE18" s="922"/>
      <c r="IF18" s="922"/>
      <c r="IG18" s="922"/>
      <c r="IH18" s="922"/>
      <c r="II18" s="922"/>
      <c r="IJ18" s="922"/>
      <c r="IK18" s="922"/>
    </row>
    <row r="19" spans="1:245" ht="24" customHeight="1">
      <c r="A19" s="923">
        <v>10</v>
      </c>
      <c r="B19" s="933" t="s">
        <v>1220</v>
      </c>
      <c r="C19" s="925" t="s">
        <v>1221</v>
      </c>
      <c r="D19" s="926">
        <f t="shared" si="2"/>
        <v>500</v>
      </c>
      <c r="E19" s="927"/>
      <c r="F19" s="927">
        <v>500</v>
      </c>
      <c r="G19" s="927"/>
      <c r="H19" s="928"/>
      <c r="I19" s="926"/>
      <c r="J19" s="922"/>
      <c r="K19" s="922"/>
      <c r="L19" s="922"/>
      <c r="M19" s="922"/>
      <c r="N19" s="922"/>
      <c r="O19" s="922"/>
      <c r="P19" s="922"/>
      <c r="Q19" s="922"/>
      <c r="R19" s="922"/>
      <c r="S19" s="922"/>
      <c r="T19" s="922"/>
      <c r="U19" s="922"/>
      <c r="V19" s="922"/>
      <c r="W19" s="922"/>
      <c r="X19" s="922"/>
      <c r="Y19" s="922"/>
      <c r="Z19" s="922"/>
      <c r="AA19" s="922"/>
      <c r="AB19" s="922"/>
      <c r="AC19" s="922"/>
      <c r="AD19" s="922"/>
      <c r="AE19" s="922"/>
      <c r="AF19" s="922"/>
      <c r="AG19" s="922"/>
      <c r="AH19" s="922"/>
      <c r="AI19" s="922"/>
      <c r="AJ19" s="922"/>
      <c r="AK19" s="922"/>
      <c r="AL19" s="922"/>
      <c r="AM19" s="922"/>
      <c r="AN19" s="922"/>
      <c r="AO19" s="922"/>
      <c r="AP19" s="922"/>
      <c r="AQ19" s="922"/>
      <c r="AR19" s="922"/>
      <c r="AS19" s="922"/>
      <c r="AT19" s="922"/>
      <c r="AU19" s="922"/>
      <c r="AV19" s="922"/>
      <c r="AW19" s="922"/>
      <c r="AX19" s="922"/>
      <c r="AY19" s="922"/>
      <c r="AZ19" s="922"/>
      <c r="BA19" s="922"/>
      <c r="BB19" s="922"/>
      <c r="BC19" s="922"/>
      <c r="BD19" s="922"/>
      <c r="BE19" s="922"/>
      <c r="BF19" s="922"/>
      <c r="BG19" s="922"/>
      <c r="BH19" s="922"/>
      <c r="BI19" s="922"/>
      <c r="BJ19" s="922"/>
      <c r="BK19" s="922"/>
      <c r="BL19" s="922"/>
      <c r="BM19" s="922"/>
      <c r="BN19" s="922"/>
      <c r="BO19" s="922"/>
      <c r="BP19" s="922"/>
      <c r="BQ19" s="922"/>
      <c r="BR19" s="922"/>
      <c r="BS19" s="922"/>
      <c r="BT19" s="922"/>
      <c r="BU19" s="922"/>
      <c r="BV19" s="922"/>
      <c r="BW19" s="922"/>
      <c r="BX19" s="922"/>
      <c r="BY19" s="922"/>
      <c r="BZ19" s="922"/>
      <c r="CA19" s="922"/>
      <c r="CB19" s="922"/>
      <c r="CC19" s="922"/>
      <c r="CD19" s="922"/>
      <c r="CE19" s="922"/>
      <c r="CF19" s="922"/>
      <c r="CG19" s="922"/>
      <c r="CH19" s="922"/>
      <c r="CI19" s="922"/>
      <c r="CJ19" s="922"/>
      <c r="CK19" s="922"/>
      <c r="CL19" s="922"/>
      <c r="CM19" s="922"/>
      <c r="CN19" s="922"/>
      <c r="CO19" s="922"/>
      <c r="CP19" s="922"/>
      <c r="CQ19" s="922"/>
      <c r="CR19" s="922"/>
      <c r="CS19" s="922"/>
      <c r="CT19" s="922"/>
      <c r="CU19" s="922"/>
      <c r="CV19" s="922"/>
      <c r="CW19" s="922"/>
      <c r="CX19" s="922"/>
      <c r="CY19" s="922"/>
      <c r="CZ19" s="922"/>
      <c r="DA19" s="922"/>
      <c r="DB19" s="922"/>
      <c r="DC19" s="922"/>
      <c r="DD19" s="922"/>
      <c r="DE19" s="922"/>
      <c r="DF19" s="922"/>
      <c r="DG19" s="922"/>
      <c r="DH19" s="922"/>
      <c r="DI19" s="922"/>
      <c r="DJ19" s="922"/>
      <c r="DK19" s="922"/>
      <c r="DL19" s="922"/>
      <c r="DM19" s="922"/>
      <c r="DN19" s="922"/>
      <c r="DO19" s="922"/>
      <c r="DP19" s="922"/>
      <c r="DQ19" s="922"/>
      <c r="DR19" s="922"/>
      <c r="DS19" s="922"/>
      <c r="DT19" s="922"/>
      <c r="DU19" s="922"/>
      <c r="DV19" s="922"/>
      <c r="DW19" s="922"/>
      <c r="DX19" s="922"/>
      <c r="DY19" s="922"/>
      <c r="DZ19" s="922"/>
      <c r="EA19" s="922"/>
      <c r="EB19" s="922"/>
      <c r="EC19" s="922"/>
      <c r="ED19" s="922"/>
      <c r="EE19" s="922"/>
      <c r="EF19" s="922"/>
      <c r="EG19" s="922"/>
      <c r="EH19" s="922"/>
      <c r="EI19" s="922"/>
      <c r="EJ19" s="922"/>
      <c r="EK19" s="922"/>
      <c r="EL19" s="922"/>
      <c r="EM19" s="922"/>
      <c r="EN19" s="922"/>
      <c r="EO19" s="922"/>
      <c r="EP19" s="922"/>
      <c r="EQ19" s="922"/>
      <c r="ER19" s="922"/>
      <c r="ES19" s="922"/>
      <c r="ET19" s="922"/>
      <c r="EU19" s="922"/>
      <c r="EV19" s="922"/>
      <c r="EW19" s="922"/>
      <c r="EX19" s="922"/>
      <c r="EY19" s="922"/>
      <c r="EZ19" s="922"/>
      <c r="FA19" s="922"/>
      <c r="FB19" s="922"/>
      <c r="FC19" s="922"/>
      <c r="FD19" s="922"/>
      <c r="FE19" s="922"/>
      <c r="FF19" s="922"/>
      <c r="FG19" s="922"/>
      <c r="FH19" s="922"/>
      <c r="FI19" s="922"/>
      <c r="FJ19" s="922"/>
      <c r="FK19" s="922"/>
      <c r="FL19" s="922"/>
      <c r="FM19" s="922"/>
      <c r="FN19" s="922"/>
      <c r="FO19" s="922"/>
      <c r="FP19" s="922"/>
      <c r="FQ19" s="922"/>
      <c r="FR19" s="922"/>
      <c r="FS19" s="922"/>
      <c r="FT19" s="922"/>
      <c r="FU19" s="922"/>
      <c r="FV19" s="922"/>
      <c r="FW19" s="922"/>
      <c r="FX19" s="922"/>
      <c r="FY19" s="922"/>
      <c r="FZ19" s="922"/>
      <c r="GA19" s="922"/>
      <c r="GB19" s="922"/>
      <c r="GC19" s="922"/>
      <c r="GD19" s="922"/>
      <c r="GE19" s="922"/>
      <c r="GF19" s="922"/>
      <c r="GG19" s="922"/>
      <c r="GH19" s="922"/>
      <c r="GI19" s="922"/>
      <c r="GJ19" s="922"/>
      <c r="GK19" s="922"/>
      <c r="GL19" s="922"/>
      <c r="GM19" s="922"/>
      <c r="GN19" s="922"/>
      <c r="GO19" s="922"/>
      <c r="GP19" s="922"/>
      <c r="GQ19" s="922"/>
      <c r="GR19" s="922"/>
      <c r="GS19" s="922"/>
      <c r="GT19" s="922"/>
      <c r="GU19" s="922"/>
      <c r="GV19" s="922"/>
      <c r="GW19" s="922"/>
      <c r="GX19" s="922"/>
      <c r="GY19" s="922"/>
      <c r="GZ19" s="922"/>
      <c r="HA19" s="922"/>
      <c r="HB19" s="922"/>
      <c r="HC19" s="922"/>
      <c r="HD19" s="922"/>
      <c r="HE19" s="922"/>
      <c r="HF19" s="922"/>
      <c r="HG19" s="922"/>
      <c r="HH19" s="922"/>
      <c r="HI19" s="922"/>
      <c r="HJ19" s="922"/>
      <c r="HK19" s="922"/>
      <c r="HL19" s="922"/>
      <c r="HM19" s="922"/>
      <c r="HN19" s="922"/>
      <c r="HO19" s="922"/>
      <c r="HP19" s="922"/>
      <c r="HQ19" s="922"/>
      <c r="HR19" s="922"/>
      <c r="HS19" s="922"/>
      <c r="HT19" s="922"/>
      <c r="HU19" s="922"/>
      <c r="HV19" s="922"/>
      <c r="HW19" s="922"/>
      <c r="HX19" s="922"/>
      <c r="HY19" s="922"/>
      <c r="HZ19" s="922"/>
      <c r="IA19" s="922"/>
      <c r="IB19" s="922"/>
      <c r="IC19" s="922"/>
      <c r="ID19" s="922"/>
      <c r="IE19" s="922"/>
      <c r="IF19" s="922"/>
      <c r="IG19" s="922"/>
      <c r="IH19" s="922"/>
      <c r="II19" s="922"/>
      <c r="IJ19" s="922"/>
      <c r="IK19" s="922"/>
    </row>
    <row r="20" spans="1:245" ht="38.25" customHeight="1">
      <c r="A20" s="923">
        <v>11</v>
      </c>
      <c r="B20" s="929" t="s">
        <v>1222</v>
      </c>
      <c r="C20" s="925" t="s">
        <v>1223</v>
      </c>
      <c r="D20" s="926">
        <f t="shared" si="2"/>
        <v>1700</v>
      </c>
      <c r="E20" s="927"/>
      <c r="F20" s="927">
        <v>1700</v>
      </c>
      <c r="G20" s="927"/>
      <c r="H20" s="928"/>
      <c r="I20" s="926"/>
      <c r="J20" s="922"/>
      <c r="K20" s="922"/>
      <c r="L20" s="922"/>
      <c r="M20" s="922"/>
      <c r="N20" s="922"/>
      <c r="O20" s="922"/>
      <c r="P20" s="922"/>
      <c r="Q20" s="922"/>
      <c r="R20" s="922"/>
      <c r="S20" s="922"/>
      <c r="T20" s="922"/>
      <c r="U20" s="922"/>
      <c r="V20" s="922"/>
      <c r="W20" s="922"/>
      <c r="X20" s="922"/>
      <c r="Y20" s="922"/>
      <c r="Z20" s="922"/>
      <c r="AA20" s="922"/>
      <c r="AB20" s="922"/>
      <c r="AC20" s="922"/>
      <c r="AD20" s="922"/>
      <c r="AE20" s="922"/>
      <c r="AF20" s="922"/>
      <c r="AG20" s="922"/>
      <c r="AH20" s="922"/>
      <c r="AI20" s="922"/>
      <c r="AJ20" s="922"/>
      <c r="AK20" s="922"/>
      <c r="AL20" s="922"/>
      <c r="AM20" s="922"/>
      <c r="AN20" s="922"/>
      <c r="AO20" s="922"/>
      <c r="AP20" s="922"/>
      <c r="AQ20" s="922"/>
      <c r="AR20" s="922"/>
      <c r="AS20" s="922"/>
      <c r="AT20" s="922"/>
      <c r="AU20" s="922"/>
      <c r="AV20" s="922"/>
      <c r="AW20" s="922"/>
      <c r="AX20" s="922"/>
      <c r="AY20" s="922"/>
      <c r="AZ20" s="922"/>
      <c r="BA20" s="922"/>
      <c r="BB20" s="922"/>
      <c r="BC20" s="922"/>
      <c r="BD20" s="922"/>
      <c r="BE20" s="922"/>
      <c r="BF20" s="922"/>
      <c r="BG20" s="922"/>
      <c r="BH20" s="922"/>
      <c r="BI20" s="922"/>
      <c r="BJ20" s="922"/>
      <c r="BK20" s="922"/>
      <c r="BL20" s="922"/>
      <c r="BM20" s="922"/>
      <c r="BN20" s="922"/>
      <c r="BO20" s="922"/>
      <c r="BP20" s="922"/>
      <c r="BQ20" s="922"/>
      <c r="BR20" s="922"/>
      <c r="BS20" s="922"/>
      <c r="BT20" s="922"/>
      <c r="BU20" s="922"/>
      <c r="BV20" s="922"/>
      <c r="BW20" s="922"/>
      <c r="BX20" s="922"/>
      <c r="BY20" s="922"/>
      <c r="BZ20" s="922"/>
      <c r="CA20" s="922"/>
      <c r="CB20" s="922"/>
      <c r="CC20" s="922"/>
      <c r="CD20" s="922"/>
      <c r="CE20" s="922"/>
      <c r="CF20" s="922"/>
      <c r="CG20" s="922"/>
      <c r="CH20" s="922"/>
      <c r="CI20" s="922"/>
      <c r="CJ20" s="922"/>
      <c r="CK20" s="922"/>
      <c r="CL20" s="922"/>
      <c r="CM20" s="922"/>
      <c r="CN20" s="922"/>
      <c r="CO20" s="922"/>
      <c r="CP20" s="922"/>
      <c r="CQ20" s="922"/>
      <c r="CR20" s="922"/>
      <c r="CS20" s="922"/>
      <c r="CT20" s="922"/>
      <c r="CU20" s="922"/>
      <c r="CV20" s="922"/>
      <c r="CW20" s="922"/>
      <c r="CX20" s="922"/>
      <c r="CY20" s="922"/>
      <c r="CZ20" s="922"/>
      <c r="DA20" s="922"/>
      <c r="DB20" s="922"/>
      <c r="DC20" s="922"/>
      <c r="DD20" s="922"/>
      <c r="DE20" s="922"/>
      <c r="DF20" s="922"/>
      <c r="DG20" s="922"/>
      <c r="DH20" s="922"/>
      <c r="DI20" s="922"/>
      <c r="DJ20" s="922"/>
      <c r="DK20" s="922"/>
      <c r="DL20" s="922"/>
      <c r="DM20" s="922"/>
      <c r="DN20" s="922"/>
      <c r="DO20" s="922"/>
      <c r="DP20" s="922"/>
      <c r="DQ20" s="922"/>
      <c r="DR20" s="922"/>
      <c r="DS20" s="922"/>
      <c r="DT20" s="922"/>
      <c r="DU20" s="922"/>
      <c r="DV20" s="922"/>
      <c r="DW20" s="922"/>
      <c r="DX20" s="922"/>
      <c r="DY20" s="922"/>
      <c r="DZ20" s="922"/>
      <c r="EA20" s="922"/>
      <c r="EB20" s="922"/>
      <c r="EC20" s="922"/>
      <c r="ED20" s="922"/>
      <c r="EE20" s="922"/>
      <c r="EF20" s="922"/>
      <c r="EG20" s="922"/>
      <c r="EH20" s="922"/>
      <c r="EI20" s="922"/>
      <c r="EJ20" s="922"/>
      <c r="EK20" s="922"/>
      <c r="EL20" s="922"/>
      <c r="EM20" s="922"/>
      <c r="EN20" s="922"/>
      <c r="EO20" s="922"/>
      <c r="EP20" s="922"/>
      <c r="EQ20" s="922"/>
      <c r="ER20" s="922"/>
      <c r="ES20" s="922"/>
      <c r="ET20" s="922"/>
      <c r="EU20" s="922"/>
      <c r="EV20" s="922"/>
      <c r="EW20" s="922"/>
      <c r="EX20" s="922"/>
      <c r="EY20" s="922"/>
      <c r="EZ20" s="922"/>
      <c r="FA20" s="922"/>
      <c r="FB20" s="922"/>
      <c r="FC20" s="922"/>
      <c r="FD20" s="922"/>
      <c r="FE20" s="922"/>
      <c r="FF20" s="922"/>
      <c r="FG20" s="922"/>
      <c r="FH20" s="922"/>
      <c r="FI20" s="922"/>
      <c r="FJ20" s="922"/>
      <c r="FK20" s="922"/>
      <c r="FL20" s="922"/>
      <c r="FM20" s="922"/>
      <c r="FN20" s="922"/>
      <c r="FO20" s="922"/>
      <c r="FP20" s="922"/>
      <c r="FQ20" s="922"/>
      <c r="FR20" s="922"/>
      <c r="FS20" s="922"/>
      <c r="FT20" s="922"/>
      <c r="FU20" s="922"/>
      <c r="FV20" s="922"/>
      <c r="FW20" s="922"/>
      <c r="FX20" s="922"/>
      <c r="FY20" s="922"/>
      <c r="FZ20" s="922"/>
      <c r="GA20" s="922"/>
      <c r="GB20" s="922"/>
      <c r="GC20" s="922"/>
      <c r="GD20" s="922"/>
      <c r="GE20" s="922"/>
      <c r="GF20" s="922"/>
      <c r="GG20" s="922"/>
      <c r="GH20" s="922"/>
      <c r="GI20" s="922"/>
      <c r="GJ20" s="922"/>
      <c r="GK20" s="922"/>
      <c r="GL20" s="922"/>
      <c r="GM20" s="922"/>
      <c r="GN20" s="922"/>
      <c r="GO20" s="922"/>
      <c r="GP20" s="922"/>
      <c r="GQ20" s="922"/>
      <c r="GR20" s="922"/>
      <c r="GS20" s="922"/>
      <c r="GT20" s="922"/>
      <c r="GU20" s="922"/>
      <c r="GV20" s="922"/>
      <c r="GW20" s="922"/>
      <c r="GX20" s="922"/>
      <c r="GY20" s="922"/>
      <c r="GZ20" s="922"/>
      <c r="HA20" s="922"/>
      <c r="HB20" s="922"/>
      <c r="HC20" s="922"/>
      <c r="HD20" s="922"/>
      <c r="HE20" s="922"/>
      <c r="HF20" s="922"/>
      <c r="HG20" s="922"/>
      <c r="HH20" s="922"/>
      <c r="HI20" s="922"/>
      <c r="HJ20" s="922"/>
      <c r="HK20" s="922"/>
      <c r="HL20" s="922"/>
      <c r="HM20" s="922"/>
      <c r="HN20" s="922"/>
      <c r="HO20" s="922"/>
      <c r="HP20" s="922"/>
      <c r="HQ20" s="922"/>
      <c r="HR20" s="922"/>
      <c r="HS20" s="922"/>
      <c r="HT20" s="922"/>
      <c r="HU20" s="922"/>
      <c r="HV20" s="922"/>
      <c r="HW20" s="922"/>
      <c r="HX20" s="922"/>
      <c r="HY20" s="922"/>
      <c r="HZ20" s="922"/>
      <c r="IA20" s="922"/>
      <c r="IB20" s="922"/>
      <c r="IC20" s="922"/>
      <c r="ID20" s="922"/>
      <c r="IE20" s="922"/>
      <c r="IF20" s="922"/>
      <c r="IG20" s="922"/>
      <c r="IH20" s="922"/>
      <c r="II20" s="922"/>
      <c r="IJ20" s="922"/>
      <c r="IK20" s="922"/>
    </row>
    <row r="21" spans="1:245" ht="38.25" customHeight="1">
      <c r="A21" s="923">
        <v>12</v>
      </c>
      <c r="B21" s="929" t="s">
        <v>1224</v>
      </c>
      <c r="C21" s="925" t="s">
        <v>1225</v>
      </c>
      <c r="D21" s="926">
        <f t="shared" si="2"/>
        <v>600</v>
      </c>
      <c r="E21" s="927"/>
      <c r="F21" s="927">
        <v>600</v>
      </c>
      <c r="G21" s="927"/>
      <c r="H21" s="928"/>
      <c r="I21" s="926"/>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2"/>
      <c r="AY21" s="922"/>
      <c r="AZ21" s="922"/>
      <c r="BA21" s="922"/>
      <c r="BB21" s="922"/>
      <c r="BC21" s="922"/>
      <c r="BD21" s="922"/>
      <c r="BE21" s="922"/>
      <c r="BF21" s="922"/>
      <c r="BG21" s="922"/>
      <c r="BH21" s="922"/>
      <c r="BI21" s="922"/>
      <c r="BJ21" s="922"/>
      <c r="BK21" s="922"/>
      <c r="BL21" s="922"/>
      <c r="BM21" s="922"/>
      <c r="BN21" s="922"/>
      <c r="BO21" s="922"/>
      <c r="BP21" s="922"/>
      <c r="BQ21" s="922"/>
      <c r="BR21" s="922"/>
      <c r="BS21" s="922"/>
      <c r="BT21" s="922"/>
      <c r="BU21" s="922"/>
      <c r="BV21" s="922"/>
      <c r="BW21" s="922"/>
      <c r="BX21" s="922"/>
      <c r="BY21" s="922"/>
      <c r="BZ21" s="922"/>
      <c r="CA21" s="922"/>
      <c r="CB21" s="922"/>
      <c r="CC21" s="922"/>
      <c r="CD21" s="922"/>
      <c r="CE21" s="922"/>
      <c r="CF21" s="922"/>
      <c r="CG21" s="922"/>
      <c r="CH21" s="922"/>
      <c r="CI21" s="922"/>
      <c r="CJ21" s="922"/>
      <c r="CK21" s="922"/>
      <c r="CL21" s="922"/>
      <c r="CM21" s="922"/>
      <c r="CN21" s="922"/>
      <c r="CO21" s="922"/>
      <c r="CP21" s="922"/>
      <c r="CQ21" s="922"/>
      <c r="CR21" s="922"/>
      <c r="CS21" s="922"/>
      <c r="CT21" s="922"/>
      <c r="CU21" s="922"/>
      <c r="CV21" s="922"/>
      <c r="CW21" s="922"/>
      <c r="CX21" s="922"/>
      <c r="CY21" s="922"/>
      <c r="CZ21" s="922"/>
      <c r="DA21" s="922"/>
      <c r="DB21" s="922"/>
      <c r="DC21" s="922"/>
      <c r="DD21" s="922"/>
      <c r="DE21" s="922"/>
      <c r="DF21" s="922"/>
      <c r="DG21" s="922"/>
      <c r="DH21" s="922"/>
      <c r="DI21" s="922"/>
      <c r="DJ21" s="922"/>
      <c r="DK21" s="922"/>
      <c r="DL21" s="922"/>
      <c r="DM21" s="922"/>
      <c r="DN21" s="922"/>
      <c r="DO21" s="922"/>
      <c r="DP21" s="922"/>
      <c r="DQ21" s="922"/>
      <c r="DR21" s="922"/>
      <c r="DS21" s="922"/>
      <c r="DT21" s="922"/>
      <c r="DU21" s="922"/>
      <c r="DV21" s="922"/>
      <c r="DW21" s="922"/>
      <c r="DX21" s="922"/>
      <c r="DY21" s="922"/>
      <c r="DZ21" s="922"/>
      <c r="EA21" s="922"/>
      <c r="EB21" s="922"/>
      <c r="EC21" s="922"/>
      <c r="ED21" s="922"/>
      <c r="EE21" s="922"/>
      <c r="EF21" s="922"/>
      <c r="EG21" s="922"/>
      <c r="EH21" s="922"/>
      <c r="EI21" s="922"/>
      <c r="EJ21" s="922"/>
      <c r="EK21" s="922"/>
      <c r="EL21" s="922"/>
      <c r="EM21" s="922"/>
      <c r="EN21" s="922"/>
      <c r="EO21" s="922"/>
      <c r="EP21" s="922"/>
      <c r="EQ21" s="922"/>
      <c r="ER21" s="922"/>
      <c r="ES21" s="922"/>
      <c r="ET21" s="922"/>
      <c r="EU21" s="922"/>
      <c r="EV21" s="922"/>
      <c r="EW21" s="922"/>
      <c r="EX21" s="922"/>
      <c r="EY21" s="922"/>
      <c r="EZ21" s="922"/>
      <c r="FA21" s="922"/>
      <c r="FB21" s="922"/>
      <c r="FC21" s="922"/>
      <c r="FD21" s="922"/>
      <c r="FE21" s="922"/>
      <c r="FF21" s="922"/>
      <c r="FG21" s="922"/>
      <c r="FH21" s="922"/>
      <c r="FI21" s="922"/>
      <c r="FJ21" s="922"/>
      <c r="FK21" s="922"/>
      <c r="FL21" s="922"/>
      <c r="FM21" s="922"/>
      <c r="FN21" s="922"/>
      <c r="FO21" s="922"/>
      <c r="FP21" s="922"/>
      <c r="FQ21" s="922"/>
      <c r="FR21" s="922"/>
      <c r="FS21" s="922"/>
      <c r="FT21" s="922"/>
      <c r="FU21" s="922"/>
      <c r="FV21" s="922"/>
      <c r="FW21" s="922"/>
      <c r="FX21" s="922"/>
      <c r="FY21" s="922"/>
      <c r="FZ21" s="922"/>
      <c r="GA21" s="922"/>
      <c r="GB21" s="922"/>
      <c r="GC21" s="922"/>
      <c r="GD21" s="922"/>
      <c r="GE21" s="922"/>
      <c r="GF21" s="922"/>
      <c r="GG21" s="922"/>
      <c r="GH21" s="922"/>
      <c r="GI21" s="922"/>
      <c r="GJ21" s="922"/>
      <c r="GK21" s="922"/>
      <c r="GL21" s="922"/>
      <c r="GM21" s="922"/>
      <c r="GN21" s="922"/>
      <c r="GO21" s="922"/>
      <c r="GP21" s="922"/>
      <c r="GQ21" s="922"/>
      <c r="GR21" s="922"/>
      <c r="GS21" s="922"/>
      <c r="GT21" s="922"/>
      <c r="GU21" s="922"/>
      <c r="GV21" s="922"/>
      <c r="GW21" s="922"/>
      <c r="GX21" s="922"/>
      <c r="GY21" s="922"/>
      <c r="GZ21" s="922"/>
      <c r="HA21" s="922"/>
      <c r="HB21" s="922"/>
      <c r="HC21" s="922"/>
      <c r="HD21" s="922"/>
      <c r="HE21" s="922"/>
      <c r="HF21" s="922"/>
      <c r="HG21" s="922"/>
      <c r="HH21" s="922"/>
      <c r="HI21" s="922"/>
      <c r="HJ21" s="922"/>
      <c r="HK21" s="922"/>
      <c r="HL21" s="922"/>
      <c r="HM21" s="922"/>
      <c r="HN21" s="922"/>
      <c r="HO21" s="922"/>
      <c r="HP21" s="922"/>
      <c r="HQ21" s="922"/>
      <c r="HR21" s="922"/>
      <c r="HS21" s="922"/>
      <c r="HT21" s="922"/>
      <c r="HU21" s="922"/>
      <c r="HV21" s="922"/>
      <c r="HW21" s="922"/>
      <c r="HX21" s="922"/>
      <c r="HY21" s="922"/>
      <c r="HZ21" s="922"/>
      <c r="IA21" s="922"/>
      <c r="IB21" s="922"/>
      <c r="IC21" s="922"/>
      <c r="ID21" s="922"/>
      <c r="IE21" s="922"/>
      <c r="IF21" s="922"/>
      <c r="IG21" s="922"/>
      <c r="IH21" s="922"/>
      <c r="II21" s="922"/>
      <c r="IJ21" s="922"/>
      <c r="IK21" s="922"/>
    </row>
    <row r="22" spans="1:245" ht="38.25" customHeight="1">
      <c r="A22" s="923">
        <v>13</v>
      </c>
      <c r="B22" s="929" t="s">
        <v>1226</v>
      </c>
      <c r="C22" s="925" t="s">
        <v>1227</v>
      </c>
      <c r="D22" s="926">
        <f t="shared" si="2"/>
        <v>1700</v>
      </c>
      <c r="E22" s="927"/>
      <c r="F22" s="927">
        <v>1700</v>
      </c>
      <c r="G22" s="927"/>
      <c r="H22" s="928"/>
      <c r="I22" s="926"/>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2"/>
      <c r="AY22" s="922"/>
      <c r="AZ22" s="922"/>
      <c r="BA22" s="922"/>
      <c r="BB22" s="922"/>
      <c r="BC22" s="922"/>
      <c r="BD22" s="922"/>
      <c r="BE22" s="922"/>
      <c r="BF22" s="922"/>
      <c r="BG22" s="922"/>
      <c r="BH22" s="922"/>
      <c r="BI22" s="922"/>
      <c r="BJ22" s="922"/>
      <c r="BK22" s="922"/>
      <c r="BL22" s="922"/>
      <c r="BM22" s="922"/>
      <c r="BN22" s="922"/>
      <c r="BO22" s="922"/>
      <c r="BP22" s="922"/>
      <c r="BQ22" s="922"/>
      <c r="BR22" s="922"/>
      <c r="BS22" s="922"/>
      <c r="BT22" s="922"/>
      <c r="BU22" s="922"/>
      <c r="BV22" s="922"/>
      <c r="BW22" s="922"/>
      <c r="BX22" s="922"/>
      <c r="BY22" s="922"/>
      <c r="BZ22" s="922"/>
      <c r="CA22" s="922"/>
      <c r="CB22" s="922"/>
      <c r="CC22" s="922"/>
      <c r="CD22" s="922"/>
      <c r="CE22" s="922"/>
      <c r="CF22" s="922"/>
      <c r="CG22" s="922"/>
      <c r="CH22" s="922"/>
      <c r="CI22" s="922"/>
      <c r="CJ22" s="922"/>
      <c r="CK22" s="922"/>
      <c r="CL22" s="922"/>
      <c r="CM22" s="922"/>
      <c r="CN22" s="922"/>
      <c r="CO22" s="922"/>
      <c r="CP22" s="922"/>
      <c r="CQ22" s="922"/>
      <c r="CR22" s="922"/>
      <c r="CS22" s="922"/>
      <c r="CT22" s="922"/>
      <c r="CU22" s="922"/>
      <c r="CV22" s="922"/>
      <c r="CW22" s="922"/>
      <c r="CX22" s="922"/>
      <c r="CY22" s="922"/>
      <c r="CZ22" s="922"/>
      <c r="DA22" s="922"/>
      <c r="DB22" s="922"/>
      <c r="DC22" s="922"/>
      <c r="DD22" s="922"/>
      <c r="DE22" s="922"/>
      <c r="DF22" s="922"/>
      <c r="DG22" s="922"/>
      <c r="DH22" s="922"/>
      <c r="DI22" s="922"/>
      <c r="DJ22" s="922"/>
      <c r="DK22" s="922"/>
      <c r="DL22" s="922"/>
      <c r="DM22" s="922"/>
      <c r="DN22" s="922"/>
      <c r="DO22" s="922"/>
      <c r="DP22" s="922"/>
      <c r="DQ22" s="922"/>
      <c r="DR22" s="922"/>
      <c r="DS22" s="922"/>
      <c r="DT22" s="922"/>
      <c r="DU22" s="922"/>
      <c r="DV22" s="922"/>
      <c r="DW22" s="922"/>
      <c r="DX22" s="922"/>
      <c r="DY22" s="922"/>
      <c r="DZ22" s="922"/>
      <c r="EA22" s="922"/>
      <c r="EB22" s="922"/>
      <c r="EC22" s="922"/>
      <c r="ED22" s="922"/>
      <c r="EE22" s="922"/>
      <c r="EF22" s="922"/>
      <c r="EG22" s="922"/>
      <c r="EH22" s="922"/>
      <c r="EI22" s="922"/>
      <c r="EJ22" s="922"/>
      <c r="EK22" s="922"/>
      <c r="EL22" s="922"/>
      <c r="EM22" s="922"/>
      <c r="EN22" s="922"/>
      <c r="EO22" s="922"/>
      <c r="EP22" s="922"/>
      <c r="EQ22" s="922"/>
      <c r="ER22" s="922"/>
      <c r="ES22" s="922"/>
      <c r="ET22" s="922"/>
      <c r="EU22" s="922"/>
      <c r="EV22" s="922"/>
      <c r="EW22" s="922"/>
      <c r="EX22" s="922"/>
      <c r="EY22" s="922"/>
      <c r="EZ22" s="922"/>
      <c r="FA22" s="922"/>
      <c r="FB22" s="922"/>
      <c r="FC22" s="922"/>
      <c r="FD22" s="922"/>
      <c r="FE22" s="922"/>
      <c r="FF22" s="922"/>
      <c r="FG22" s="922"/>
      <c r="FH22" s="922"/>
      <c r="FI22" s="922"/>
      <c r="FJ22" s="922"/>
      <c r="FK22" s="922"/>
      <c r="FL22" s="922"/>
      <c r="FM22" s="922"/>
      <c r="FN22" s="922"/>
      <c r="FO22" s="922"/>
      <c r="FP22" s="922"/>
      <c r="FQ22" s="922"/>
      <c r="FR22" s="922"/>
      <c r="FS22" s="922"/>
      <c r="FT22" s="922"/>
      <c r="FU22" s="922"/>
      <c r="FV22" s="922"/>
      <c r="FW22" s="922"/>
      <c r="FX22" s="922"/>
      <c r="FY22" s="922"/>
      <c r="FZ22" s="922"/>
      <c r="GA22" s="922"/>
      <c r="GB22" s="922"/>
      <c r="GC22" s="922"/>
      <c r="GD22" s="922"/>
      <c r="GE22" s="922"/>
      <c r="GF22" s="922"/>
      <c r="GG22" s="922"/>
      <c r="GH22" s="922"/>
      <c r="GI22" s="922"/>
      <c r="GJ22" s="922"/>
      <c r="GK22" s="922"/>
      <c r="GL22" s="922"/>
      <c r="GM22" s="922"/>
      <c r="GN22" s="922"/>
      <c r="GO22" s="922"/>
      <c r="GP22" s="922"/>
      <c r="GQ22" s="922"/>
      <c r="GR22" s="922"/>
      <c r="GS22" s="922"/>
      <c r="GT22" s="922"/>
      <c r="GU22" s="922"/>
      <c r="GV22" s="922"/>
      <c r="GW22" s="922"/>
      <c r="GX22" s="922"/>
      <c r="GY22" s="922"/>
      <c r="GZ22" s="922"/>
      <c r="HA22" s="922"/>
      <c r="HB22" s="922"/>
      <c r="HC22" s="922"/>
      <c r="HD22" s="922"/>
      <c r="HE22" s="922"/>
      <c r="HF22" s="922"/>
      <c r="HG22" s="922"/>
      <c r="HH22" s="922"/>
      <c r="HI22" s="922"/>
      <c r="HJ22" s="922"/>
      <c r="HK22" s="922"/>
      <c r="HL22" s="922"/>
      <c r="HM22" s="922"/>
      <c r="HN22" s="922"/>
      <c r="HO22" s="922"/>
      <c r="HP22" s="922"/>
      <c r="HQ22" s="922"/>
      <c r="HR22" s="922"/>
      <c r="HS22" s="922"/>
      <c r="HT22" s="922"/>
      <c r="HU22" s="922"/>
      <c r="HV22" s="922"/>
      <c r="HW22" s="922"/>
      <c r="HX22" s="922"/>
      <c r="HY22" s="922"/>
      <c r="HZ22" s="922"/>
      <c r="IA22" s="922"/>
      <c r="IB22" s="922"/>
      <c r="IC22" s="922"/>
      <c r="ID22" s="922"/>
      <c r="IE22" s="922"/>
      <c r="IF22" s="922"/>
      <c r="IG22" s="922"/>
      <c r="IH22" s="922"/>
      <c r="II22" s="922"/>
      <c r="IJ22" s="922"/>
      <c r="IK22" s="922"/>
    </row>
    <row r="23" spans="1:245" ht="38.25" customHeight="1">
      <c r="A23" s="923">
        <v>14</v>
      </c>
      <c r="B23" s="929" t="s">
        <v>1228</v>
      </c>
      <c r="C23" s="925" t="s">
        <v>1229</v>
      </c>
      <c r="D23" s="926">
        <f t="shared" si="2"/>
        <v>1700</v>
      </c>
      <c r="E23" s="927"/>
      <c r="F23" s="927">
        <v>1700</v>
      </c>
      <c r="G23" s="927"/>
      <c r="H23" s="928"/>
      <c r="I23" s="926"/>
      <c r="J23" s="922"/>
      <c r="K23" s="922"/>
      <c r="L23" s="922"/>
      <c r="M23" s="922"/>
      <c r="N23" s="922"/>
      <c r="O23" s="922"/>
      <c r="P23" s="922"/>
      <c r="Q23" s="922"/>
      <c r="R23" s="922"/>
      <c r="S23" s="922"/>
      <c r="T23" s="922"/>
      <c r="U23" s="922"/>
      <c r="V23" s="922"/>
      <c r="W23" s="922"/>
      <c r="X23" s="922"/>
      <c r="Y23" s="922"/>
      <c r="Z23" s="922"/>
      <c r="AA23" s="922"/>
      <c r="AB23" s="922"/>
      <c r="AC23" s="922"/>
      <c r="AD23" s="922"/>
      <c r="AE23" s="922"/>
      <c r="AF23" s="922"/>
      <c r="AG23" s="922"/>
      <c r="AH23" s="922"/>
      <c r="AI23" s="922"/>
      <c r="AJ23" s="922"/>
      <c r="AK23" s="922"/>
      <c r="AL23" s="922"/>
      <c r="AM23" s="922"/>
      <c r="AN23" s="922"/>
      <c r="AO23" s="922"/>
      <c r="AP23" s="922"/>
      <c r="AQ23" s="922"/>
      <c r="AR23" s="922"/>
      <c r="AS23" s="922"/>
      <c r="AT23" s="922"/>
      <c r="AU23" s="922"/>
      <c r="AV23" s="922"/>
      <c r="AW23" s="922"/>
      <c r="AX23" s="922"/>
      <c r="AY23" s="922"/>
      <c r="AZ23" s="922"/>
      <c r="BA23" s="922"/>
      <c r="BB23" s="922"/>
      <c r="BC23" s="922"/>
      <c r="BD23" s="922"/>
      <c r="BE23" s="922"/>
      <c r="BF23" s="922"/>
      <c r="BG23" s="922"/>
      <c r="BH23" s="922"/>
      <c r="BI23" s="922"/>
      <c r="BJ23" s="922"/>
      <c r="BK23" s="922"/>
      <c r="BL23" s="922"/>
      <c r="BM23" s="922"/>
      <c r="BN23" s="922"/>
      <c r="BO23" s="922"/>
      <c r="BP23" s="922"/>
      <c r="BQ23" s="922"/>
      <c r="BR23" s="922"/>
      <c r="BS23" s="922"/>
      <c r="BT23" s="922"/>
      <c r="BU23" s="922"/>
      <c r="BV23" s="922"/>
      <c r="BW23" s="922"/>
      <c r="BX23" s="922"/>
      <c r="BY23" s="922"/>
      <c r="BZ23" s="922"/>
      <c r="CA23" s="922"/>
      <c r="CB23" s="922"/>
      <c r="CC23" s="922"/>
      <c r="CD23" s="922"/>
      <c r="CE23" s="922"/>
      <c r="CF23" s="922"/>
      <c r="CG23" s="922"/>
      <c r="CH23" s="922"/>
      <c r="CI23" s="922"/>
      <c r="CJ23" s="922"/>
      <c r="CK23" s="922"/>
      <c r="CL23" s="922"/>
      <c r="CM23" s="922"/>
      <c r="CN23" s="922"/>
      <c r="CO23" s="922"/>
      <c r="CP23" s="922"/>
      <c r="CQ23" s="922"/>
      <c r="CR23" s="922"/>
      <c r="CS23" s="922"/>
      <c r="CT23" s="922"/>
      <c r="CU23" s="922"/>
      <c r="CV23" s="922"/>
      <c r="CW23" s="922"/>
      <c r="CX23" s="922"/>
      <c r="CY23" s="922"/>
      <c r="CZ23" s="922"/>
      <c r="DA23" s="922"/>
      <c r="DB23" s="922"/>
      <c r="DC23" s="922"/>
      <c r="DD23" s="922"/>
      <c r="DE23" s="922"/>
      <c r="DF23" s="922"/>
      <c r="DG23" s="922"/>
      <c r="DH23" s="922"/>
      <c r="DI23" s="922"/>
      <c r="DJ23" s="922"/>
      <c r="DK23" s="922"/>
      <c r="DL23" s="922"/>
      <c r="DM23" s="922"/>
      <c r="DN23" s="922"/>
      <c r="DO23" s="922"/>
      <c r="DP23" s="922"/>
      <c r="DQ23" s="922"/>
      <c r="DR23" s="922"/>
      <c r="DS23" s="922"/>
      <c r="DT23" s="922"/>
      <c r="DU23" s="922"/>
      <c r="DV23" s="922"/>
      <c r="DW23" s="922"/>
      <c r="DX23" s="922"/>
      <c r="DY23" s="922"/>
      <c r="DZ23" s="922"/>
      <c r="EA23" s="922"/>
      <c r="EB23" s="922"/>
      <c r="EC23" s="922"/>
      <c r="ED23" s="922"/>
      <c r="EE23" s="922"/>
      <c r="EF23" s="922"/>
      <c r="EG23" s="922"/>
      <c r="EH23" s="922"/>
      <c r="EI23" s="922"/>
      <c r="EJ23" s="922"/>
      <c r="EK23" s="922"/>
      <c r="EL23" s="922"/>
      <c r="EM23" s="922"/>
      <c r="EN23" s="922"/>
      <c r="EO23" s="922"/>
      <c r="EP23" s="922"/>
      <c r="EQ23" s="922"/>
      <c r="ER23" s="922"/>
      <c r="ES23" s="922"/>
      <c r="ET23" s="922"/>
      <c r="EU23" s="922"/>
      <c r="EV23" s="922"/>
      <c r="EW23" s="922"/>
      <c r="EX23" s="922"/>
      <c r="EY23" s="922"/>
      <c r="EZ23" s="922"/>
      <c r="FA23" s="922"/>
      <c r="FB23" s="922"/>
      <c r="FC23" s="922"/>
      <c r="FD23" s="922"/>
      <c r="FE23" s="922"/>
      <c r="FF23" s="922"/>
      <c r="FG23" s="922"/>
      <c r="FH23" s="922"/>
      <c r="FI23" s="922"/>
      <c r="FJ23" s="922"/>
      <c r="FK23" s="922"/>
      <c r="FL23" s="922"/>
      <c r="FM23" s="922"/>
      <c r="FN23" s="922"/>
      <c r="FO23" s="922"/>
      <c r="FP23" s="922"/>
      <c r="FQ23" s="922"/>
      <c r="FR23" s="922"/>
      <c r="FS23" s="922"/>
      <c r="FT23" s="922"/>
      <c r="FU23" s="922"/>
      <c r="FV23" s="922"/>
      <c r="FW23" s="922"/>
      <c r="FX23" s="922"/>
      <c r="FY23" s="922"/>
      <c r="FZ23" s="922"/>
      <c r="GA23" s="922"/>
      <c r="GB23" s="922"/>
      <c r="GC23" s="922"/>
      <c r="GD23" s="922"/>
      <c r="GE23" s="922"/>
      <c r="GF23" s="922"/>
      <c r="GG23" s="922"/>
      <c r="GH23" s="922"/>
      <c r="GI23" s="922"/>
      <c r="GJ23" s="922"/>
      <c r="GK23" s="922"/>
      <c r="GL23" s="922"/>
      <c r="GM23" s="922"/>
      <c r="GN23" s="922"/>
      <c r="GO23" s="922"/>
      <c r="GP23" s="922"/>
      <c r="GQ23" s="922"/>
      <c r="GR23" s="922"/>
      <c r="GS23" s="922"/>
      <c r="GT23" s="922"/>
      <c r="GU23" s="922"/>
      <c r="GV23" s="922"/>
      <c r="GW23" s="922"/>
      <c r="GX23" s="922"/>
      <c r="GY23" s="922"/>
      <c r="GZ23" s="922"/>
      <c r="HA23" s="922"/>
      <c r="HB23" s="922"/>
      <c r="HC23" s="922"/>
      <c r="HD23" s="922"/>
      <c r="HE23" s="922"/>
      <c r="HF23" s="922"/>
      <c r="HG23" s="922"/>
      <c r="HH23" s="922"/>
      <c r="HI23" s="922"/>
      <c r="HJ23" s="922"/>
      <c r="HK23" s="922"/>
      <c r="HL23" s="922"/>
      <c r="HM23" s="922"/>
      <c r="HN23" s="922"/>
      <c r="HO23" s="922"/>
      <c r="HP23" s="922"/>
      <c r="HQ23" s="922"/>
      <c r="HR23" s="922"/>
      <c r="HS23" s="922"/>
      <c r="HT23" s="922"/>
      <c r="HU23" s="922"/>
      <c r="HV23" s="922"/>
      <c r="HW23" s="922"/>
      <c r="HX23" s="922"/>
      <c r="HY23" s="922"/>
      <c r="HZ23" s="922"/>
      <c r="IA23" s="922"/>
      <c r="IB23" s="922"/>
      <c r="IC23" s="922"/>
      <c r="ID23" s="922"/>
      <c r="IE23" s="922"/>
      <c r="IF23" s="922"/>
      <c r="IG23" s="922"/>
      <c r="IH23" s="922"/>
      <c r="II23" s="922"/>
      <c r="IJ23" s="922"/>
      <c r="IK23" s="922"/>
    </row>
    <row r="24" spans="1:245" ht="38.25" customHeight="1">
      <c r="A24" s="923">
        <v>15</v>
      </c>
      <c r="B24" s="929" t="s">
        <v>1230</v>
      </c>
      <c r="C24" s="925" t="s">
        <v>1231</v>
      </c>
      <c r="D24" s="926">
        <f t="shared" si="2"/>
        <v>300</v>
      </c>
      <c r="E24" s="927"/>
      <c r="F24" s="927">
        <v>300</v>
      </c>
      <c r="G24" s="927"/>
      <c r="H24" s="928"/>
      <c r="I24" s="926"/>
      <c r="J24" s="922"/>
      <c r="K24" s="922"/>
      <c r="L24" s="922"/>
      <c r="M24" s="922"/>
      <c r="N24" s="922"/>
      <c r="O24" s="922"/>
      <c r="P24" s="922"/>
      <c r="Q24" s="922"/>
      <c r="R24" s="922"/>
      <c r="S24" s="922"/>
      <c r="T24" s="922"/>
      <c r="U24" s="922"/>
      <c r="V24" s="922"/>
      <c r="W24" s="922"/>
      <c r="X24" s="922"/>
      <c r="Y24" s="922"/>
      <c r="Z24" s="922"/>
      <c r="AA24" s="922"/>
      <c r="AB24" s="922"/>
      <c r="AC24" s="922"/>
      <c r="AD24" s="922"/>
      <c r="AE24" s="922"/>
      <c r="AF24" s="922"/>
      <c r="AG24" s="922"/>
      <c r="AH24" s="922"/>
      <c r="AI24" s="922"/>
      <c r="AJ24" s="922"/>
      <c r="AK24" s="922"/>
      <c r="AL24" s="922"/>
      <c r="AM24" s="922"/>
      <c r="AN24" s="922"/>
      <c r="AO24" s="922"/>
      <c r="AP24" s="922"/>
      <c r="AQ24" s="922"/>
      <c r="AR24" s="922"/>
      <c r="AS24" s="922"/>
      <c r="AT24" s="922"/>
      <c r="AU24" s="922"/>
      <c r="AV24" s="922"/>
      <c r="AW24" s="922"/>
      <c r="AX24" s="922"/>
      <c r="AY24" s="922"/>
      <c r="AZ24" s="922"/>
      <c r="BA24" s="922"/>
      <c r="BB24" s="922"/>
      <c r="BC24" s="922"/>
      <c r="BD24" s="922"/>
      <c r="BE24" s="922"/>
      <c r="BF24" s="922"/>
      <c r="BG24" s="922"/>
      <c r="BH24" s="922"/>
      <c r="BI24" s="922"/>
      <c r="BJ24" s="922"/>
      <c r="BK24" s="922"/>
      <c r="BL24" s="922"/>
      <c r="BM24" s="922"/>
      <c r="BN24" s="922"/>
      <c r="BO24" s="922"/>
      <c r="BP24" s="922"/>
      <c r="BQ24" s="922"/>
      <c r="BR24" s="922"/>
      <c r="BS24" s="922"/>
      <c r="BT24" s="922"/>
      <c r="BU24" s="922"/>
      <c r="BV24" s="922"/>
      <c r="BW24" s="922"/>
      <c r="BX24" s="922"/>
      <c r="BY24" s="922"/>
      <c r="BZ24" s="922"/>
      <c r="CA24" s="922"/>
      <c r="CB24" s="922"/>
      <c r="CC24" s="922"/>
      <c r="CD24" s="922"/>
      <c r="CE24" s="922"/>
      <c r="CF24" s="922"/>
      <c r="CG24" s="922"/>
      <c r="CH24" s="922"/>
      <c r="CI24" s="922"/>
      <c r="CJ24" s="922"/>
      <c r="CK24" s="922"/>
      <c r="CL24" s="922"/>
      <c r="CM24" s="922"/>
      <c r="CN24" s="922"/>
      <c r="CO24" s="922"/>
      <c r="CP24" s="922"/>
      <c r="CQ24" s="922"/>
      <c r="CR24" s="922"/>
      <c r="CS24" s="922"/>
      <c r="CT24" s="922"/>
      <c r="CU24" s="922"/>
      <c r="CV24" s="922"/>
      <c r="CW24" s="922"/>
      <c r="CX24" s="922"/>
      <c r="CY24" s="922"/>
      <c r="CZ24" s="922"/>
      <c r="DA24" s="922"/>
      <c r="DB24" s="922"/>
      <c r="DC24" s="922"/>
      <c r="DD24" s="922"/>
      <c r="DE24" s="922"/>
      <c r="DF24" s="922"/>
      <c r="DG24" s="922"/>
      <c r="DH24" s="922"/>
      <c r="DI24" s="922"/>
      <c r="DJ24" s="922"/>
      <c r="DK24" s="922"/>
      <c r="DL24" s="922"/>
      <c r="DM24" s="922"/>
      <c r="DN24" s="922"/>
      <c r="DO24" s="922"/>
      <c r="DP24" s="922"/>
      <c r="DQ24" s="922"/>
      <c r="DR24" s="922"/>
      <c r="DS24" s="922"/>
      <c r="DT24" s="922"/>
      <c r="DU24" s="922"/>
      <c r="DV24" s="922"/>
      <c r="DW24" s="922"/>
      <c r="DX24" s="922"/>
      <c r="DY24" s="922"/>
      <c r="DZ24" s="922"/>
      <c r="EA24" s="922"/>
      <c r="EB24" s="922"/>
      <c r="EC24" s="922"/>
      <c r="ED24" s="922"/>
      <c r="EE24" s="922"/>
      <c r="EF24" s="922"/>
      <c r="EG24" s="922"/>
      <c r="EH24" s="922"/>
      <c r="EI24" s="922"/>
      <c r="EJ24" s="922"/>
      <c r="EK24" s="922"/>
      <c r="EL24" s="922"/>
      <c r="EM24" s="922"/>
      <c r="EN24" s="922"/>
      <c r="EO24" s="922"/>
      <c r="EP24" s="922"/>
      <c r="EQ24" s="922"/>
      <c r="ER24" s="922"/>
      <c r="ES24" s="922"/>
      <c r="ET24" s="922"/>
      <c r="EU24" s="922"/>
      <c r="EV24" s="922"/>
      <c r="EW24" s="922"/>
      <c r="EX24" s="922"/>
      <c r="EY24" s="922"/>
      <c r="EZ24" s="922"/>
      <c r="FA24" s="922"/>
      <c r="FB24" s="922"/>
      <c r="FC24" s="922"/>
      <c r="FD24" s="922"/>
      <c r="FE24" s="922"/>
      <c r="FF24" s="922"/>
      <c r="FG24" s="922"/>
      <c r="FH24" s="922"/>
      <c r="FI24" s="922"/>
      <c r="FJ24" s="922"/>
      <c r="FK24" s="922"/>
      <c r="FL24" s="922"/>
      <c r="FM24" s="922"/>
      <c r="FN24" s="922"/>
      <c r="FO24" s="922"/>
      <c r="FP24" s="922"/>
      <c r="FQ24" s="922"/>
      <c r="FR24" s="922"/>
      <c r="FS24" s="922"/>
      <c r="FT24" s="922"/>
      <c r="FU24" s="922"/>
      <c r="FV24" s="922"/>
      <c r="FW24" s="922"/>
      <c r="FX24" s="922"/>
      <c r="FY24" s="922"/>
      <c r="FZ24" s="922"/>
      <c r="GA24" s="922"/>
      <c r="GB24" s="922"/>
      <c r="GC24" s="922"/>
      <c r="GD24" s="922"/>
      <c r="GE24" s="922"/>
      <c r="GF24" s="922"/>
      <c r="GG24" s="922"/>
      <c r="GH24" s="922"/>
      <c r="GI24" s="922"/>
      <c r="GJ24" s="922"/>
      <c r="GK24" s="922"/>
      <c r="GL24" s="922"/>
      <c r="GM24" s="922"/>
      <c r="GN24" s="922"/>
      <c r="GO24" s="922"/>
      <c r="GP24" s="922"/>
      <c r="GQ24" s="922"/>
      <c r="GR24" s="922"/>
      <c r="GS24" s="922"/>
      <c r="GT24" s="922"/>
      <c r="GU24" s="922"/>
      <c r="GV24" s="922"/>
      <c r="GW24" s="922"/>
      <c r="GX24" s="922"/>
      <c r="GY24" s="922"/>
      <c r="GZ24" s="922"/>
      <c r="HA24" s="922"/>
      <c r="HB24" s="922"/>
      <c r="HC24" s="922"/>
      <c r="HD24" s="922"/>
      <c r="HE24" s="922"/>
      <c r="HF24" s="922"/>
      <c r="HG24" s="922"/>
      <c r="HH24" s="922"/>
      <c r="HI24" s="922"/>
      <c r="HJ24" s="922"/>
      <c r="HK24" s="922"/>
      <c r="HL24" s="922"/>
      <c r="HM24" s="922"/>
      <c r="HN24" s="922"/>
      <c r="HO24" s="922"/>
      <c r="HP24" s="922"/>
      <c r="HQ24" s="922"/>
      <c r="HR24" s="922"/>
      <c r="HS24" s="922"/>
      <c r="HT24" s="922"/>
      <c r="HU24" s="922"/>
      <c r="HV24" s="922"/>
      <c r="HW24" s="922"/>
      <c r="HX24" s="922"/>
      <c r="HY24" s="922"/>
      <c r="HZ24" s="922"/>
      <c r="IA24" s="922"/>
      <c r="IB24" s="922"/>
      <c r="IC24" s="922"/>
      <c r="ID24" s="922"/>
      <c r="IE24" s="922"/>
      <c r="IF24" s="922"/>
      <c r="IG24" s="922"/>
      <c r="IH24" s="922"/>
      <c r="II24" s="922"/>
      <c r="IJ24" s="922"/>
      <c r="IK24" s="922"/>
    </row>
    <row r="25" spans="1:245" ht="38.25" customHeight="1">
      <c r="A25" s="923">
        <v>16</v>
      </c>
      <c r="B25" s="929" t="s">
        <v>1232</v>
      </c>
      <c r="C25" s="925" t="s">
        <v>1233</v>
      </c>
      <c r="D25" s="926">
        <f t="shared" si="2"/>
        <v>500</v>
      </c>
      <c r="E25" s="927"/>
      <c r="F25" s="927">
        <v>500</v>
      </c>
      <c r="G25" s="927"/>
      <c r="H25" s="928"/>
      <c r="I25" s="926"/>
      <c r="J25" s="922"/>
      <c r="K25" s="922"/>
      <c r="L25" s="922"/>
      <c r="M25" s="922"/>
      <c r="N25" s="922"/>
      <c r="O25" s="922"/>
      <c r="P25" s="922"/>
      <c r="Q25" s="922"/>
      <c r="R25" s="922"/>
      <c r="S25" s="922"/>
      <c r="T25" s="922"/>
      <c r="U25" s="922"/>
      <c r="V25" s="922"/>
      <c r="W25" s="922"/>
      <c r="X25" s="922"/>
      <c r="Y25" s="922"/>
      <c r="Z25" s="922"/>
      <c r="AA25" s="922"/>
      <c r="AB25" s="922"/>
      <c r="AC25" s="922"/>
      <c r="AD25" s="922"/>
      <c r="AE25" s="922"/>
      <c r="AF25" s="922"/>
      <c r="AG25" s="922"/>
      <c r="AH25" s="922"/>
      <c r="AI25" s="922"/>
      <c r="AJ25" s="922"/>
      <c r="AK25" s="922"/>
      <c r="AL25" s="922"/>
      <c r="AM25" s="922"/>
      <c r="AN25" s="922"/>
      <c r="AO25" s="922"/>
      <c r="AP25" s="922"/>
      <c r="AQ25" s="922"/>
      <c r="AR25" s="922"/>
      <c r="AS25" s="922"/>
      <c r="AT25" s="922"/>
      <c r="AU25" s="922"/>
      <c r="AV25" s="922"/>
      <c r="AW25" s="922"/>
      <c r="AX25" s="922"/>
      <c r="AY25" s="922"/>
      <c r="AZ25" s="922"/>
      <c r="BA25" s="922"/>
      <c r="BB25" s="922"/>
      <c r="BC25" s="922"/>
      <c r="BD25" s="922"/>
      <c r="BE25" s="922"/>
      <c r="BF25" s="922"/>
      <c r="BG25" s="922"/>
      <c r="BH25" s="922"/>
      <c r="BI25" s="922"/>
      <c r="BJ25" s="922"/>
      <c r="BK25" s="922"/>
      <c r="BL25" s="922"/>
      <c r="BM25" s="922"/>
      <c r="BN25" s="922"/>
      <c r="BO25" s="922"/>
      <c r="BP25" s="922"/>
      <c r="BQ25" s="922"/>
      <c r="BR25" s="922"/>
      <c r="BS25" s="922"/>
      <c r="BT25" s="922"/>
      <c r="BU25" s="922"/>
      <c r="BV25" s="922"/>
      <c r="BW25" s="922"/>
      <c r="BX25" s="922"/>
      <c r="BY25" s="922"/>
      <c r="BZ25" s="922"/>
      <c r="CA25" s="922"/>
      <c r="CB25" s="922"/>
      <c r="CC25" s="922"/>
      <c r="CD25" s="922"/>
      <c r="CE25" s="922"/>
      <c r="CF25" s="922"/>
      <c r="CG25" s="922"/>
      <c r="CH25" s="922"/>
      <c r="CI25" s="922"/>
      <c r="CJ25" s="922"/>
      <c r="CK25" s="922"/>
      <c r="CL25" s="922"/>
      <c r="CM25" s="922"/>
      <c r="CN25" s="922"/>
      <c r="CO25" s="922"/>
      <c r="CP25" s="922"/>
      <c r="CQ25" s="922"/>
      <c r="CR25" s="922"/>
      <c r="CS25" s="922"/>
      <c r="CT25" s="922"/>
      <c r="CU25" s="922"/>
      <c r="CV25" s="922"/>
      <c r="CW25" s="922"/>
      <c r="CX25" s="922"/>
      <c r="CY25" s="922"/>
      <c r="CZ25" s="922"/>
      <c r="DA25" s="922"/>
      <c r="DB25" s="922"/>
      <c r="DC25" s="922"/>
      <c r="DD25" s="922"/>
      <c r="DE25" s="922"/>
      <c r="DF25" s="922"/>
      <c r="DG25" s="922"/>
      <c r="DH25" s="922"/>
      <c r="DI25" s="922"/>
      <c r="DJ25" s="922"/>
      <c r="DK25" s="922"/>
      <c r="DL25" s="922"/>
      <c r="DM25" s="922"/>
      <c r="DN25" s="922"/>
      <c r="DO25" s="922"/>
      <c r="DP25" s="922"/>
      <c r="DQ25" s="922"/>
      <c r="DR25" s="922"/>
      <c r="DS25" s="922"/>
      <c r="DT25" s="922"/>
      <c r="DU25" s="922"/>
      <c r="DV25" s="922"/>
      <c r="DW25" s="922"/>
      <c r="DX25" s="922"/>
      <c r="DY25" s="922"/>
      <c r="DZ25" s="922"/>
      <c r="EA25" s="922"/>
      <c r="EB25" s="922"/>
      <c r="EC25" s="922"/>
      <c r="ED25" s="922"/>
      <c r="EE25" s="922"/>
      <c r="EF25" s="922"/>
      <c r="EG25" s="922"/>
      <c r="EH25" s="922"/>
      <c r="EI25" s="922"/>
      <c r="EJ25" s="922"/>
      <c r="EK25" s="922"/>
      <c r="EL25" s="922"/>
      <c r="EM25" s="922"/>
      <c r="EN25" s="922"/>
      <c r="EO25" s="922"/>
      <c r="EP25" s="922"/>
      <c r="EQ25" s="922"/>
      <c r="ER25" s="922"/>
      <c r="ES25" s="922"/>
      <c r="ET25" s="922"/>
      <c r="EU25" s="922"/>
      <c r="EV25" s="922"/>
      <c r="EW25" s="922"/>
      <c r="EX25" s="922"/>
      <c r="EY25" s="922"/>
      <c r="EZ25" s="922"/>
      <c r="FA25" s="922"/>
      <c r="FB25" s="922"/>
      <c r="FC25" s="922"/>
      <c r="FD25" s="922"/>
      <c r="FE25" s="922"/>
      <c r="FF25" s="922"/>
      <c r="FG25" s="922"/>
      <c r="FH25" s="922"/>
      <c r="FI25" s="922"/>
      <c r="FJ25" s="922"/>
      <c r="FK25" s="922"/>
      <c r="FL25" s="922"/>
      <c r="FM25" s="922"/>
      <c r="FN25" s="922"/>
      <c r="FO25" s="922"/>
      <c r="FP25" s="922"/>
      <c r="FQ25" s="922"/>
      <c r="FR25" s="922"/>
      <c r="FS25" s="922"/>
      <c r="FT25" s="922"/>
      <c r="FU25" s="922"/>
      <c r="FV25" s="922"/>
      <c r="FW25" s="922"/>
      <c r="FX25" s="922"/>
      <c r="FY25" s="922"/>
      <c r="FZ25" s="922"/>
      <c r="GA25" s="922"/>
      <c r="GB25" s="922"/>
      <c r="GC25" s="922"/>
      <c r="GD25" s="922"/>
      <c r="GE25" s="922"/>
      <c r="GF25" s="922"/>
      <c r="GG25" s="922"/>
      <c r="GH25" s="922"/>
      <c r="GI25" s="922"/>
      <c r="GJ25" s="922"/>
      <c r="GK25" s="922"/>
      <c r="GL25" s="922"/>
      <c r="GM25" s="922"/>
      <c r="GN25" s="922"/>
      <c r="GO25" s="922"/>
      <c r="GP25" s="922"/>
      <c r="GQ25" s="922"/>
      <c r="GR25" s="922"/>
      <c r="GS25" s="922"/>
      <c r="GT25" s="922"/>
      <c r="GU25" s="922"/>
      <c r="GV25" s="922"/>
      <c r="GW25" s="922"/>
      <c r="GX25" s="922"/>
      <c r="GY25" s="922"/>
      <c r="GZ25" s="922"/>
      <c r="HA25" s="922"/>
      <c r="HB25" s="922"/>
      <c r="HC25" s="922"/>
      <c r="HD25" s="922"/>
      <c r="HE25" s="922"/>
      <c r="HF25" s="922"/>
      <c r="HG25" s="922"/>
      <c r="HH25" s="922"/>
      <c r="HI25" s="922"/>
      <c r="HJ25" s="922"/>
      <c r="HK25" s="922"/>
      <c r="HL25" s="922"/>
      <c r="HM25" s="922"/>
      <c r="HN25" s="922"/>
      <c r="HO25" s="922"/>
      <c r="HP25" s="922"/>
      <c r="HQ25" s="922"/>
      <c r="HR25" s="922"/>
      <c r="HS25" s="922"/>
      <c r="HT25" s="922"/>
      <c r="HU25" s="922"/>
      <c r="HV25" s="922"/>
      <c r="HW25" s="922"/>
      <c r="HX25" s="922"/>
      <c r="HY25" s="922"/>
      <c r="HZ25" s="922"/>
      <c r="IA25" s="922"/>
      <c r="IB25" s="922"/>
      <c r="IC25" s="922"/>
      <c r="ID25" s="922"/>
      <c r="IE25" s="922"/>
      <c r="IF25" s="922"/>
      <c r="IG25" s="922"/>
      <c r="IH25" s="922"/>
      <c r="II25" s="922"/>
      <c r="IJ25" s="922"/>
      <c r="IK25" s="922"/>
    </row>
    <row r="26" spans="1:245" ht="38.25" customHeight="1">
      <c r="A26" s="923">
        <v>17</v>
      </c>
      <c r="B26" s="929" t="s">
        <v>1234</v>
      </c>
      <c r="C26" s="925" t="s">
        <v>1235</v>
      </c>
      <c r="D26" s="926">
        <f t="shared" si="2"/>
        <v>500</v>
      </c>
      <c r="E26" s="927"/>
      <c r="F26" s="927">
        <v>500</v>
      </c>
      <c r="G26" s="927"/>
      <c r="H26" s="928"/>
      <c r="I26" s="926"/>
      <c r="J26" s="922"/>
      <c r="K26" s="922"/>
      <c r="L26" s="922"/>
      <c r="M26" s="922"/>
      <c r="N26" s="922"/>
      <c r="O26" s="922"/>
      <c r="P26" s="922"/>
      <c r="Q26" s="922"/>
      <c r="R26" s="922"/>
      <c r="S26" s="922"/>
      <c r="T26" s="922"/>
      <c r="U26" s="922"/>
      <c r="V26" s="922"/>
      <c r="W26" s="922"/>
      <c r="X26" s="922"/>
      <c r="Y26" s="922"/>
      <c r="Z26" s="922"/>
      <c r="AA26" s="922"/>
      <c r="AB26" s="922"/>
      <c r="AC26" s="922"/>
      <c r="AD26" s="922"/>
      <c r="AE26" s="922"/>
      <c r="AF26" s="922"/>
      <c r="AG26" s="922"/>
      <c r="AH26" s="922"/>
      <c r="AI26" s="922"/>
      <c r="AJ26" s="922"/>
      <c r="AK26" s="922"/>
      <c r="AL26" s="922"/>
      <c r="AM26" s="922"/>
      <c r="AN26" s="922"/>
      <c r="AO26" s="922"/>
      <c r="AP26" s="922"/>
      <c r="AQ26" s="922"/>
      <c r="AR26" s="922"/>
      <c r="AS26" s="922"/>
      <c r="AT26" s="922"/>
      <c r="AU26" s="922"/>
      <c r="AV26" s="922"/>
      <c r="AW26" s="922"/>
      <c r="AX26" s="922"/>
      <c r="AY26" s="922"/>
      <c r="AZ26" s="922"/>
      <c r="BA26" s="922"/>
      <c r="BB26" s="922"/>
      <c r="BC26" s="922"/>
      <c r="BD26" s="922"/>
      <c r="BE26" s="922"/>
      <c r="BF26" s="922"/>
      <c r="BG26" s="922"/>
      <c r="BH26" s="922"/>
      <c r="BI26" s="922"/>
      <c r="BJ26" s="922"/>
      <c r="BK26" s="922"/>
      <c r="BL26" s="922"/>
      <c r="BM26" s="922"/>
      <c r="BN26" s="922"/>
      <c r="BO26" s="922"/>
      <c r="BP26" s="922"/>
      <c r="BQ26" s="922"/>
      <c r="BR26" s="922"/>
      <c r="BS26" s="922"/>
      <c r="BT26" s="922"/>
      <c r="BU26" s="922"/>
      <c r="BV26" s="922"/>
      <c r="BW26" s="922"/>
      <c r="BX26" s="922"/>
      <c r="BY26" s="922"/>
      <c r="BZ26" s="922"/>
      <c r="CA26" s="922"/>
      <c r="CB26" s="922"/>
      <c r="CC26" s="922"/>
      <c r="CD26" s="922"/>
      <c r="CE26" s="922"/>
      <c r="CF26" s="922"/>
      <c r="CG26" s="922"/>
      <c r="CH26" s="922"/>
      <c r="CI26" s="922"/>
      <c r="CJ26" s="922"/>
      <c r="CK26" s="922"/>
      <c r="CL26" s="922"/>
      <c r="CM26" s="922"/>
      <c r="CN26" s="922"/>
      <c r="CO26" s="922"/>
      <c r="CP26" s="922"/>
      <c r="CQ26" s="922"/>
      <c r="CR26" s="922"/>
      <c r="CS26" s="922"/>
      <c r="CT26" s="922"/>
      <c r="CU26" s="922"/>
      <c r="CV26" s="922"/>
      <c r="CW26" s="922"/>
      <c r="CX26" s="922"/>
      <c r="CY26" s="922"/>
      <c r="CZ26" s="922"/>
      <c r="DA26" s="922"/>
      <c r="DB26" s="922"/>
      <c r="DC26" s="922"/>
      <c r="DD26" s="922"/>
      <c r="DE26" s="922"/>
      <c r="DF26" s="922"/>
      <c r="DG26" s="922"/>
      <c r="DH26" s="922"/>
      <c r="DI26" s="922"/>
      <c r="DJ26" s="922"/>
      <c r="DK26" s="922"/>
      <c r="DL26" s="922"/>
      <c r="DM26" s="922"/>
      <c r="DN26" s="922"/>
      <c r="DO26" s="922"/>
      <c r="DP26" s="922"/>
      <c r="DQ26" s="922"/>
      <c r="DR26" s="922"/>
      <c r="DS26" s="922"/>
      <c r="DT26" s="922"/>
      <c r="DU26" s="922"/>
      <c r="DV26" s="922"/>
      <c r="DW26" s="922"/>
      <c r="DX26" s="922"/>
      <c r="DY26" s="922"/>
      <c r="DZ26" s="922"/>
      <c r="EA26" s="922"/>
      <c r="EB26" s="922"/>
      <c r="EC26" s="922"/>
      <c r="ED26" s="922"/>
      <c r="EE26" s="922"/>
      <c r="EF26" s="922"/>
      <c r="EG26" s="922"/>
      <c r="EH26" s="922"/>
      <c r="EI26" s="922"/>
      <c r="EJ26" s="922"/>
      <c r="EK26" s="922"/>
      <c r="EL26" s="922"/>
      <c r="EM26" s="922"/>
      <c r="EN26" s="922"/>
      <c r="EO26" s="922"/>
      <c r="EP26" s="922"/>
      <c r="EQ26" s="922"/>
      <c r="ER26" s="922"/>
      <c r="ES26" s="922"/>
      <c r="ET26" s="922"/>
      <c r="EU26" s="922"/>
      <c r="EV26" s="922"/>
      <c r="EW26" s="922"/>
      <c r="EX26" s="922"/>
      <c r="EY26" s="922"/>
      <c r="EZ26" s="922"/>
      <c r="FA26" s="922"/>
      <c r="FB26" s="922"/>
      <c r="FC26" s="922"/>
      <c r="FD26" s="922"/>
      <c r="FE26" s="922"/>
      <c r="FF26" s="922"/>
      <c r="FG26" s="922"/>
      <c r="FH26" s="922"/>
      <c r="FI26" s="922"/>
      <c r="FJ26" s="922"/>
      <c r="FK26" s="922"/>
      <c r="FL26" s="922"/>
      <c r="FM26" s="922"/>
      <c r="FN26" s="922"/>
      <c r="FO26" s="922"/>
      <c r="FP26" s="922"/>
      <c r="FQ26" s="922"/>
      <c r="FR26" s="922"/>
      <c r="FS26" s="922"/>
      <c r="FT26" s="922"/>
      <c r="FU26" s="922"/>
      <c r="FV26" s="922"/>
      <c r="FW26" s="922"/>
      <c r="FX26" s="922"/>
      <c r="FY26" s="922"/>
      <c r="FZ26" s="922"/>
      <c r="GA26" s="922"/>
      <c r="GB26" s="922"/>
      <c r="GC26" s="922"/>
      <c r="GD26" s="922"/>
      <c r="GE26" s="922"/>
      <c r="GF26" s="922"/>
      <c r="GG26" s="922"/>
      <c r="GH26" s="922"/>
      <c r="GI26" s="922"/>
      <c r="GJ26" s="922"/>
      <c r="GK26" s="922"/>
      <c r="GL26" s="922"/>
      <c r="GM26" s="922"/>
      <c r="GN26" s="922"/>
      <c r="GO26" s="922"/>
      <c r="GP26" s="922"/>
      <c r="GQ26" s="922"/>
      <c r="GR26" s="922"/>
      <c r="GS26" s="922"/>
      <c r="GT26" s="922"/>
      <c r="GU26" s="922"/>
      <c r="GV26" s="922"/>
      <c r="GW26" s="922"/>
      <c r="GX26" s="922"/>
      <c r="GY26" s="922"/>
      <c r="GZ26" s="922"/>
      <c r="HA26" s="922"/>
      <c r="HB26" s="922"/>
      <c r="HC26" s="922"/>
      <c r="HD26" s="922"/>
      <c r="HE26" s="922"/>
      <c r="HF26" s="922"/>
      <c r="HG26" s="922"/>
      <c r="HH26" s="922"/>
      <c r="HI26" s="922"/>
      <c r="HJ26" s="922"/>
      <c r="HK26" s="922"/>
      <c r="HL26" s="922"/>
      <c r="HM26" s="922"/>
      <c r="HN26" s="922"/>
      <c r="HO26" s="922"/>
      <c r="HP26" s="922"/>
      <c r="HQ26" s="922"/>
      <c r="HR26" s="922"/>
      <c r="HS26" s="922"/>
      <c r="HT26" s="922"/>
      <c r="HU26" s="922"/>
      <c r="HV26" s="922"/>
      <c r="HW26" s="922"/>
      <c r="HX26" s="922"/>
      <c r="HY26" s="922"/>
      <c r="HZ26" s="922"/>
      <c r="IA26" s="922"/>
      <c r="IB26" s="922"/>
      <c r="IC26" s="922"/>
      <c r="ID26" s="922"/>
      <c r="IE26" s="922"/>
      <c r="IF26" s="922"/>
      <c r="IG26" s="922"/>
      <c r="IH26" s="922"/>
      <c r="II26" s="922"/>
      <c r="IJ26" s="922"/>
      <c r="IK26" s="922"/>
    </row>
    <row r="27" spans="1:245" ht="38.25" customHeight="1">
      <c r="A27" s="923">
        <v>18</v>
      </c>
      <c r="B27" s="929" t="s">
        <v>1236</v>
      </c>
      <c r="C27" s="925" t="s">
        <v>1237</v>
      </c>
      <c r="D27" s="926">
        <f t="shared" si="2"/>
        <v>800</v>
      </c>
      <c r="E27" s="927"/>
      <c r="F27" s="927">
        <v>800</v>
      </c>
      <c r="G27" s="927"/>
      <c r="H27" s="928"/>
      <c r="I27" s="926"/>
      <c r="J27" s="922"/>
      <c r="K27" s="922"/>
      <c r="L27" s="922"/>
      <c r="M27" s="922"/>
      <c r="N27" s="922"/>
      <c r="O27" s="922"/>
      <c r="P27" s="922"/>
      <c r="Q27" s="922"/>
      <c r="R27" s="922"/>
      <c r="S27" s="922"/>
      <c r="T27" s="922"/>
      <c r="U27" s="922"/>
      <c r="V27" s="922"/>
      <c r="W27" s="922"/>
      <c r="X27" s="922"/>
      <c r="Y27" s="922"/>
      <c r="Z27" s="922"/>
      <c r="AA27" s="922"/>
      <c r="AB27" s="922"/>
      <c r="AC27" s="922"/>
      <c r="AD27" s="922"/>
      <c r="AE27" s="922"/>
      <c r="AF27" s="922"/>
      <c r="AG27" s="922"/>
      <c r="AH27" s="922"/>
      <c r="AI27" s="922"/>
      <c r="AJ27" s="922"/>
      <c r="AK27" s="922"/>
      <c r="AL27" s="922"/>
      <c r="AM27" s="922"/>
      <c r="AN27" s="922"/>
      <c r="AO27" s="922"/>
      <c r="AP27" s="922"/>
      <c r="AQ27" s="922"/>
      <c r="AR27" s="922"/>
      <c r="AS27" s="922"/>
      <c r="AT27" s="922"/>
      <c r="AU27" s="922"/>
      <c r="AV27" s="922"/>
      <c r="AW27" s="922"/>
      <c r="AX27" s="922"/>
      <c r="AY27" s="922"/>
      <c r="AZ27" s="922"/>
      <c r="BA27" s="922"/>
      <c r="BB27" s="922"/>
      <c r="BC27" s="922"/>
      <c r="BD27" s="922"/>
      <c r="BE27" s="922"/>
      <c r="BF27" s="922"/>
      <c r="BG27" s="922"/>
      <c r="BH27" s="922"/>
      <c r="BI27" s="922"/>
      <c r="BJ27" s="922"/>
      <c r="BK27" s="922"/>
      <c r="BL27" s="922"/>
      <c r="BM27" s="922"/>
      <c r="BN27" s="922"/>
      <c r="BO27" s="922"/>
      <c r="BP27" s="922"/>
      <c r="BQ27" s="922"/>
      <c r="BR27" s="922"/>
      <c r="BS27" s="922"/>
      <c r="BT27" s="922"/>
      <c r="BU27" s="922"/>
      <c r="BV27" s="922"/>
      <c r="BW27" s="922"/>
      <c r="BX27" s="922"/>
      <c r="BY27" s="922"/>
      <c r="BZ27" s="922"/>
      <c r="CA27" s="922"/>
      <c r="CB27" s="922"/>
      <c r="CC27" s="922"/>
      <c r="CD27" s="922"/>
      <c r="CE27" s="922"/>
      <c r="CF27" s="922"/>
      <c r="CG27" s="922"/>
      <c r="CH27" s="922"/>
      <c r="CI27" s="922"/>
      <c r="CJ27" s="922"/>
      <c r="CK27" s="922"/>
      <c r="CL27" s="922"/>
      <c r="CM27" s="922"/>
      <c r="CN27" s="922"/>
      <c r="CO27" s="922"/>
      <c r="CP27" s="922"/>
      <c r="CQ27" s="922"/>
      <c r="CR27" s="922"/>
      <c r="CS27" s="922"/>
      <c r="CT27" s="922"/>
      <c r="CU27" s="922"/>
      <c r="CV27" s="922"/>
      <c r="CW27" s="922"/>
      <c r="CX27" s="922"/>
      <c r="CY27" s="922"/>
      <c r="CZ27" s="922"/>
      <c r="DA27" s="922"/>
      <c r="DB27" s="922"/>
      <c r="DC27" s="922"/>
      <c r="DD27" s="922"/>
      <c r="DE27" s="922"/>
      <c r="DF27" s="922"/>
      <c r="DG27" s="922"/>
      <c r="DH27" s="922"/>
      <c r="DI27" s="922"/>
      <c r="DJ27" s="922"/>
      <c r="DK27" s="922"/>
      <c r="DL27" s="922"/>
      <c r="DM27" s="922"/>
      <c r="DN27" s="922"/>
      <c r="DO27" s="922"/>
      <c r="DP27" s="922"/>
      <c r="DQ27" s="922"/>
      <c r="DR27" s="922"/>
      <c r="DS27" s="922"/>
      <c r="DT27" s="922"/>
      <c r="DU27" s="922"/>
      <c r="DV27" s="922"/>
      <c r="DW27" s="922"/>
      <c r="DX27" s="922"/>
      <c r="DY27" s="922"/>
      <c r="DZ27" s="922"/>
      <c r="EA27" s="922"/>
      <c r="EB27" s="922"/>
      <c r="EC27" s="922"/>
      <c r="ED27" s="922"/>
      <c r="EE27" s="922"/>
      <c r="EF27" s="922"/>
      <c r="EG27" s="922"/>
      <c r="EH27" s="922"/>
      <c r="EI27" s="922"/>
      <c r="EJ27" s="922"/>
      <c r="EK27" s="922"/>
      <c r="EL27" s="922"/>
      <c r="EM27" s="922"/>
      <c r="EN27" s="922"/>
      <c r="EO27" s="922"/>
      <c r="EP27" s="922"/>
      <c r="EQ27" s="922"/>
      <c r="ER27" s="922"/>
      <c r="ES27" s="922"/>
      <c r="ET27" s="922"/>
      <c r="EU27" s="922"/>
      <c r="EV27" s="922"/>
      <c r="EW27" s="922"/>
      <c r="EX27" s="922"/>
      <c r="EY27" s="922"/>
      <c r="EZ27" s="922"/>
      <c r="FA27" s="922"/>
      <c r="FB27" s="922"/>
      <c r="FC27" s="922"/>
      <c r="FD27" s="922"/>
      <c r="FE27" s="922"/>
      <c r="FF27" s="922"/>
      <c r="FG27" s="922"/>
      <c r="FH27" s="922"/>
      <c r="FI27" s="922"/>
      <c r="FJ27" s="922"/>
      <c r="FK27" s="922"/>
      <c r="FL27" s="922"/>
      <c r="FM27" s="922"/>
      <c r="FN27" s="922"/>
      <c r="FO27" s="922"/>
      <c r="FP27" s="922"/>
      <c r="FQ27" s="922"/>
      <c r="FR27" s="922"/>
      <c r="FS27" s="922"/>
      <c r="FT27" s="922"/>
      <c r="FU27" s="922"/>
      <c r="FV27" s="922"/>
      <c r="FW27" s="922"/>
      <c r="FX27" s="922"/>
      <c r="FY27" s="922"/>
      <c r="FZ27" s="922"/>
      <c r="GA27" s="922"/>
      <c r="GB27" s="922"/>
      <c r="GC27" s="922"/>
      <c r="GD27" s="922"/>
      <c r="GE27" s="922"/>
      <c r="GF27" s="922"/>
      <c r="GG27" s="922"/>
      <c r="GH27" s="922"/>
      <c r="GI27" s="922"/>
      <c r="GJ27" s="922"/>
      <c r="GK27" s="922"/>
      <c r="GL27" s="922"/>
      <c r="GM27" s="922"/>
      <c r="GN27" s="922"/>
      <c r="GO27" s="922"/>
      <c r="GP27" s="922"/>
      <c r="GQ27" s="922"/>
      <c r="GR27" s="922"/>
      <c r="GS27" s="922"/>
      <c r="GT27" s="922"/>
      <c r="GU27" s="922"/>
      <c r="GV27" s="922"/>
      <c r="GW27" s="922"/>
      <c r="GX27" s="922"/>
      <c r="GY27" s="922"/>
      <c r="GZ27" s="922"/>
      <c r="HA27" s="922"/>
      <c r="HB27" s="922"/>
      <c r="HC27" s="922"/>
      <c r="HD27" s="922"/>
      <c r="HE27" s="922"/>
      <c r="HF27" s="922"/>
      <c r="HG27" s="922"/>
      <c r="HH27" s="922"/>
      <c r="HI27" s="922"/>
      <c r="HJ27" s="922"/>
      <c r="HK27" s="922"/>
      <c r="HL27" s="922"/>
      <c r="HM27" s="922"/>
      <c r="HN27" s="922"/>
      <c r="HO27" s="922"/>
      <c r="HP27" s="922"/>
      <c r="HQ27" s="922"/>
      <c r="HR27" s="922"/>
      <c r="HS27" s="922"/>
      <c r="HT27" s="922"/>
      <c r="HU27" s="922"/>
      <c r="HV27" s="922"/>
      <c r="HW27" s="922"/>
      <c r="HX27" s="922"/>
      <c r="HY27" s="922"/>
      <c r="HZ27" s="922"/>
      <c r="IA27" s="922"/>
      <c r="IB27" s="922"/>
      <c r="IC27" s="922"/>
      <c r="ID27" s="922"/>
      <c r="IE27" s="922"/>
      <c r="IF27" s="922"/>
      <c r="IG27" s="922"/>
      <c r="IH27" s="922"/>
      <c r="II27" s="922"/>
      <c r="IJ27" s="922"/>
      <c r="IK27" s="922"/>
    </row>
    <row r="28" spans="1:245" ht="38.25" customHeight="1">
      <c r="A28" s="923">
        <v>19</v>
      </c>
      <c r="B28" s="929" t="s">
        <v>1238</v>
      </c>
      <c r="C28" s="925" t="s">
        <v>1239</v>
      </c>
      <c r="D28" s="926">
        <f t="shared" si="2"/>
        <v>400</v>
      </c>
      <c r="E28" s="927"/>
      <c r="F28" s="927">
        <v>400</v>
      </c>
      <c r="G28" s="927"/>
      <c r="H28" s="928"/>
      <c r="I28" s="926"/>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2"/>
      <c r="AY28" s="922"/>
      <c r="AZ28" s="922"/>
      <c r="BA28" s="922"/>
      <c r="BB28" s="922"/>
      <c r="BC28" s="922"/>
      <c r="BD28" s="922"/>
      <c r="BE28" s="922"/>
      <c r="BF28" s="922"/>
      <c r="BG28" s="922"/>
      <c r="BH28" s="922"/>
      <c r="BI28" s="922"/>
      <c r="BJ28" s="922"/>
      <c r="BK28" s="922"/>
      <c r="BL28" s="922"/>
      <c r="BM28" s="922"/>
      <c r="BN28" s="922"/>
      <c r="BO28" s="922"/>
      <c r="BP28" s="922"/>
      <c r="BQ28" s="922"/>
      <c r="BR28" s="922"/>
      <c r="BS28" s="922"/>
      <c r="BT28" s="922"/>
      <c r="BU28" s="922"/>
      <c r="BV28" s="922"/>
      <c r="BW28" s="922"/>
      <c r="BX28" s="922"/>
      <c r="BY28" s="922"/>
      <c r="BZ28" s="922"/>
      <c r="CA28" s="922"/>
      <c r="CB28" s="922"/>
      <c r="CC28" s="922"/>
      <c r="CD28" s="922"/>
      <c r="CE28" s="922"/>
      <c r="CF28" s="922"/>
      <c r="CG28" s="922"/>
      <c r="CH28" s="922"/>
      <c r="CI28" s="922"/>
      <c r="CJ28" s="922"/>
      <c r="CK28" s="922"/>
      <c r="CL28" s="922"/>
      <c r="CM28" s="922"/>
      <c r="CN28" s="922"/>
      <c r="CO28" s="922"/>
      <c r="CP28" s="922"/>
      <c r="CQ28" s="922"/>
      <c r="CR28" s="922"/>
      <c r="CS28" s="922"/>
      <c r="CT28" s="922"/>
      <c r="CU28" s="922"/>
      <c r="CV28" s="922"/>
      <c r="CW28" s="922"/>
      <c r="CX28" s="922"/>
      <c r="CY28" s="922"/>
      <c r="CZ28" s="922"/>
      <c r="DA28" s="922"/>
      <c r="DB28" s="922"/>
      <c r="DC28" s="922"/>
      <c r="DD28" s="922"/>
      <c r="DE28" s="922"/>
      <c r="DF28" s="922"/>
      <c r="DG28" s="922"/>
      <c r="DH28" s="922"/>
      <c r="DI28" s="922"/>
      <c r="DJ28" s="922"/>
      <c r="DK28" s="922"/>
      <c r="DL28" s="922"/>
      <c r="DM28" s="922"/>
      <c r="DN28" s="922"/>
      <c r="DO28" s="922"/>
      <c r="DP28" s="922"/>
      <c r="DQ28" s="922"/>
      <c r="DR28" s="922"/>
      <c r="DS28" s="922"/>
      <c r="DT28" s="922"/>
      <c r="DU28" s="922"/>
      <c r="DV28" s="922"/>
      <c r="DW28" s="922"/>
      <c r="DX28" s="922"/>
      <c r="DY28" s="922"/>
      <c r="DZ28" s="922"/>
      <c r="EA28" s="922"/>
      <c r="EB28" s="922"/>
      <c r="EC28" s="922"/>
      <c r="ED28" s="922"/>
      <c r="EE28" s="922"/>
      <c r="EF28" s="922"/>
      <c r="EG28" s="922"/>
      <c r="EH28" s="922"/>
      <c r="EI28" s="922"/>
      <c r="EJ28" s="922"/>
      <c r="EK28" s="922"/>
      <c r="EL28" s="922"/>
      <c r="EM28" s="922"/>
      <c r="EN28" s="922"/>
      <c r="EO28" s="922"/>
      <c r="EP28" s="922"/>
      <c r="EQ28" s="922"/>
      <c r="ER28" s="922"/>
      <c r="ES28" s="922"/>
      <c r="ET28" s="922"/>
      <c r="EU28" s="922"/>
      <c r="EV28" s="922"/>
      <c r="EW28" s="922"/>
      <c r="EX28" s="922"/>
      <c r="EY28" s="922"/>
      <c r="EZ28" s="922"/>
      <c r="FA28" s="922"/>
      <c r="FB28" s="922"/>
      <c r="FC28" s="922"/>
      <c r="FD28" s="922"/>
      <c r="FE28" s="922"/>
      <c r="FF28" s="922"/>
      <c r="FG28" s="922"/>
      <c r="FH28" s="922"/>
      <c r="FI28" s="922"/>
      <c r="FJ28" s="922"/>
      <c r="FK28" s="922"/>
      <c r="FL28" s="922"/>
      <c r="FM28" s="922"/>
      <c r="FN28" s="922"/>
      <c r="FO28" s="922"/>
      <c r="FP28" s="922"/>
      <c r="FQ28" s="922"/>
      <c r="FR28" s="922"/>
      <c r="FS28" s="922"/>
      <c r="FT28" s="922"/>
      <c r="FU28" s="922"/>
      <c r="FV28" s="922"/>
      <c r="FW28" s="922"/>
      <c r="FX28" s="922"/>
      <c r="FY28" s="922"/>
      <c r="FZ28" s="922"/>
      <c r="GA28" s="922"/>
      <c r="GB28" s="922"/>
      <c r="GC28" s="922"/>
      <c r="GD28" s="922"/>
      <c r="GE28" s="922"/>
      <c r="GF28" s="922"/>
      <c r="GG28" s="922"/>
      <c r="GH28" s="922"/>
      <c r="GI28" s="922"/>
      <c r="GJ28" s="922"/>
      <c r="GK28" s="922"/>
      <c r="GL28" s="922"/>
      <c r="GM28" s="922"/>
      <c r="GN28" s="922"/>
      <c r="GO28" s="922"/>
      <c r="GP28" s="922"/>
      <c r="GQ28" s="922"/>
      <c r="GR28" s="922"/>
      <c r="GS28" s="922"/>
      <c r="GT28" s="922"/>
      <c r="GU28" s="922"/>
      <c r="GV28" s="922"/>
      <c r="GW28" s="922"/>
      <c r="GX28" s="922"/>
      <c r="GY28" s="922"/>
      <c r="GZ28" s="922"/>
      <c r="HA28" s="922"/>
      <c r="HB28" s="922"/>
      <c r="HC28" s="922"/>
      <c r="HD28" s="922"/>
      <c r="HE28" s="922"/>
      <c r="HF28" s="922"/>
      <c r="HG28" s="922"/>
      <c r="HH28" s="922"/>
      <c r="HI28" s="922"/>
      <c r="HJ28" s="922"/>
      <c r="HK28" s="922"/>
      <c r="HL28" s="922"/>
      <c r="HM28" s="922"/>
      <c r="HN28" s="922"/>
      <c r="HO28" s="922"/>
      <c r="HP28" s="922"/>
      <c r="HQ28" s="922"/>
      <c r="HR28" s="922"/>
      <c r="HS28" s="922"/>
      <c r="HT28" s="922"/>
      <c r="HU28" s="922"/>
      <c r="HV28" s="922"/>
      <c r="HW28" s="922"/>
      <c r="HX28" s="922"/>
      <c r="HY28" s="922"/>
      <c r="HZ28" s="922"/>
      <c r="IA28" s="922"/>
      <c r="IB28" s="922"/>
      <c r="IC28" s="922"/>
      <c r="ID28" s="922"/>
      <c r="IE28" s="922"/>
      <c r="IF28" s="922"/>
      <c r="IG28" s="922"/>
      <c r="IH28" s="922"/>
      <c r="II28" s="922"/>
      <c r="IJ28" s="922"/>
      <c r="IK28" s="922"/>
    </row>
    <row r="29" spans="1:245" ht="38.25" customHeight="1">
      <c r="A29" s="923">
        <v>20</v>
      </c>
      <c r="B29" s="929" t="s">
        <v>1240</v>
      </c>
      <c r="C29" s="925" t="s">
        <v>1241</v>
      </c>
      <c r="D29" s="926">
        <f t="shared" si="2"/>
        <v>350</v>
      </c>
      <c r="E29" s="927"/>
      <c r="F29" s="927">
        <v>350</v>
      </c>
      <c r="G29" s="927"/>
      <c r="H29" s="928"/>
      <c r="I29" s="926"/>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2"/>
      <c r="AY29" s="922"/>
      <c r="AZ29" s="922"/>
      <c r="BA29" s="922"/>
      <c r="BB29" s="922"/>
      <c r="BC29" s="922"/>
      <c r="BD29" s="922"/>
      <c r="BE29" s="922"/>
      <c r="BF29" s="922"/>
      <c r="BG29" s="922"/>
      <c r="BH29" s="922"/>
      <c r="BI29" s="922"/>
      <c r="BJ29" s="922"/>
      <c r="BK29" s="922"/>
      <c r="BL29" s="922"/>
      <c r="BM29" s="922"/>
      <c r="BN29" s="922"/>
      <c r="BO29" s="922"/>
      <c r="BP29" s="922"/>
      <c r="BQ29" s="922"/>
      <c r="BR29" s="922"/>
      <c r="BS29" s="922"/>
      <c r="BT29" s="922"/>
      <c r="BU29" s="922"/>
      <c r="BV29" s="922"/>
      <c r="BW29" s="922"/>
      <c r="BX29" s="922"/>
      <c r="BY29" s="922"/>
      <c r="BZ29" s="922"/>
      <c r="CA29" s="922"/>
      <c r="CB29" s="922"/>
      <c r="CC29" s="922"/>
      <c r="CD29" s="922"/>
      <c r="CE29" s="922"/>
      <c r="CF29" s="922"/>
      <c r="CG29" s="922"/>
      <c r="CH29" s="922"/>
      <c r="CI29" s="922"/>
      <c r="CJ29" s="922"/>
      <c r="CK29" s="922"/>
      <c r="CL29" s="922"/>
      <c r="CM29" s="922"/>
      <c r="CN29" s="922"/>
      <c r="CO29" s="922"/>
      <c r="CP29" s="922"/>
      <c r="CQ29" s="922"/>
      <c r="CR29" s="922"/>
      <c r="CS29" s="922"/>
      <c r="CT29" s="922"/>
      <c r="CU29" s="922"/>
      <c r="CV29" s="922"/>
      <c r="CW29" s="922"/>
      <c r="CX29" s="922"/>
      <c r="CY29" s="922"/>
      <c r="CZ29" s="922"/>
      <c r="DA29" s="922"/>
      <c r="DB29" s="922"/>
      <c r="DC29" s="922"/>
      <c r="DD29" s="922"/>
      <c r="DE29" s="922"/>
      <c r="DF29" s="922"/>
      <c r="DG29" s="922"/>
      <c r="DH29" s="922"/>
      <c r="DI29" s="922"/>
      <c r="DJ29" s="922"/>
      <c r="DK29" s="922"/>
      <c r="DL29" s="922"/>
      <c r="DM29" s="922"/>
      <c r="DN29" s="922"/>
      <c r="DO29" s="922"/>
      <c r="DP29" s="922"/>
      <c r="DQ29" s="922"/>
      <c r="DR29" s="922"/>
      <c r="DS29" s="922"/>
      <c r="DT29" s="922"/>
      <c r="DU29" s="922"/>
      <c r="DV29" s="922"/>
      <c r="DW29" s="922"/>
      <c r="DX29" s="922"/>
      <c r="DY29" s="922"/>
      <c r="DZ29" s="922"/>
      <c r="EA29" s="922"/>
      <c r="EB29" s="922"/>
      <c r="EC29" s="922"/>
      <c r="ED29" s="922"/>
      <c r="EE29" s="922"/>
      <c r="EF29" s="922"/>
      <c r="EG29" s="922"/>
      <c r="EH29" s="922"/>
      <c r="EI29" s="922"/>
      <c r="EJ29" s="922"/>
      <c r="EK29" s="922"/>
      <c r="EL29" s="922"/>
      <c r="EM29" s="922"/>
      <c r="EN29" s="922"/>
      <c r="EO29" s="922"/>
      <c r="EP29" s="922"/>
      <c r="EQ29" s="922"/>
      <c r="ER29" s="922"/>
      <c r="ES29" s="922"/>
      <c r="ET29" s="922"/>
      <c r="EU29" s="922"/>
      <c r="EV29" s="922"/>
      <c r="EW29" s="922"/>
      <c r="EX29" s="922"/>
      <c r="EY29" s="922"/>
      <c r="EZ29" s="922"/>
      <c r="FA29" s="922"/>
      <c r="FB29" s="922"/>
      <c r="FC29" s="922"/>
      <c r="FD29" s="922"/>
      <c r="FE29" s="922"/>
      <c r="FF29" s="922"/>
      <c r="FG29" s="922"/>
      <c r="FH29" s="922"/>
      <c r="FI29" s="922"/>
      <c r="FJ29" s="922"/>
      <c r="FK29" s="922"/>
      <c r="FL29" s="922"/>
      <c r="FM29" s="922"/>
      <c r="FN29" s="922"/>
      <c r="FO29" s="922"/>
      <c r="FP29" s="922"/>
      <c r="FQ29" s="922"/>
      <c r="FR29" s="922"/>
      <c r="FS29" s="922"/>
      <c r="FT29" s="922"/>
      <c r="FU29" s="922"/>
      <c r="FV29" s="922"/>
      <c r="FW29" s="922"/>
      <c r="FX29" s="922"/>
      <c r="FY29" s="922"/>
      <c r="FZ29" s="922"/>
      <c r="GA29" s="922"/>
      <c r="GB29" s="922"/>
      <c r="GC29" s="922"/>
      <c r="GD29" s="922"/>
      <c r="GE29" s="922"/>
      <c r="GF29" s="922"/>
      <c r="GG29" s="922"/>
      <c r="GH29" s="922"/>
      <c r="GI29" s="922"/>
      <c r="GJ29" s="922"/>
      <c r="GK29" s="922"/>
      <c r="GL29" s="922"/>
      <c r="GM29" s="922"/>
      <c r="GN29" s="922"/>
      <c r="GO29" s="922"/>
      <c r="GP29" s="922"/>
      <c r="GQ29" s="922"/>
      <c r="GR29" s="922"/>
      <c r="GS29" s="922"/>
      <c r="GT29" s="922"/>
      <c r="GU29" s="922"/>
      <c r="GV29" s="922"/>
      <c r="GW29" s="922"/>
      <c r="GX29" s="922"/>
      <c r="GY29" s="922"/>
      <c r="GZ29" s="922"/>
      <c r="HA29" s="922"/>
      <c r="HB29" s="922"/>
      <c r="HC29" s="922"/>
      <c r="HD29" s="922"/>
      <c r="HE29" s="922"/>
      <c r="HF29" s="922"/>
      <c r="HG29" s="922"/>
      <c r="HH29" s="922"/>
      <c r="HI29" s="922"/>
      <c r="HJ29" s="922"/>
      <c r="HK29" s="922"/>
      <c r="HL29" s="922"/>
      <c r="HM29" s="922"/>
      <c r="HN29" s="922"/>
      <c r="HO29" s="922"/>
      <c r="HP29" s="922"/>
      <c r="HQ29" s="922"/>
      <c r="HR29" s="922"/>
      <c r="HS29" s="922"/>
      <c r="HT29" s="922"/>
      <c r="HU29" s="922"/>
      <c r="HV29" s="922"/>
      <c r="HW29" s="922"/>
      <c r="HX29" s="922"/>
      <c r="HY29" s="922"/>
      <c r="HZ29" s="922"/>
      <c r="IA29" s="922"/>
      <c r="IB29" s="922"/>
      <c r="IC29" s="922"/>
      <c r="ID29" s="922"/>
      <c r="IE29" s="922"/>
      <c r="IF29" s="922"/>
      <c r="IG29" s="922"/>
      <c r="IH29" s="922"/>
      <c r="II29" s="922"/>
      <c r="IJ29" s="922"/>
      <c r="IK29" s="922"/>
    </row>
    <row r="30" spans="1:245" ht="38.25" customHeight="1">
      <c r="A30" s="923">
        <v>21</v>
      </c>
      <c r="B30" s="929" t="s">
        <v>1242</v>
      </c>
      <c r="C30" s="925" t="s">
        <v>1243</v>
      </c>
      <c r="D30" s="926">
        <f t="shared" si="2"/>
        <v>350</v>
      </c>
      <c r="E30" s="927"/>
      <c r="F30" s="927">
        <v>350</v>
      </c>
      <c r="G30" s="927"/>
      <c r="H30" s="928"/>
      <c r="I30" s="926"/>
      <c r="J30" s="922"/>
      <c r="K30" s="922"/>
      <c r="L30" s="922"/>
      <c r="M30" s="922"/>
      <c r="N30" s="922"/>
      <c r="O30" s="922"/>
      <c r="P30" s="922"/>
      <c r="Q30" s="922"/>
      <c r="R30" s="922"/>
      <c r="S30" s="922"/>
      <c r="T30" s="922"/>
      <c r="U30" s="922"/>
      <c r="V30" s="922"/>
      <c r="W30" s="922"/>
      <c r="X30" s="922"/>
      <c r="Y30" s="922"/>
      <c r="Z30" s="922"/>
      <c r="AA30" s="922"/>
      <c r="AB30" s="922"/>
      <c r="AC30" s="922"/>
      <c r="AD30" s="922"/>
      <c r="AE30" s="922"/>
      <c r="AF30" s="922"/>
      <c r="AG30" s="922"/>
      <c r="AH30" s="922"/>
      <c r="AI30" s="922"/>
      <c r="AJ30" s="922"/>
      <c r="AK30" s="922"/>
      <c r="AL30" s="922"/>
      <c r="AM30" s="922"/>
      <c r="AN30" s="922"/>
      <c r="AO30" s="922"/>
      <c r="AP30" s="922"/>
      <c r="AQ30" s="922"/>
      <c r="AR30" s="922"/>
      <c r="AS30" s="922"/>
      <c r="AT30" s="922"/>
      <c r="AU30" s="922"/>
      <c r="AV30" s="922"/>
      <c r="AW30" s="922"/>
      <c r="AX30" s="922"/>
      <c r="AY30" s="922"/>
      <c r="AZ30" s="922"/>
      <c r="BA30" s="922"/>
      <c r="BB30" s="922"/>
      <c r="BC30" s="922"/>
      <c r="BD30" s="922"/>
      <c r="BE30" s="922"/>
      <c r="BF30" s="922"/>
      <c r="BG30" s="922"/>
      <c r="BH30" s="922"/>
      <c r="BI30" s="922"/>
      <c r="BJ30" s="922"/>
      <c r="BK30" s="922"/>
      <c r="BL30" s="922"/>
      <c r="BM30" s="922"/>
      <c r="BN30" s="922"/>
      <c r="BO30" s="922"/>
      <c r="BP30" s="922"/>
      <c r="BQ30" s="922"/>
      <c r="BR30" s="922"/>
      <c r="BS30" s="922"/>
      <c r="BT30" s="922"/>
      <c r="BU30" s="922"/>
      <c r="BV30" s="922"/>
      <c r="BW30" s="922"/>
      <c r="BX30" s="922"/>
      <c r="BY30" s="922"/>
      <c r="BZ30" s="922"/>
      <c r="CA30" s="922"/>
      <c r="CB30" s="922"/>
      <c r="CC30" s="922"/>
      <c r="CD30" s="922"/>
      <c r="CE30" s="922"/>
      <c r="CF30" s="922"/>
      <c r="CG30" s="922"/>
      <c r="CH30" s="922"/>
      <c r="CI30" s="922"/>
      <c r="CJ30" s="922"/>
      <c r="CK30" s="922"/>
      <c r="CL30" s="922"/>
      <c r="CM30" s="922"/>
      <c r="CN30" s="922"/>
      <c r="CO30" s="922"/>
      <c r="CP30" s="922"/>
      <c r="CQ30" s="922"/>
      <c r="CR30" s="922"/>
      <c r="CS30" s="922"/>
      <c r="CT30" s="922"/>
      <c r="CU30" s="922"/>
      <c r="CV30" s="922"/>
      <c r="CW30" s="922"/>
      <c r="CX30" s="922"/>
      <c r="CY30" s="922"/>
      <c r="CZ30" s="922"/>
      <c r="DA30" s="922"/>
      <c r="DB30" s="922"/>
      <c r="DC30" s="922"/>
      <c r="DD30" s="922"/>
      <c r="DE30" s="922"/>
      <c r="DF30" s="922"/>
      <c r="DG30" s="922"/>
      <c r="DH30" s="922"/>
      <c r="DI30" s="922"/>
      <c r="DJ30" s="922"/>
      <c r="DK30" s="922"/>
      <c r="DL30" s="922"/>
      <c r="DM30" s="922"/>
      <c r="DN30" s="922"/>
      <c r="DO30" s="922"/>
      <c r="DP30" s="922"/>
      <c r="DQ30" s="922"/>
      <c r="DR30" s="922"/>
      <c r="DS30" s="922"/>
      <c r="DT30" s="922"/>
      <c r="DU30" s="922"/>
      <c r="DV30" s="922"/>
      <c r="DW30" s="922"/>
      <c r="DX30" s="922"/>
      <c r="DY30" s="922"/>
      <c r="DZ30" s="922"/>
      <c r="EA30" s="922"/>
      <c r="EB30" s="922"/>
      <c r="EC30" s="922"/>
      <c r="ED30" s="922"/>
      <c r="EE30" s="922"/>
      <c r="EF30" s="922"/>
      <c r="EG30" s="922"/>
      <c r="EH30" s="922"/>
      <c r="EI30" s="922"/>
      <c r="EJ30" s="922"/>
      <c r="EK30" s="922"/>
      <c r="EL30" s="922"/>
      <c r="EM30" s="922"/>
      <c r="EN30" s="922"/>
      <c r="EO30" s="922"/>
      <c r="EP30" s="922"/>
      <c r="EQ30" s="922"/>
      <c r="ER30" s="922"/>
      <c r="ES30" s="922"/>
      <c r="ET30" s="922"/>
      <c r="EU30" s="922"/>
      <c r="EV30" s="922"/>
      <c r="EW30" s="922"/>
      <c r="EX30" s="922"/>
      <c r="EY30" s="922"/>
      <c r="EZ30" s="922"/>
      <c r="FA30" s="922"/>
      <c r="FB30" s="922"/>
      <c r="FC30" s="922"/>
      <c r="FD30" s="922"/>
      <c r="FE30" s="922"/>
      <c r="FF30" s="922"/>
      <c r="FG30" s="922"/>
      <c r="FH30" s="922"/>
      <c r="FI30" s="922"/>
      <c r="FJ30" s="922"/>
      <c r="FK30" s="922"/>
      <c r="FL30" s="922"/>
      <c r="FM30" s="922"/>
      <c r="FN30" s="922"/>
      <c r="FO30" s="922"/>
      <c r="FP30" s="922"/>
      <c r="FQ30" s="922"/>
      <c r="FR30" s="922"/>
      <c r="FS30" s="922"/>
      <c r="FT30" s="922"/>
      <c r="FU30" s="922"/>
      <c r="FV30" s="922"/>
      <c r="FW30" s="922"/>
      <c r="FX30" s="922"/>
      <c r="FY30" s="922"/>
      <c r="FZ30" s="922"/>
      <c r="GA30" s="922"/>
      <c r="GB30" s="922"/>
      <c r="GC30" s="922"/>
      <c r="GD30" s="922"/>
      <c r="GE30" s="922"/>
      <c r="GF30" s="922"/>
      <c r="GG30" s="922"/>
      <c r="GH30" s="922"/>
      <c r="GI30" s="922"/>
      <c r="GJ30" s="922"/>
      <c r="GK30" s="922"/>
      <c r="GL30" s="922"/>
      <c r="GM30" s="922"/>
      <c r="GN30" s="922"/>
      <c r="GO30" s="922"/>
      <c r="GP30" s="922"/>
      <c r="GQ30" s="922"/>
      <c r="GR30" s="922"/>
      <c r="GS30" s="922"/>
      <c r="GT30" s="922"/>
      <c r="GU30" s="922"/>
      <c r="GV30" s="922"/>
      <c r="GW30" s="922"/>
      <c r="GX30" s="922"/>
      <c r="GY30" s="922"/>
      <c r="GZ30" s="922"/>
      <c r="HA30" s="922"/>
      <c r="HB30" s="922"/>
      <c r="HC30" s="922"/>
      <c r="HD30" s="922"/>
      <c r="HE30" s="922"/>
      <c r="HF30" s="922"/>
      <c r="HG30" s="922"/>
      <c r="HH30" s="922"/>
      <c r="HI30" s="922"/>
      <c r="HJ30" s="922"/>
      <c r="HK30" s="922"/>
      <c r="HL30" s="922"/>
      <c r="HM30" s="922"/>
      <c r="HN30" s="922"/>
      <c r="HO30" s="922"/>
      <c r="HP30" s="922"/>
      <c r="HQ30" s="922"/>
      <c r="HR30" s="922"/>
      <c r="HS30" s="922"/>
      <c r="HT30" s="922"/>
      <c r="HU30" s="922"/>
      <c r="HV30" s="922"/>
      <c r="HW30" s="922"/>
      <c r="HX30" s="922"/>
      <c r="HY30" s="922"/>
      <c r="HZ30" s="922"/>
      <c r="IA30" s="922"/>
      <c r="IB30" s="922"/>
      <c r="IC30" s="922"/>
      <c r="ID30" s="922"/>
      <c r="IE30" s="922"/>
      <c r="IF30" s="922"/>
      <c r="IG30" s="922"/>
      <c r="IH30" s="922"/>
      <c r="II30" s="922"/>
      <c r="IJ30" s="922"/>
      <c r="IK30" s="922"/>
    </row>
    <row r="31" spans="1:245" ht="38.25" customHeight="1">
      <c r="A31" s="923">
        <v>22</v>
      </c>
      <c r="B31" s="929" t="s">
        <v>1244</v>
      </c>
      <c r="C31" s="925" t="s">
        <v>1245</v>
      </c>
      <c r="D31" s="926">
        <f t="shared" si="2"/>
        <v>350</v>
      </c>
      <c r="E31" s="927"/>
      <c r="F31" s="927">
        <v>350</v>
      </c>
      <c r="G31" s="927"/>
      <c r="H31" s="928"/>
      <c r="I31" s="926"/>
      <c r="J31" s="922"/>
      <c r="K31" s="922"/>
      <c r="L31" s="922"/>
      <c r="M31" s="922"/>
      <c r="N31" s="922"/>
      <c r="O31" s="922"/>
      <c r="P31" s="922"/>
      <c r="Q31" s="922"/>
      <c r="R31" s="922"/>
      <c r="S31" s="922"/>
      <c r="T31" s="922"/>
      <c r="U31" s="922"/>
      <c r="V31" s="922"/>
      <c r="W31" s="922"/>
      <c r="X31" s="922"/>
      <c r="Y31" s="922"/>
      <c r="Z31" s="922"/>
      <c r="AA31" s="922"/>
      <c r="AB31" s="922"/>
      <c r="AC31" s="922"/>
      <c r="AD31" s="922"/>
      <c r="AE31" s="922"/>
      <c r="AF31" s="922"/>
      <c r="AG31" s="922"/>
      <c r="AH31" s="922"/>
      <c r="AI31" s="922"/>
      <c r="AJ31" s="922"/>
      <c r="AK31" s="922"/>
      <c r="AL31" s="922"/>
      <c r="AM31" s="922"/>
      <c r="AN31" s="922"/>
      <c r="AO31" s="922"/>
      <c r="AP31" s="922"/>
      <c r="AQ31" s="922"/>
      <c r="AR31" s="922"/>
      <c r="AS31" s="922"/>
      <c r="AT31" s="922"/>
      <c r="AU31" s="922"/>
      <c r="AV31" s="922"/>
      <c r="AW31" s="922"/>
      <c r="AX31" s="922"/>
      <c r="AY31" s="922"/>
      <c r="AZ31" s="922"/>
      <c r="BA31" s="922"/>
      <c r="BB31" s="922"/>
      <c r="BC31" s="922"/>
      <c r="BD31" s="922"/>
      <c r="BE31" s="922"/>
      <c r="BF31" s="922"/>
      <c r="BG31" s="922"/>
      <c r="BH31" s="922"/>
      <c r="BI31" s="922"/>
      <c r="BJ31" s="922"/>
      <c r="BK31" s="922"/>
      <c r="BL31" s="922"/>
      <c r="BM31" s="922"/>
      <c r="BN31" s="922"/>
      <c r="BO31" s="922"/>
      <c r="BP31" s="922"/>
      <c r="BQ31" s="922"/>
      <c r="BR31" s="922"/>
      <c r="BS31" s="922"/>
      <c r="BT31" s="922"/>
      <c r="BU31" s="922"/>
      <c r="BV31" s="922"/>
      <c r="BW31" s="922"/>
      <c r="BX31" s="922"/>
      <c r="BY31" s="922"/>
      <c r="BZ31" s="922"/>
      <c r="CA31" s="922"/>
      <c r="CB31" s="922"/>
      <c r="CC31" s="922"/>
      <c r="CD31" s="922"/>
      <c r="CE31" s="922"/>
      <c r="CF31" s="922"/>
      <c r="CG31" s="922"/>
      <c r="CH31" s="922"/>
      <c r="CI31" s="922"/>
      <c r="CJ31" s="922"/>
      <c r="CK31" s="922"/>
      <c r="CL31" s="922"/>
      <c r="CM31" s="922"/>
      <c r="CN31" s="922"/>
      <c r="CO31" s="922"/>
      <c r="CP31" s="922"/>
      <c r="CQ31" s="922"/>
      <c r="CR31" s="922"/>
      <c r="CS31" s="922"/>
      <c r="CT31" s="922"/>
      <c r="CU31" s="922"/>
      <c r="CV31" s="922"/>
      <c r="CW31" s="922"/>
      <c r="CX31" s="922"/>
      <c r="CY31" s="922"/>
      <c r="CZ31" s="922"/>
      <c r="DA31" s="922"/>
      <c r="DB31" s="922"/>
      <c r="DC31" s="922"/>
      <c r="DD31" s="922"/>
      <c r="DE31" s="922"/>
      <c r="DF31" s="922"/>
      <c r="DG31" s="922"/>
      <c r="DH31" s="922"/>
      <c r="DI31" s="922"/>
      <c r="DJ31" s="922"/>
      <c r="DK31" s="922"/>
      <c r="DL31" s="922"/>
      <c r="DM31" s="922"/>
      <c r="DN31" s="922"/>
      <c r="DO31" s="922"/>
      <c r="DP31" s="922"/>
      <c r="DQ31" s="922"/>
      <c r="DR31" s="922"/>
      <c r="DS31" s="922"/>
      <c r="DT31" s="922"/>
      <c r="DU31" s="922"/>
      <c r="DV31" s="922"/>
      <c r="DW31" s="922"/>
      <c r="DX31" s="922"/>
      <c r="DY31" s="922"/>
      <c r="DZ31" s="922"/>
      <c r="EA31" s="922"/>
      <c r="EB31" s="922"/>
      <c r="EC31" s="922"/>
      <c r="ED31" s="922"/>
      <c r="EE31" s="922"/>
      <c r="EF31" s="922"/>
      <c r="EG31" s="922"/>
      <c r="EH31" s="922"/>
      <c r="EI31" s="922"/>
      <c r="EJ31" s="922"/>
      <c r="EK31" s="922"/>
      <c r="EL31" s="922"/>
      <c r="EM31" s="922"/>
      <c r="EN31" s="922"/>
      <c r="EO31" s="922"/>
      <c r="EP31" s="922"/>
      <c r="EQ31" s="922"/>
      <c r="ER31" s="922"/>
      <c r="ES31" s="922"/>
      <c r="ET31" s="922"/>
      <c r="EU31" s="922"/>
      <c r="EV31" s="922"/>
      <c r="EW31" s="922"/>
      <c r="EX31" s="922"/>
      <c r="EY31" s="922"/>
      <c r="EZ31" s="922"/>
      <c r="FA31" s="922"/>
      <c r="FB31" s="922"/>
      <c r="FC31" s="922"/>
      <c r="FD31" s="922"/>
      <c r="FE31" s="922"/>
      <c r="FF31" s="922"/>
      <c r="FG31" s="922"/>
      <c r="FH31" s="922"/>
      <c r="FI31" s="922"/>
      <c r="FJ31" s="922"/>
      <c r="FK31" s="922"/>
      <c r="FL31" s="922"/>
      <c r="FM31" s="922"/>
      <c r="FN31" s="922"/>
      <c r="FO31" s="922"/>
      <c r="FP31" s="922"/>
      <c r="FQ31" s="922"/>
      <c r="FR31" s="922"/>
      <c r="FS31" s="922"/>
      <c r="FT31" s="922"/>
      <c r="FU31" s="922"/>
      <c r="FV31" s="922"/>
      <c r="FW31" s="922"/>
      <c r="FX31" s="922"/>
      <c r="FY31" s="922"/>
      <c r="FZ31" s="922"/>
      <c r="GA31" s="922"/>
      <c r="GB31" s="922"/>
      <c r="GC31" s="922"/>
      <c r="GD31" s="922"/>
      <c r="GE31" s="922"/>
      <c r="GF31" s="922"/>
      <c r="GG31" s="922"/>
      <c r="GH31" s="922"/>
      <c r="GI31" s="922"/>
      <c r="GJ31" s="922"/>
      <c r="GK31" s="922"/>
      <c r="GL31" s="922"/>
      <c r="GM31" s="922"/>
      <c r="GN31" s="922"/>
      <c r="GO31" s="922"/>
      <c r="GP31" s="922"/>
      <c r="GQ31" s="922"/>
      <c r="GR31" s="922"/>
      <c r="GS31" s="922"/>
      <c r="GT31" s="922"/>
      <c r="GU31" s="922"/>
      <c r="GV31" s="922"/>
      <c r="GW31" s="922"/>
      <c r="GX31" s="922"/>
      <c r="GY31" s="922"/>
      <c r="GZ31" s="922"/>
      <c r="HA31" s="922"/>
      <c r="HB31" s="922"/>
      <c r="HC31" s="922"/>
      <c r="HD31" s="922"/>
      <c r="HE31" s="922"/>
      <c r="HF31" s="922"/>
      <c r="HG31" s="922"/>
      <c r="HH31" s="922"/>
      <c r="HI31" s="922"/>
      <c r="HJ31" s="922"/>
      <c r="HK31" s="922"/>
      <c r="HL31" s="922"/>
      <c r="HM31" s="922"/>
      <c r="HN31" s="922"/>
      <c r="HO31" s="922"/>
      <c r="HP31" s="922"/>
      <c r="HQ31" s="922"/>
      <c r="HR31" s="922"/>
      <c r="HS31" s="922"/>
      <c r="HT31" s="922"/>
      <c r="HU31" s="922"/>
      <c r="HV31" s="922"/>
      <c r="HW31" s="922"/>
      <c r="HX31" s="922"/>
      <c r="HY31" s="922"/>
      <c r="HZ31" s="922"/>
      <c r="IA31" s="922"/>
      <c r="IB31" s="922"/>
      <c r="IC31" s="922"/>
      <c r="ID31" s="922"/>
      <c r="IE31" s="922"/>
      <c r="IF31" s="922"/>
      <c r="IG31" s="922"/>
      <c r="IH31" s="922"/>
      <c r="II31" s="922"/>
      <c r="IJ31" s="922"/>
      <c r="IK31" s="922"/>
    </row>
    <row r="32" spans="1:245" ht="38.25" customHeight="1">
      <c r="A32" s="923">
        <v>23</v>
      </c>
      <c r="B32" s="929" t="s">
        <v>1246</v>
      </c>
      <c r="C32" s="925" t="s">
        <v>1247</v>
      </c>
      <c r="D32" s="926">
        <f t="shared" si="2"/>
        <v>450</v>
      </c>
      <c r="E32" s="927"/>
      <c r="F32" s="927">
        <v>450</v>
      </c>
      <c r="G32" s="927"/>
      <c r="H32" s="928"/>
      <c r="I32" s="926"/>
      <c r="J32" s="922"/>
      <c r="K32" s="922"/>
      <c r="L32" s="922"/>
      <c r="M32" s="922"/>
      <c r="N32" s="922"/>
      <c r="O32" s="922"/>
      <c r="P32" s="922"/>
      <c r="Q32" s="922"/>
      <c r="R32" s="922"/>
      <c r="S32" s="922"/>
      <c r="T32" s="922"/>
      <c r="U32" s="922"/>
      <c r="V32" s="922"/>
      <c r="W32" s="922"/>
      <c r="X32" s="922"/>
      <c r="Y32" s="922"/>
      <c r="Z32" s="922"/>
      <c r="AA32" s="922"/>
      <c r="AB32" s="922"/>
      <c r="AC32" s="922"/>
      <c r="AD32" s="922"/>
      <c r="AE32" s="922"/>
      <c r="AF32" s="922"/>
      <c r="AG32" s="922"/>
      <c r="AH32" s="922"/>
      <c r="AI32" s="922"/>
      <c r="AJ32" s="922"/>
      <c r="AK32" s="922"/>
      <c r="AL32" s="922"/>
      <c r="AM32" s="922"/>
      <c r="AN32" s="922"/>
      <c r="AO32" s="922"/>
      <c r="AP32" s="922"/>
      <c r="AQ32" s="922"/>
      <c r="AR32" s="922"/>
      <c r="AS32" s="922"/>
      <c r="AT32" s="922"/>
      <c r="AU32" s="922"/>
      <c r="AV32" s="922"/>
      <c r="AW32" s="922"/>
      <c r="AX32" s="922"/>
      <c r="AY32" s="922"/>
      <c r="AZ32" s="922"/>
      <c r="BA32" s="922"/>
      <c r="BB32" s="922"/>
      <c r="BC32" s="922"/>
      <c r="BD32" s="922"/>
      <c r="BE32" s="922"/>
      <c r="BF32" s="922"/>
      <c r="BG32" s="922"/>
      <c r="BH32" s="922"/>
      <c r="BI32" s="922"/>
      <c r="BJ32" s="922"/>
      <c r="BK32" s="922"/>
      <c r="BL32" s="922"/>
      <c r="BM32" s="922"/>
      <c r="BN32" s="922"/>
      <c r="BO32" s="922"/>
      <c r="BP32" s="922"/>
      <c r="BQ32" s="922"/>
      <c r="BR32" s="922"/>
      <c r="BS32" s="922"/>
      <c r="BT32" s="922"/>
      <c r="BU32" s="922"/>
      <c r="BV32" s="922"/>
      <c r="BW32" s="922"/>
      <c r="BX32" s="922"/>
      <c r="BY32" s="922"/>
      <c r="BZ32" s="922"/>
      <c r="CA32" s="922"/>
      <c r="CB32" s="922"/>
      <c r="CC32" s="922"/>
      <c r="CD32" s="922"/>
      <c r="CE32" s="922"/>
      <c r="CF32" s="922"/>
      <c r="CG32" s="922"/>
      <c r="CH32" s="922"/>
      <c r="CI32" s="922"/>
      <c r="CJ32" s="922"/>
      <c r="CK32" s="922"/>
      <c r="CL32" s="922"/>
      <c r="CM32" s="922"/>
      <c r="CN32" s="922"/>
      <c r="CO32" s="922"/>
      <c r="CP32" s="922"/>
      <c r="CQ32" s="922"/>
      <c r="CR32" s="922"/>
      <c r="CS32" s="922"/>
      <c r="CT32" s="922"/>
      <c r="CU32" s="922"/>
      <c r="CV32" s="922"/>
      <c r="CW32" s="922"/>
      <c r="CX32" s="922"/>
      <c r="CY32" s="922"/>
      <c r="CZ32" s="922"/>
      <c r="DA32" s="922"/>
      <c r="DB32" s="922"/>
      <c r="DC32" s="922"/>
      <c r="DD32" s="922"/>
      <c r="DE32" s="922"/>
      <c r="DF32" s="922"/>
      <c r="DG32" s="922"/>
      <c r="DH32" s="922"/>
      <c r="DI32" s="922"/>
      <c r="DJ32" s="922"/>
      <c r="DK32" s="922"/>
      <c r="DL32" s="922"/>
      <c r="DM32" s="922"/>
      <c r="DN32" s="922"/>
      <c r="DO32" s="922"/>
      <c r="DP32" s="922"/>
      <c r="DQ32" s="922"/>
      <c r="DR32" s="922"/>
      <c r="DS32" s="922"/>
      <c r="DT32" s="922"/>
      <c r="DU32" s="922"/>
      <c r="DV32" s="922"/>
      <c r="DW32" s="922"/>
      <c r="DX32" s="922"/>
      <c r="DY32" s="922"/>
      <c r="DZ32" s="922"/>
      <c r="EA32" s="922"/>
      <c r="EB32" s="922"/>
      <c r="EC32" s="922"/>
      <c r="ED32" s="922"/>
      <c r="EE32" s="922"/>
      <c r="EF32" s="922"/>
      <c r="EG32" s="922"/>
      <c r="EH32" s="922"/>
      <c r="EI32" s="922"/>
      <c r="EJ32" s="922"/>
      <c r="EK32" s="922"/>
      <c r="EL32" s="922"/>
      <c r="EM32" s="922"/>
      <c r="EN32" s="922"/>
      <c r="EO32" s="922"/>
      <c r="EP32" s="922"/>
      <c r="EQ32" s="922"/>
      <c r="ER32" s="922"/>
      <c r="ES32" s="922"/>
      <c r="ET32" s="922"/>
      <c r="EU32" s="922"/>
      <c r="EV32" s="922"/>
      <c r="EW32" s="922"/>
      <c r="EX32" s="922"/>
      <c r="EY32" s="922"/>
      <c r="EZ32" s="922"/>
      <c r="FA32" s="922"/>
      <c r="FB32" s="922"/>
      <c r="FC32" s="922"/>
      <c r="FD32" s="922"/>
      <c r="FE32" s="922"/>
      <c r="FF32" s="922"/>
      <c r="FG32" s="922"/>
      <c r="FH32" s="922"/>
      <c r="FI32" s="922"/>
      <c r="FJ32" s="922"/>
      <c r="FK32" s="922"/>
      <c r="FL32" s="922"/>
      <c r="FM32" s="922"/>
      <c r="FN32" s="922"/>
      <c r="FO32" s="922"/>
      <c r="FP32" s="922"/>
      <c r="FQ32" s="922"/>
      <c r="FR32" s="922"/>
      <c r="FS32" s="922"/>
      <c r="FT32" s="922"/>
      <c r="FU32" s="922"/>
      <c r="FV32" s="922"/>
      <c r="FW32" s="922"/>
      <c r="FX32" s="922"/>
      <c r="FY32" s="922"/>
      <c r="FZ32" s="922"/>
      <c r="GA32" s="922"/>
      <c r="GB32" s="922"/>
      <c r="GC32" s="922"/>
      <c r="GD32" s="922"/>
      <c r="GE32" s="922"/>
      <c r="GF32" s="922"/>
      <c r="GG32" s="922"/>
      <c r="GH32" s="922"/>
      <c r="GI32" s="922"/>
      <c r="GJ32" s="922"/>
      <c r="GK32" s="922"/>
      <c r="GL32" s="922"/>
      <c r="GM32" s="922"/>
      <c r="GN32" s="922"/>
      <c r="GO32" s="922"/>
      <c r="GP32" s="922"/>
      <c r="GQ32" s="922"/>
      <c r="GR32" s="922"/>
      <c r="GS32" s="922"/>
      <c r="GT32" s="922"/>
      <c r="GU32" s="922"/>
      <c r="GV32" s="922"/>
      <c r="GW32" s="922"/>
      <c r="GX32" s="922"/>
      <c r="GY32" s="922"/>
      <c r="GZ32" s="922"/>
      <c r="HA32" s="922"/>
      <c r="HB32" s="922"/>
      <c r="HC32" s="922"/>
      <c r="HD32" s="922"/>
      <c r="HE32" s="922"/>
      <c r="HF32" s="922"/>
      <c r="HG32" s="922"/>
      <c r="HH32" s="922"/>
      <c r="HI32" s="922"/>
      <c r="HJ32" s="922"/>
      <c r="HK32" s="922"/>
      <c r="HL32" s="922"/>
      <c r="HM32" s="922"/>
      <c r="HN32" s="922"/>
      <c r="HO32" s="922"/>
      <c r="HP32" s="922"/>
      <c r="HQ32" s="922"/>
      <c r="HR32" s="922"/>
      <c r="HS32" s="922"/>
      <c r="HT32" s="922"/>
      <c r="HU32" s="922"/>
      <c r="HV32" s="922"/>
      <c r="HW32" s="922"/>
      <c r="HX32" s="922"/>
      <c r="HY32" s="922"/>
      <c r="HZ32" s="922"/>
      <c r="IA32" s="922"/>
      <c r="IB32" s="922"/>
      <c r="IC32" s="922"/>
      <c r="ID32" s="922"/>
      <c r="IE32" s="922"/>
      <c r="IF32" s="922"/>
      <c r="IG32" s="922"/>
      <c r="IH32" s="922"/>
      <c r="II32" s="922"/>
      <c r="IJ32" s="922"/>
      <c r="IK32" s="922"/>
    </row>
    <row r="33" spans="1:245" ht="38.25" customHeight="1">
      <c r="A33" s="923">
        <v>24</v>
      </c>
      <c r="B33" s="929" t="s">
        <v>1248</v>
      </c>
      <c r="C33" s="925" t="s">
        <v>1249</v>
      </c>
      <c r="D33" s="926">
        <f t="shared" si="2"/>
        <v>350</v>
      </c>
      <c r="E33" s="927"/>
      <c r="F33" s="927">
        <v>350</v>
      </c>
      <c r="G33" s="927"/>
      <c r="H33" s="928"/>
      <c r="I33" s="926"/>
      <c r="J33" s="922"/>
      <c r="K33" s="922"/>
      <c r="L33" s="922"/>
      <c r="M33" s="922"/>
      <c r="N33" s="922"/>
      <c r="O33" s="922"/>
      <c r="P33" s="922"/>
      <c r="Q33" s="922"/>
      <c r="R33" s="922"/>
      <c r="S33" s="922"/>
      <c r="T33" s="922"/>
      <c r="U33" s="922"/>
      <c r="V33" s="922"/>
      <c r="W33" s="922"/>
      <c r="X33" s="922"/>
      <c r="Y33" s="922"/>
      <c r="Z33" s="922"/>
      <c r="AA33" s="922"/>
      <c r="AB33" s="922"/>
      <c r="AC33" s="922"/>
      <c r="AD33" s="922"/>
      <c r="AE33" s="922"/>
      <c r="AF33" s="922"/>
      <c r="AG33" s="922"/>
      <c r="AH33" s="922"/>
      <c r="AI33" s="922"/>
      <c r="AJ33" s="922"/>
      <c r="AK33" s="922"/>
      <c r="AL33" s="922"/>
      <c r="AM33" s="922"/>
      <c r="AN33" s="922"/>
      <c r="AO33" s="922"/>
      <c r="AP33" s="922"/>
      <c r="AQ33" s="922"/>
      <c r="AR33" s="922"/>
      <c r="AS33" s="922"/>
      <c r="AT33" s="922"/>
      <c r="AU33" s="922"/>
      <c r="AV33" s="922"/>
      <c r="AW33" s="922"/>
      <c r="AX33" s="922"/>
      <c r="AY33" s="922"/>
      <c r="AZ33" s="922"/>
      <c r="BA33" s="922"/>
      <c r="BB33" s="922"/>
      <c r="BC33" s="922"/>
      <c r="BD33" s="922"/>
      <c r="BE33" s="922"/>
      <c r="BF33" s="922"/>
      <c r="BG33" s="922"/>
      <c r="BH33" s="922"/>
      <c r="BI33" s="922"/>
      <c r="BJ33" s="922"/>
      <c r="BK33" s="922"/>
      <c r="BL33" s="922"/>
      <c r="BM33" s="922"/>
      <c r="BN33" s="922"/>
      <c r="BO33" s="922"/>
      <c r="BP33" s="922"/>
      <c r="BQ33" s="922"/>
      <c r="BR33" s="922"/>
      <c r="BS33" s="922"/>
      <c r="BT33" s="922"/>
      <c r="BU33" s="922"/>
      <c r="BV33" s="922"/>
      <c r="BW33" s="922"/>
      <c r="BX33" s="922"/>
      <c r="BY33" s="922"/>
      <c r="BZ33" s="922"/>
      <c r="CA33" s="922"/>
      <c r="CB33" s="922"/>
      <c r="CC33" s="922"/>
      <c r="CD33" s="922"/>
      <c r="CE33" s="922"/>
      <c r="CF33" s="922"/>
      <c r="CG33" s="922"/>
      <c r="CH33" s="922"/>
      <c r="CI33" s="922"/>
      <c r="CJ33" s="922"/>
      <c r="CK33" s="922"/>
      <c r="CL33" s="922"/>
      <c r="CM33" s="922"/>
      <c r="CN33" s="922"/>
      <c r="CO33" s="922"/>
      <c r="CP33" s="922"/>
      <c r="CQ33" s="922"/>
      <c r="CR33" s="922"/>
      <c r="CS33" s="922"/>
      <c r="CT33" s="922"/>
      <c r="CU33" s="922"/>
      <c r="CV33" s="922"/>
      <c r="CW33" s="922"/>
      <c r="CX33" s="922"/>
      <c r="CY33" s="922"/>
      <c r="CZ33" s="922"/>
      <c r="DA33" s="922"/>
      <c r="DB33" s="922"/>
      <c r="DC33" s="922"/>
      <c r="DD33" s="922"/>
      <c r="DE33" s="922"/>
      <c r="DF33" s="922"/>
      <c r="DG33" s="922"/>
      <c r="DH33" s="922"/>
      <c r="DI33" s="922"/>
      <c r="DJ33" s="922"/>
      <c r="DK33" s="922"/>
      <c r="DL33" s="922"/>
      <c r="DM33" s="922"/>
      <c r="DN33" s="922"/>
      <c r="DO33" s="922"/>
      <c r="DP33" s="922"/>
      <c r="DQ33" s="922"/>
      <c r="DR33" s="922"/>
      <c r="DS33" s="922"/>
      <c r="DT33" s="922"/>
      <c r="DU33" s="922"/>
      <c r="DV33" s="922"/>
      <c r="DW33" s="922"/>
      <c r="DX33" s="922"/>
      <c r="DY33" s="922"/>
      <c r="DZ33" s="922"/>
      <c r="EA33" s="922"/>
      <c r="EB33" s="922"/>
      <c r="EC33" s="922"/>
      <c r="ED33" s="922"/>
      <c r="EE33" s="922"/>
      <c r="EF33" s="922"/>
      <c r="EG33" s="922"/>
      <c r="EH33" s="922"/>
      <c r="EI33" s="922"/>
      <c r="EJ33" s="922"/>
      <c r="EK33" s="922"/>
      <c r="EL33" s="922"/>
      <c r="EM33" s="922"/>
      <c r="EN33" s="922"/>
      <c r="EO33" s="922"/>
      <c r="EP33" s="922"/>
      <c r="EQ33" s="922"/>
      <c r="ER33" s="922"/>
      <c r="ES33" s="922"/>
      <c r="ET33" s="922"/>
      <c r="EU33" s="922"/>
      <c r="EV33" s="922"/>
      <c r="EW33" s="922"/>
      <c r="EX33" s="922"/>
      <c r="EY33" s="922"/>
      <c r="EZ33" s="922"/>
      <c r="FA33" s="922"/>
      <c r="FB33" s="922"/>
      <c r="FC33" s="922"/>
      <c r="FD33" s="922"/>
      <c r="FE33" s="922"/>
      <c r="FF33" s="922"/>
      <c r="FG33" s="922"/>
      <c r="FH33" s="922"/>
      <c r="FI33" s="922"/>
      <c r="FJ33" s="922"/>
      <c r="FK33" s="922"/>
      <c r="FL33" s="922"/>
      <c r="FM33" s="922"/>
      <c r="FN33" s="922"/>
      <c r="FO33" s="922"/>
      <c r="FP33" s="922"/>
      <c r="FQ33" s="922"/>
      <c r="FR33" s="922"/>
      <c r="FS33" s="922"/>
      <c r="FT33" s="922"/>
      <c r="FU33" s="922"/>
      <c r="FV33" s="922"/>
      <c r="FW33" s="922"/>
      <c r="FX33" s="922"/>
      <c r="FY33" s="922"/>
      <c r="FZ33" s="922"/>
      <c r="GA33" s="922"/>
      <c r="GB33" s="922"/>
      <c r="GC33" s="922"/>
      <c r="GD33" s="922"/>
      <c r="GE33" s="922"/>
      <c r="GF33" s="922"/>
      <c r="GG33" s="922"/>
      <c r="GH33" s="922"/>
      <c r="GI33" s="922"/>
      <c r="GJ33" s="922"/>
      <c r="GK33" s="922"/>
      <c r="GL33" s="922"/>
      <c r="GM33" s="922"/>
      <c r="GN33" s="922"/>
      <c r="GO33" s="922"/>
      <c r="GP33" s="922"/>
      <c r="GQ33" s="922"/>
      <c r="GR33" s="922"/>
      <c r="GS33" s="922"/>
      <c r="GT33" s="922"/>
      <c r="GU33" s="922"/>
      <c r="GV33" s="922"/>
      <c r="GW33" s="922"/>
      <c r="GX33" s="922"/>
      <c r="GY33" s="922"/>
      <c r="GZ33" s="922"/>
      <c r="HA33" s="922"/>
      <c r="HB33" s="922"/>
      <c r="HC33" s="922"/>
      <c r="HD33" s="922"/>
      <c r="HE33" s="922"/>
      <c r="HF33" s="922"/>
      <c r="HG33" s="922"/>
      <c r="HH33" s="922"/>
      <c r="HI33" s="922"/>
      <c r="HJ33" s="922"/>
      <c r="HK33" s="922"/>
      <c r="HL33" s="922"/>
      <c r="HM33" s="922"/>
      <c r="HN33" s="922"/>
      <c r="HO33" s="922"/>
      <c r="HP33" s="922"/>
      <c r="HQ33" s="922"/>
      <c r="HR33" s="922"/>
      <c r="HS33" s="922"/>
      <c r="HT33" s="922"/>
      <c r="HU33" s="922"/>
      <c r="HV33" s="922"/>
      <c r="HW33" s="922"/>
      <c r="HX33" s="922"/>
      <c r="HY33" s="922"/>
      <c r="HZ33" s="922"/>
      <c r="IA33" s="922"/>
      <c r="IB33" s="922"/>
      <c r="IC33" s="922"/>
      <c r="ID33" s="922"/>
      <c r="IE33" s="922"/>
      <c r="IF33" s="922"/>
      <c r="IG33" s="922"/>
      <c r="IH33" s="922"/>
      <c r="II33" s="922"/>
      <c r="IJ33" s="922"/>
      <c r="IK33" s="922"/>
    </row>
    <row r="34" spans="1:245" ht="38.25" customHeight="1">
      <c r="A34" s="923">
        <v>25</v>
      </c>
      <c r="B34" s="929" t="s">
        <v>1250</v>
      </c>
      <c r="C34" s="925" t="s">
        <v>1251</v>
      </c>
      <c r="D34" s="926">
        <f t="shared" si="2"/>
        <v>900</v>
      </c>
      <c r="E34" s="927"/>
      <c r="F34" s="927">
        <v>900</v>
      </c>
      <c r="G34" s="927"/>
      <c r="H34" s="928"/>
      <c r="I34" s="926"/>
      <c r="J34" s="922"/>
      <c r="K34" s="922"/>
      <c r="L34" s="922"/>
      <c r="M34" s="922"/>
      <c r="N34" s="922"/>
      <c r="O34" s="922"/>
      <c r="P34" s="922"/>
      <c r="Q34" s="922"/>
      <c r="R34" s="922"/>
      <c r="S34" s="922"/>
      <c r="T34" s="922"/>
      <c r="U34" s="922"/>
      <c r="V34" s="922"/>
      <c r="W34" s="922"/>
      <c r="X34" s="922"/>
      <c r="Y34" s="922"/>
      <c r="Z34" s="922"/>
      <c r="AA34" s="922"/>
      <c r="AB34" s="922"/>
      <c r="AC34" s="922"/>
      <c r="AD34" s="922"/>
      <c r="AE34" s="922"/>
      <c r="AF34" s="922"/>
      <c r="AG34" s="922"/>
      <c r="AH34" s="922"/>
      <c r="AI34" s="922"/>
      <c r="AJ34" s="922"/>
      <c r="AK34" s="922"/>
      <c r="AL34" s="922"/>
      <c r="AM34" s="922"/>
      <c r="AN34" s="922"/>
      <c r="AO34" s="922"/>
      <c r="AP34" s="922"/>
      <c r="AQ34" s="922"/>
      <c r="AR34" s="922"/>
      <c r="AS34" s="922"/>
      <c r="AT34" s="922"/>
      <c r="AU34" s="922"/>
      <c r="AV34" s="922"/>
      <c r="AW34" s="922"/>
      <c r="AX34" s="922"/>
      <c r="AY34" s="922"/>
      <c r="AZ34" s="922"/>
      <c r="BA34" s="922"/>
      <c r="BB34" s="922"/>
      <c r="BC34" s="922"/>
      <c r="BD34" s="922"/>
      <c r="BE34" s="922"/>
      <c r="BF34" s="922"/>
      <c r="BG34" s="922"/>
      <c r="BH34" s="922"/>
      <c r="BI34" s="922"/>
      <c r="BJ34" s="922"/>
      <c r="BK34" s="922"/>
      <c r="BL34" s="922"/>
      <c r="BM34" s="922"/>
      <c r="BN34" s="922"/>
      <c r="BO34" s="922"/>
      <c r="BP34" s="922"/>
      <c r="BQ34" s="922"/>
      <c r="BR34" s="922"/>
      <c r="BS34" s="922"/>
      <c r="BT34" s="922"/>
      <c r="BU34" s="922"/>
      <c r="BV34" s="922"/>
      <c r="BW34" s="922"/>
      <c r="BX34" s="922"/>
      <c r="BY34" s="922"/>
      <c r="BZ34" s="922"/>
      <c r="CA34" s="922"/>
      <c r="CB34" s="922"/>
      <c r="CC34" s="922"/>
      <c r="CD34" s="922"/>
      <c r="CE34" s="922"/>
      <c r="CF34" s="922"/>
      <c r="CG34" s="922"/>
      <c r="CH34" s="922"/>
      <c r="CI34" s="922"/>
      <c r="CJ34" s="922"/>
      <c r="CK34" s="922"/>
      <c r="CL34" s="922"/>
      <c r="CM34" s="922"/>
      <c r="CN34" s="922"/>
      <c r="CO34" s="922"/>
      <c r="CP34" s="922"/>
      <c r="CQ34" s="922"/>
      <c r="CR34" s="922"/>
      <c r="CS34" s="922"/>
      <c r="CT34" s="922"/>
      <c r="CU34" s="922"/>
      <c r="CV34" s="922"/>
      <c r="CW34" s="922"/>
      <c r="CX34" s="922"/>
      <c r="CY34" s="922"/>
      <c r="CZ34" s="922"/>
      <c r="DA34" s="922"/>
      <c r="DB34" s="922"/>
      <c r="DC34" s="922"/>
      <c r="DD34" s="922"/>
      <c r="DE34" s="922"/>
      <c r="DF34" s="922"/>
      <c r="DG34" s="922"/>
      <c r="DH34" s="922"/>
      <c r="DI34" s="922"/>
      <c r="DJ34" s="922"/>
      <c r="DK34" s="922"/>
      <c r="DL34" s="922"/>
      <c r="DM34" s="922"/>
      <c r="DN34" s="922"/>
      <c r="DO34" s="922"/>
      <c r="DP34" s="922"/>
      <c r="DQ34" s="922"/>
      <c r="DR34" s="922"/>
      <c r="DS34" s="922"/>
      <c r="DT34" s="922"/>
      <c r="DU34" s="922"/>
      <c r="DV34" s="922"/>
      <c r="DW34" s="922"/>
      <c r="DX34" s="922"/>
      <c r="DY34" s="922"/>
      <c r="DZ34" s="922"/>
      <c r="EA34" s="922"/>
      <c r="EB34" s="922"/>
      <c r="EC34" s="922"/>
      <c r="ED34" s="922"/>
      <c r="EE34" s="922"/>
      <c r="EF34" s="922"/>
      <c r="EG34" s="922"/>
      <c r="EH34" s="922"/>
      <c r="EI34" s="922"/>
      <c r="EJ34" s="922"/>
      <c r="EK34" s="922"/>
      <c r="EL34" s="922"/>
      <c r="EM34" s="922"/>
      <c r="EN34" s="922"/>
      <c r="EO34" s="922"/>
      <c r="EP34" s="922"/>
      <c r="EQ34" s="922"/>
      <c r="ER34" s="922"/>
      <c r="ES34" s="922"/>
      <c r="ET34" s="922"/>
      <c r="EU34" s="922"/>
      <c r="EV34" s="922"/>
      <c r="EW34" s="922"/>
      <c r="EX34" s="922"/>
      <c r="EY34" s="922"/>
      <c r="EZ34" s="922"/>
      <c r="FA34" s="922"/>
      <c r="FB34" s="922"/>
      <c r="FC34" s="922"/>
      <c r="FD34" s="922"/>
      <c r="FE34" s="922"/>
      <c r="FF34" s="922"/>
      <c r="FG34" s="922"/>
      <c r="FH34" s="922"/>
      <c r="FI34" s="922"/>
      <c r="FJ34" s="922"/>
      <c r="FK34" s="922"/>
      <c r="FL34" s="922"/>
      <c r="FM34" s="922"/>
      <c r="FN34" s="922"/>
      <c r="FO34" s="922"/>
      <c r="FP34" s="922"/>
      <c r="FQ34" s="922"/>
      <c r="FR34" s="922"/>
      <c r="FS34" s="922"/>
      <c r="FT34" s="922"/>
      <c r="FU34" s="922"/>
      <c r="FV34" s="922"/>
      <c r="FW34" s="922"/>
      <c r="FX34" s="922"/>
      <c r="FY34" s="922"/>
      <c r="FZ34" s="922"/>
      <c r="GA34" s="922"/>
      <c r="GB34" s="922"/>
      <c r="GC34" s="922"/>
      <c r="GD34" s="922"/>
      <c r="GE34" s="922"/>
      <c r="GF34" s="922"/>
      <c r="GG34" s="922"/>
      <c r="GH34" s="922"/>
      <c r="GI34" s="922"/>
      <c r="GJ34" s="922"/>
      <c r="GK34" s="922"/>
      <c r="GL34" s="922"/>
      <c r="GM34" s="922"/>
      <c r="GN34" s="922"/>
      <c r="GO34" s="922"/>
      <c r="GP34" s="922"/>
      <c r="GQ34" s="922"/>
      <c r="GR34" s="922"/>
      <c r="GS34" s="922"/>
      <c r="GT34" s="922"/>
      <c r="GU34" s="922"/>
      <c r="GV34" s="922"/>
      <c r="GW34" s="922"/>
      <c r="GX34" s="922"/>
      <c r="GY34" s="922"/>
      <c r="GZ34" s="922"/>
      <c r="HA34" s="922"/>
      <c r="HB34" s="922"/>
      <c r="HC34" s="922"/>
      <c r="HD34" s="922"/>
      <c r="HE34" s="922"/>
      <c r="HF34" s="922"/>
      <c r="HG34" s="922"/>
      <c r="HH34" s="922"/>
      <c r="HI34" s="922"/>
      <c r="HJ34" s="922"/>
      <c r="HK34" s="922"/>
      <c r="HL34" s="922"/>
      <c r="HM34" s="922"/>
      <c r="HN34" s="922"/>
      <c r="HO34" s="922"/>
      <c r="HP34" s="922"/>
      <c r="HQ34" s="922"/>
      <c r="HR34" s="922"/>
      <c r="HS34" s="922"/>
      <c r="HT34" s="922"/>
      <c r="HU34" s="922"/>
      <c r="HV34" s="922"/>
      <c r="HW34" s="922"/>
      <c r="HX34" s="922"/>
      <c r="HY34" s="922"/>
      <c r="HZ34" s="922"/>
      <c r="IA34" s="922"/>
      <c r="IB34" s="922"/>
      <c r="IC34" s="922"/>
      <c r="ID34" s="922"/>
      <c r="IE34" s="922"/>
      <c r="IF34" s="922"/>
      <c r="IG34" s="922"/>
      <c r="IH34" s="922"/>
      <c r="II34" s="922"/>
      <c r="IJ34" s="922"/>
      <c r="IK34" s="922"/>
    </row>
    <row r="35" spans="1:245" ht="38.25" customHeight="1">
      <c r="A35" s="923">
        <v>26</v>
      </c>
      <c r="B35" s="929" t="s">
        <v>1252</v>
      </c>
      <c r="C35" s="925" t="s">
        <v>1253</v>
      </c>
      <c r="D35" s="926">
        <f t="shared" si="2"/>
        <v>600</v>
      </c>
      <c r="E35" s="927"/>
      <c r="F35" s="927">
        <v>600</v>
      </c>
      <c r="G35" s="927"/>
      <c r="H35" s="928"/>
      <c r="I35" s="926"/>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2"/>
      <c r="AY35" s="922"/>
      <c r="AZ35" s="922"/>
      <c r="BA35" s="922"/>
      <c r="BB35" s="922"/>
      <c r="BC35" s="922"/>
      <c r="BD35" s="922"/>
      <c r="BE35" s="922"/>
      <c r="BF35" s="922"/>
      <c r="BG35" s="922"/>
      <c r="BH35" s="922"/>
      <c r="BI35" s="922"/>
      <c r="BJ35" s="922"/>
      <c r="BK35" s="922"/>
      <c r="BL35" s="922"/>
      <c r="BM35" s="922"/>
      <c r="BN35" s="922"/>
      <c r="BO35" s="922"/>
      <c r="BP35" s="922"/>
      <c r="BQ35" s="922"/>
      <c r="BR35" s="922"/>
      <c r="BS35" s="922"/>
      <c r="BT35" s="922"/>
      <c r="BU35" s="922"/>
      <c r="BV35" s="922"/>
      <c r="BW35" s="922"/>
      <c r="BX35" s="922"/>
      <c r="BY35" s="922"/>
      <c r="BZ35" s="922"/>
      <c r="CA35" s="922"/>
      <c r="CB35" s="922"/>
      <c r="CC35" s="922"/>
      <c r="CD35" s="922"/>
      <c r="CE35" s="922"/>
      <c r="CF35" s="922"/>
      <c r="CG35" s="922"/>
      <c r="CH35" s="922"/>
      <c r="CI35" s="922"/>
      <c r="CJ35" s="922"/>
      <c r="CK35" s="922"/>
      <c r="CL35" s="922"/>
      <c r="CM35" s="922"/>
      <c r="CN35" s="922"/>
      <c r="CO35" s="922"/>
      <c r="CP35" s="922"/>
      <c r="CQ35" s="922"/>
      <c r="CR35" s="922"/>
      <c r="CS35" s="922"/>
      <c r="CT35" s="922"/>
      <c r="CU35" s="922"/>
      <c r="CV35" s="922"/>
      <c r="CW35" s="922"/>
      <c r="CX35" s="922"/>
      <c r="CY35" s="922"/>
      <c r="CZ35" s="922"/>
      <c r="DA35" s="922"/>
      <c r="DB35" s="922"/>
      <c r="DC35" s="922"/>
      <c r="DD35" s="922"/>
      <c r="DE35" s="922"/>
      <c r="DF35" s="922"/>
      <c r="DG35" s="922"/>
      <c r="DH35" s="922"/>
      <c r="DI35" s="922"/>
      <c r="DJ35" s="922"/>
      <c r="DK35" s="922"/>
      <c r="DL35" s="922"/>
      <c r="DM35" s="922"/>
      <c r="DN35" s="922"/>
      <c r="DO35" s="922"/>
      <c r="DP35" s="922"/>
      <c r="DQ35" s="922"/>
      <c r="DR35" s="922"/>
      <c r="DS35" s="922"/>
      <c r="DT35" s="922"/>
      <c r="DU35" s="922"/>
      <c r="DV35" s="922"/>
      <c r="DW35" s="922"/>
      <c r="DX35" s="922"/>
      <c r="DY35" s="922"/>
      <c r="DZ35" s="922"/>
      <c r="EA35" s="922"/>
      <c r="EB35" s="922"/>
      <c r="EC35" s="922"/>
      <c r="ED35" s="922"/>
      <c r="EE35" s="922"/>
      <c r="EF35" s="922"/>
      <c r="EG35" s="922"/>
      <c r="EH35" s="922"/>
      <c r="EI35" s="922"/>
      <c r="EJ35" s="922"/>
      <c r="EK35" s="922"/>
      <c r="EL35" s="922"/>
      <c r="EM35" s="922"/>
      <c r="EN35" s="922"/>
      <c r="EO35" s="922"/>
      <c r="EP35" s="922"/>
      <c r="EQ35" s="922"/>
      <c r="ER35" s="922"/>
      <c r="ES35" s="922"/>
      <c r="ET35" s="922"/>
      <c r="EU35" s="922"/>
      <c r="EV35" s="922"/>
      <c r="EW35" s="922"/>
      <c r="EX35" s="922"/>
      <c r="EY35" s="922"/>
      <c r="EZ35" s="922"/>
      <c r="FA35" s="922"/>
      <c r="FB35" s="922"/>
      <c r="FC35" s="922"/>
      <c r="FD35" s="922"/>
      <c r="FE35" s="922"/>
      <c r="FF35" s="922"/>
      <c r="FG35" s="922"/>
      <c r="FH35" s="922"/>
      <c r="FI35" s="922"/>
      <c r="FJ35" s="922"/>
      <c r="FK35" s="922"/>
      <c r="FL35" s="922"/>
      <c r="FM35" s="922"/>
      <c r="FN35" s="922"/>
      <c r="FO35" s="922"/>
      <c r="FP35" s="922"/>
      <c r="FQ35" s="922"/>
      <c r="FR35" s="922"/>
      <c r="FS35" s="922"/>
      <c r="FT35" s="922"/>
      <c r="FU35" s="922"/>
      <c r="FV35" s="922"/>
      <c r="FW35" s="922"/>
      <c r="FX35" s="922"/>
      <c r="FY35" s="922"/>
      <c r="FZ35" s="922"/>
      <c r="GA35" s="922"/>
      <c r="GB35" s="922"/>
      <c r="GC35" s="922"/>
      <c r="GD35" s="922"/>
      <c r="GE35" s="922"/>
      <c r="GF35" s="922"/>
      <c r="GG35" s="922"/>
      <c r="GH35" s="922"/>
      <c r="GI35" s="922"/>
      <c r="GJ35" s="922"/>
      <c r="GK35" s="922"/>
      <c r="GL35" s="922"/>
      <c r="GM35" s="922"/>
      <c r="GN35" s="922"/>
      <c r="GO35" s="922"/>
      <c r="GP35" s="922"/>
      <c r="GQ35" s="922"/>
      <c r="GR35" s="922"/>
      <c r="GS35" s="922"/>
      <c r="GT35" s="922"/>
      <c r="GU35" s="922"/>
      <c r="GV35" s="922"/>
      <c r="GW35" s="922"/>
      <c r="GX35" s="922"/>
      <c r="GY35" s="922"/>
      <c r="GZ35" s="922"/>
      <c r="HA35" s="922"/>
      <c r="HB35" s="922"/>
      <c r="HC35" s="922"/>
      <c r="HD35" s="922"/>
      <c r="HE35" s="922"/>
      <c r="HF35" s="922"/>
      <c r="HG35" s="922"/>
      <c r="HH35" s="922"/>
      <c r="HI35" s="922"/>
      <c r="HJ35" s="922"/>
      <c r="HK35" s="922"/>
      <c r="HL35" s="922"/>
      <c r="HM35" s="922"/>
      <c r="HN35" s="922"/>
      <c r="HO35" s="922"/>
      <c r="HP35" s="922"/>
      <c r="HQ35" s="922"/>
      <c r="HR35" s="922"/>
      <c r="HS35" s="922"/>
      <c r="HT35" s="922"/>
      <c r="HU35" s="922"/>
      <c r="HV35" s="922"/>
      <c r="HW35" s="922"/>
      <c r="HX35" s="922"/>
      <c r="HY35" s="922"/>
      <c r="HZ35" s="922"/>
      <c r="IA35" s="922"/>
      <c r="IB35" s="922"/>
      <c r="IC35" s="922"/>
      <c r="ID35" s="922"/>
      <c r="IE35" s="922"/>
      <c r="IF35" s="922"/>
      <c r="IG35" s="922"/>
      <c r="IH35" s="922"/>
      <c r="II35" s="922"/>
      <c r="IJ35" s="922"/>
      <c r="IK35" s="922"/>
    </row>
    <row r="36" spans="1:245" ht="38.25" customHeight="1">
      <c r="A36" s="923">
        <v>27</v>
      </c>
      <c r="B36" s="933" t="s">
        <v>1254</v>
      </c>
      <c r="C36" s="925" t="s">
        <v>1255</v>
      </c>
      <c r="D36" s="926">
        <f t="shared" si="2"/>
        <v>3000</v>
      </c>
      <c r="E36" s="927"/>
      <c r="F36" s="927">
        <v>3000</v>
      </c>
      <c r="G36" s="927"/>
      <c r="H36" s="928"/>
      <c r="I36" s="926"/>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2"/>
      <c r="AY36" s="922"/>
      <c r="AZ36" s="922"/>
      <c r="BA36" s="922"/>
      <c r="BB36" s="922"/>
      <c r="BC36" s="922"/>
      <c r="BD36" s="922"/>
      <c r="BE36" s="922"/>
      <c r="BF36" s="922"/>
      <c r="BG36" s="922"/>
      <c r="BH36" s="922"/>
      <c r="BI36" s="922"/>
      <c r="BJ36" s="922"/>
      <c r="BK36" s="922"/>
      <c r="BL36" s="922"/>
      <c r="BM36" s="922"/>
      <c r="BN36" s="922"/>
      <c r="BO36" s="922"/>
      <c r="BP36" s="922"/>
      <c r="BQ36" s="922"/>
      <c r="BR36" s="922"/>
      <c r="BS36" s="922"/>
      <c r="BT36" s="922"/>
      <c r="BU36" s="922"/>
      <c r="BV36" s="922"/>
      <c r="BW36" s="922"/>
      <c r="BX36" s="922"/>
      <c r="BY36" s="922"/>
      <c r="BZ36" s="922"/>
      <c r="CA36" s="922"/>
      <c r="CB36" s="922"/>
      <c r="CC36" s="922"/>
      <c r="CD36" s="922"/>
      <c r="CE36" s="922"/>
      <c r="CF36" s="922"/>
      <c r="CG36" s="922"/>
      <c r="CH36" s="922"/>
      <c r="CI36" s="922"/>
      <c r="CJ36" s="922"/>
      <c r="CK36" s="922"/>
      <c r="CL36" s="922"/>
      <c r="CM36" s="922"/>
      <c r="CN36" s="922"/>
      <c r="CO36" s="922"/>
      <c r="CP36" s="922"/>
      <c r="CQ36" s="922"/>
      <c r="CR36" s="922"/>
      <c r="CS36" s="922"/>
      <c r="CT36" s="922"/>
      <c r="CU36" s="922"/>
      <c r="CV36" s="922"/>
      <c r="CW36" s="922"/>
      <c r="CX36" s="922"/>
      <c r="CY36" s="922"/>
      <c r="CZ36" s="922"/>
      <c r="DA36" s="922"/>
      <c r="DB36" s="922"/>
      <c r="DC36" s="922"/>
      <c r="DD36" s="922"/>
      <c r="DE36" s="922"/>
      <c r="DF36" s="922"/>
      <c r="DG36" s="922"/>
      <c r="DH36" s="922"/>
      <c r="DI36" s="922"/>
      <c r="DJ36" s="922"/>
      <c r="DK36" s="922"/>
      <c r="DL36" s="922"/>
      <c r="DM36" s="922"/>
      <c r="DN36" s="922"/>
      <c r="DO36" s="922"/>
      <c r="DP36" s="922"/>
      <c r="DQ36" s="922"/>
      <c r="DR36" s="922"/>
      <c r="DS36" s="922"/>
      <c r="DT36" s="922"/>
      <c r="DU36" s="922"/>
      <c r="DV36" s="922"/>
      <c r="DW36" s="922"/>
      <c r="DX36" s="922"/>
      <c r="DY36" s="922"/>
      <c r="DZ36" s="922"/>
      <c r="EA36" s="922"/>
      <c r="EB36" s="922"/>
      <c r="EC36" s="922"/>
      <c r="ED36" s="922"/>
      <c r="EE36" s="922"/>
      <c r="EF36" s="922"/>
      <c r="EG36" s="922"/>
      <c r="EH36" s="922"/>
      <c r="EI36" s="922"/>
      <c r="EJ36" s="922"/>
      <c r="EK36" s="922"/>
      <c r="EL36" s="922"/>
      <c r="EM36" s="922"/>
      <c r="EN36" s="922"/>
      <c r="EO36" s="922"/>
      <c r="EP36" s="922"/>
      <c r="EQ36" s="922"/>
      <c r="ER36" s="922"/>
      <c r="ES36" s="922"/>
      <c r="ET36" s="922"/>
      <c r="EU36" s="922"/>
      <c r="EV36" s="922"/>
      <c r="EW36" s="922"/>
      <c r="EX36" s="922"/>
      <c r="EY36" s="922"/>
      <c r="EZ36" s="922"/>
      <c r="FA36" s="922"/>
      <c r="FB36" s="922"/>
      <c r="FC36" s="922"/>
      <c r="FD36" s="922"/>
      <c r="FE36" s="922"/>
      <c r="FF36" s="922"/>
      <c r="FG36" s="922"/>
      <c r="FH36" s="922"/>
      <c r="FI36" s="922"/>
      <c r="FJ36" s="922"/>
      <c r="FK36" s="922"/>
      <c r="FL36" s="922"/>
      <c r="FM36" s="922"/>
      <c r="FN36" s="922"/>
      <c r="FO36" s="922"/>
      <c r="FP36" s="922"/>
      <c r="FQ36" s="922"/>
      <c r="FR36" s="922"/>
      <c r="FS36" s="922"/>
      <c r="FT36" s="922"/>
      <c r="FU36" s="922"/>
      <c r="FV36" s="922"/>
      <c r="FW36" s="922"/>
      <c r="FX36" s="922"/>
      <c r="FY36" s="922"/>
      <c r="FZ36" s="922"/>
      <c r="GA36" s="922"/>
      <c r="GB36" s="922"/>
      <c r="GC36" s="922"/>
      <c r="GD36" s="922"/>
      <c r="GE36" s="922"/>
      <c r="GF36" s="922"/>
      <c r="GG36" s="922"/>
      <c r="GH36" s="922"/>
      <c r="GI36" s="922"/>
      <c r="GJ36" s="922"/>
      <c r="GK36" s="922"/>
      <c r="GL36" s="922"/>
      <c r="GM36" s="922"/>
      <c r="GN36" s="922"/>
      <c r="GO36" s="922"/>
      <c r="GP36" s="922"/>
      <c r="GQ36" s="922"/>
      <c r="GR36" s="922"/>
      <c r="GS36" s="922"/>
      <c r="GT36" s="922"/>
      <c r="GU36" s="922"/>
      <c r="GV36" s="922"/>
      <c r="GW36" s="922"/>
      <c r="GX36" s="922"/>
      <c r="GY36" s="922"/>
      <c r="GZ36" s="922"/>
      <c r="HA36" s="922"/>
      <c r="HB36" s="922"/>
      <c r="HC36" s="922"/>
      <c r="HD36" s="922"/>
      <c r="HE36" s="922"/>
      <c r="HF36" s="922"/>
      <c r="HG36" s="922"/>
      <c r="HH36" s="922"/>
      <c r="HI36" s="922"/>
      <c r="HJ36" s="922"/>
      <c r="HK36" s="922"/>
      <c r="HL36" s="922"/>
      <c r="HM36" s="922"/>
      <c r="HN36" s="922"/>
      <c r="HO36" s="922"/>
      <c r="HP36" s="922"/>
      <c r="HQ36" s="922"/>
      <c r="HR36" s="922"/>
      <c r="HS36" s="922"/>
      <c r="HT36" s="922"/>
      <c r="HU36" s="922"/>
      <c r="HV36" s="922"/>
      <c r="HW36" s="922"/>
      <c r="HX36" s="922"/>
      <c r="HY36" s="922"/>
      <c r="HZ36" s="922"/>
      <c r="IA36" s="922"/>
      <c r="IB36" s="922"/>
      <c r="IC36" s="922"/>
      <c r="ID36" s="922"/>
      <c r="IE36" s="922"/>
      <c r="IF36" s="922"/>
      <c r="IG36" s="922"/>
      <c r="IH36" s="922"/>
      <c r="II36" s="922"/>
      <c r="IJ36" s="922"/>
      <c r="IK36" s="922"/>
    </row>
    <row r="37" spans="1:245" ht="24" customHeight="1">
      <c r="A37" s="923">
        <v>28</v>
      </c>
      <c r="B37" s="924" t="s">
        <v>1256</v>
      </c>
      <c r="C37" s="925" t="s">
        <v>1257</v>
      </c>
      <c r="D37" s="926">
        <f t="shared" si="2"/>
        <v>1700</v>
      </c>
      <c r="E37" s="927"/>
      <c r="F37" s="927">
        <v>1700</v>
      </c>
      <c r="G37" s="927"/>
      <c r="H37" s="928"/>
      <c r="I37" s="926"/>
      <c r="J37" s="922"/>
      <c r="K37" s="922"/>
      <c r="L37" s="922"/>
      <c r="M37" s="922"/>
      <c r="N37" s="922"/>
      <c r="O37" s="922"/>
      <c r="P37" s="922"/>
      <c r="Q37" s="922"/>
      <c r="R37" s="922"/>
      <c r="S37" s="922"/>
      <c r="T37" s="922"/>
      <c r="U37" s="922"/>
      <c r="V37" s="922"/>
      <c r="W37" s="922"/>
      <c r="X37" s="922"/>
      <c r="Y37" s="922"/>
      <c r="Z37" s="922"/>
      <c r="AA37" s="922"/>
      <c r="AB37" s="922"/>
      <c r="AC37" s="922"/>
      <c r="AD37" s="922"/>
      <c r="AE37" s="922"/>
      <c r="AF37" s="922"/>
      <c r="AG37" s="922"/>
      <c r="AH37" s="922"/>
      <c r="AI37" s="922"/>
      <c r="AJ37" s="922"/>
      <c r="AK37" s="922"/>
      <c r="AL37" s="922"/>
      <c r="AM37" s="922"/>
      <c r="AN37" s="922"/>
      <c r="AO37" s="922"/>
      <c r="AP37" s="922"/>
      <c r="AQ37" s="922"/>
      <c r="AR37" s="922"/>
      <c r="AS37" s="922"/>
      <c r="AT37" s="922"/>
      <c r="AU37" s="922"/>
      <c r="AV37" s="922"/>
      <c r="AW37" s="922"/>
      <c r="AX37" s="922"/>
      <c r="AY37" s="922"/>
      <c r="AZ37" s="922"/>
      <c r="BA37" s="922"/>
      <c r="BB37" s="922"/>
      <c r="BC37" s="922"/>
      <c r="BD37" s="922"/>
      <c r="BE37" s="922"/>
      <c r="BF37" s="922"/>
      <c r="BG37" s="922"/>
      <c r="BH37" s="922"/>
      <c r="BI37" s="922"/>
      <c r="BJ37" s="922"/>
      <c r="BK37" s="922"/>
      <c r="BL37" s="922"/>
      <c r="BM37" s="922"/>
      <c r="BN37" s="922"/>
      <c r="BO37" s="922"/>
      <c r="BP37" s="922"/>
      <c r="BQ37" s="922"/>
      <c r="BR37" s="922"/>
      <c r="BS37" s="922"/>
      <c r="BT37" s="922"/>
      <c r="BU37" s="922"/>
      <c r="BV37" s="922"/>
      <c r="BW37" s="922"/>
      <c r="BX37" s="922"/>
      <c r="BY37" s="922"/>
      <c r="BZ37" s="922"/>
      <c r="CA37" s="922"/>
      <c r="CB37" s="922"/>
      <c r="CC37" s="922"/>
      <c r="CD37" s="922"/>
      <c r="CE37" s="922"/>
      <c r="CF37" s="922"/>
      <c r="CG37" s="922"/>
      <c r="CH37" s="922"/>
      <c r="CI37" s="922"/>
      <c r="CJ37" s="922"/>
      <c r="CK37" s="922"/>
      <c r="CL37" s="922"/>
      <c r="CM37" s="922"/>
      <c r="CN37" s="922"/>
      <c r="CO37" s="922"/>
      <c r="CP37" s="922"/>
      <c r="CQ37" s="922"/>
      <c r="CR37" s="922"/>
      <c r="CS37" s="922"/>
      <c r="CT37" s="922"/>
      <c r="CU37" s="922"/>
      <c r="CV37" s="922"/>
      <c r="CW37" s="922"/>
      <c r="CX37" s="922"/>
      <c r="CY37" s="922"/>
      <c r="CZ37" s="922"/>
      <c r="DA37" s="922"/>
      <c r="DB37" s="922"/>
      <c r="DC37" s="922"/>
      <c r="DD37" s="922"/>
      <c r="DE37" s="922"/>
      <c r="DF37" s="922"/>
      <c r="DG37" s="922"/>
      <c r="DH37" s="922"/>
      <c r="DI37" s="922"/>
      <c r="DJ37" s="922"/>
      <c r="DK37" s="922"/>
      <c r="DL37" s="922"/>
      <c r="DM37" s="922"/>
      <c r="DN37" s="922"/>
      <c r="DO37" s="922"/>
      <c r="DP37" s="922"/>
      <c r="DQ37" s="922"/>
      <c r="DR37" s="922"/>
      <c r="DS37" s="922"/>
      <c r="DT37" s="922"/>
      <c r="DU37" s="922"/>
      <c r="DV37" s="922"/>
      <c r="DW37" s="922"/>
      <c r="DX37" s="922"/>
      <c r="DY37" s="922"/>
      <c r="DZ37" s="922"/>
      <c r="EA37" s="922"/>
      <c r="EB37" s="922"/>
      <c r="EC37" s="922"/>
      <c r="ED37" s="922"/>
      <c r="EE37" s="922"/>
      <c r="EF37" s="922"/>
      <c r="EG37" s="922"/>
      <c r="EH37" s="922"/>
      <c r="EI37" s="922"/>
      <c r="EJ37" s="922"/>
      <c r="EK37" s="922"/>
      <c r="EL37" s="922"/>
      <c r="EM37" s="922"/>
      <c r="EN37" s="922"/>
      <c r="EO37" s="922"/>
      <c r="EP37" s="922"/>
      <c r="EQ37" s="922"/>
      <c r="ER37" s="922"/>
      <c r="ES37" s="922"/>
      <c r="ET37" s="922"/>
      <c r="EU37" s="922"/>
      <c r="EV37" s="922"/>
      <c r="EW37" s="922"/>
      <c r="EX37" s="922"/>
      <c r="EY37" s="922"/>
      <c r="EZ37" s="922"/>
      <c r="FA37" s="922"/>
      <c r="FB37" s="922"/>
      <c r="FC37" s="922"/>
      <c r="FD37" s="922"/>
      <c r="FE37" s="922"/>
      <c r="FF37" s="922"/>
      <c r="FG37" s="922"/>
      <c r="FH37" s="922"/>
      <c r="FI37" s="922"/>
      <c r="FJ37" s="922"/>
      <c r="FK37" s="922"/>
      <c r="FL37" s="922"/>
      <c r="FM37" s="922"/>
      <c r="FN37" s="922"/>
      <c r="FO37" s="922"/>
      <c r="FP37" s="922"/>
      <c r="FQ37" s="922"/>
      <c r="FR37" s="922"/>
      <c r="FS37" s="922"/>
      <c r="FT37" s="922"/>
      <c r="FU37" s="922"/>
      <c r="FV37" s="922"/>
      <c r="FW37" s="922"/>
      <c r="FX37" s="922"/>
      <c r="FY37" s="922"/>
      <c r="FZ37" s="922"/>
      <c r="GA37" s="922"/>
      <c r="GB37" s="922"/>
      <c r="GC37" s="922"/>
      <c r="GD37" s="922"/>
      <c r="GE37" s="922"/>
      <c r="GF37" s="922"/>
      <c r="GG37" s="922"/>
      <c r="GH37" s="922"/>
      <c r="GI37" s="922"/>
      <c r="GJ37" s="922"/>
      <c r="GK37" s="922"/>
      <c r="GL37" s="922"/>
      <c r="GM37" s="922"/>
      <c r="GN37" s="922"/>
      <c r="GO37" s="922"/>
      <c r="GP37" s="922"/>
      <c r="GQ37" s="922"/>
      <c r="GR37" s="922"/>
      <c r="GS37" s="922"/>
      <c r="GT37" s="922"/>
      <c r="GU37" s="922"/>
      <c r="GV37" s="922"/>
      <c r="GW37" s="922"/>
      <c r="GX37" s="922"/>
      <c r="GY37" s="922"/>
      <c r="GZ37" s="922"/>
      <c r="HA37" s="922"/>
      <c r="HB37" s="922"/>
      <c r="HC37" s="922"/>
      <c r="HD37" s="922"/>
      <c r="HE37" s="922"/>
      <c r="HF37" s="922"/>
      <c r="HG37" s="922"/>
      <c r="HH37" s="922"/>
      <c r="HI37" s="922"/>
      <c r="HJ37" s="922"/>
      <c r="HK37" s="922"/>
      <c r="HL37" s="922"/>
      <c r="HM37" s="922"/>
      <c r="HN37" s="922"/>
      <c r="HO37" s="922"/>
      <c r="HP37" s="922"/>
      <c r="HQ37" s="922"/>
      <c r="HR37" s="922"/>
      <c r="HS37" s="922"/>
      <c r="HT37" s="922"/>
      <c r="HU37" s="922"/>
      <c r="HV37" s="922"/>
      <c r="HW37" s="922"/>
      <c r="HX37" s="922"/>
      <c r="HY37" s="922"/>
      <c r="HZ37" s="922"/>
      <c r="IA37" s="922"/>
      <c r="IB37" s="922"/>
      <c r="IC37" s="922"/>
      <c r="ID37" s="922"/>
      <c r="IE37" s="922"/>
      <c r="IF37" s="922"/>
      <c r="IG37" s="922"/>
      <c r="IH37" s="922"/>
      <c r="II37" s="922"/>
      <c r="IJ37" s="922"/>
      <c r="IK37" s="922"/>
    </row>
    <row r="38" spans="1:245" ht="24" customHeight="1">
      <c r="A38" s="923">
        <v>29</v>
      </c>
      <c r="B38" s="933" t="s">
        <v>1258</v>
      </c>
      <c r="C38" s="925" t="s">
        <v>1259</v>
      </c>
      <c r="D38" s="926">
        <f t="shared" si="2"/>
        <v>1000</v>
      </c>
      <c r="E38" s="927"/>
      <c r="F38" s="927">
        <v>1000</v>
      </c>
      <c r="G38" s="927"/>
      <c r="H38" s="928"/>
      <c r="I38" s="926"/>
      <c r="J38" s="922"/>
      <c r="K38" s="922"/>
      <c r="L38" s="922"/>
      <c r="M38" s="922"/>
      <c r="N38" s="922"/>
      <c r="O38" s="922"/>
      <c r="P38" s="922"/>
      <c r="Q38" s="922"/>
      <c r="R38" s="922"/>
      <c r="S38" s="922"/>
      <c r="T38" s="922"/>
      <c r="U38" s="922"/>
      <c r="V38" s="922"/>
      <c r="W38" s="922"/>
      <c r="X38" s="922"/>
      <c r="Y38" s="922"/>
      <c r="Z38" s="922"/>
      <c r="AA38" s="922"/>
      <c r="AB38" s="922"/>
      <c r="AC38" s="922"/>
      <c r="AD38" s="922"/>
      <c r="AE38" s="922"/>
      <c r="AF38" s="922"/>
      <c r="AG38" s="922"/>
      <c r="AH38" s="922"/>
      <c r="AI38" s="922"/>
      <c r="AJ38" s="922"/>
      <c r="AK38" s="922"/>
      <c r="AL38" s="922"/>
      <c r="AM38" s="922"/>
      <c r="AN38" s="922"/>
      <c r="AO38" s="922"/>
      <c r="AP38" s="922"/>
      <c r="AQ38" s="922"/>
      <c r="AR38" s="922"/>
      <c r="AS38" s="922"/>
      <c r="AT38" s="922"/>
      <c r="AU38" s="922"/>
      <c r="AV38" s="922"/>
      <c r="AW38" s="922"/>
      <c r="AX38" s="922"/>
      <c r="AY38" s="922"/>
      <c r="AZ38" s="922"/>
      <c r="BA38" s="922"/>
      <c r="BB38" s="922"/>
      <c r="BC38" s="922"/>
      <c r="BD38" s="922"/>
      <c r="BE38" s="922"/>
      <c r="BF38" s="922"/>
      <c r="BG38" s="922"/>
      <c r="BH38" s="922"/>
      <c r="BI38" s="922"/>
      <c r="BJ38" s="922"/>
      <c r="BK38" s="922"/>
      <c r="BL38" s="922"/>
      <c r="BM38" s="922"/>
      <c r="BN38" s="922"/>
      <c r="BO38" s="922"/>
      <c r="BP38" s="922"/>
      <c r="BQ38" s="922"/>
      <c r="BR38" s="922"/>
      <c r="BS38" s="922"/>
      <c r="BT38" s="922"/>
      <c r="BU38" s="922"/>
      <c r="BV38" s="922"/>
      <c r="BW38" s="922"/>
      <c r="BX38" s="922"/>
      <c r="BY38" s="922"/>
      <c r="BZ38" s="922"/>
      <c r="CA38" s="922"/>
      <c r="CB38" s="922"/>
      <c r="CC38" s="922"/>
      <c r="CD38" s="922"/>
      <c r="CE38" s="922"/>
      <c r="CF38" s="922"/>
      <c r="CG38" s="922"/>
      <c r="CH38" s="922"/>
      <c r="CI38" s="922"/>
      <c r="CJ38" s="922"/>
      <c r="CK38" s="922"/>
      <c r="CL38" s="922"/>
      <c r="CM38" s="922"/>
      <c r="CN38" s="922"/>
      <c r="CO38" s="922"/>
      <c r="CP38" s="922"/>
      <c r="CQ38" s="922"/>
      <c r="CR38" s="922"/>
      <c r="CS38" s="922"/>
      <c r="CT38" s="922"/>
      <c r="CU38" s="922"/>
      <c r="CV38" s="922"/>
      <c r="CW38" s="922"/>
      <c r="CX38" s="922"/>
      <c r="CY38" s="922"/>
      <c r="CZ38" s="922"/>
      <c r="DA38" s="922"/>
      <c r="DB38" s="922"/>
      <c r="DC38" s="922"/>
      <c r="DD38" s="922"/>
      <c r="DE38" s="922"/>
      <c r="DF38" s="922"/>
      <c r="DG38" s="922"/>
      <c r="DH38" s="922"/>
      <c r="DI38" s="922"/>
      <c r="DJ38" s="922"/>
      <c r="DK38" s="922"/>
      <c r="DL38" s="922"/>
      <c r="DM38" s="922"/>
      <c r="DN38" s="922"/>
      <c r="DO38" s="922"/>
      <c r="DP38" s="922"/>
      <c r="DQ38" s="922"/>
      <c r="DR38" s="922"/>
      <c r="DS38" s="922"/>
      <c r="DT38" s="922"/>
      <c r="DU38" s="922"/>
      <c r="DV38" s="922"/>
      <c r="DW38" s="922"/>
      <c r="DX38" s="922"/>
      <c r="DY38" s="922"/>
      <c r="DZ38" s="922"/>
      <c r="EA38" s="922"/>
      <c r="EB38" s="922"/>
      <c r="EC38" s="922"/>
      <c r="ED38" s="922"/>
      <c r="EE38" s="922"/>
      <c r="EF38" s="922"/>
      <c r="EG38" s="922"/>
      <c r="EH38" s="922"/>
      <c r="EI38" s="922"/>
      <c r="EJ38" s="922"/>
      <c r="EK38" s="922"/>
      <c r="EL38" s="922"/>
      <c r="EM38" s="922"/>
      <c r="EN38" s="922"/>
      <c r="EO38" s="922"/>
      <c r="EP38" s="922"/>
      <c r="EQ38" s="922"/>
      <c r="ER38" s="922"/>
      <c r="ES38" s="922"/>
      <c r="ET38" s="922"/>
      <c r="EU38" s="922"/>
      <c r="EV38" s="922"/>
      <c r="EW38" s="922"/>
      <c r="EX38" s="922"/>
      <c r="EY38" s="922"/>
      <c r="EZ38" s="922"/>
      <c r="FA38" s="922"/>
      <c r="FB38" s="922"/>
      <c r="FC38" s="922"/>
      <c r="FD38" s="922"/>
      <c r="FE38" s="922"/>
      <c r="FF38" s="922"/>
      <c r="FG38" s="922"/>
      <c r="FH38" s="922"/>
      <c r="FI38" s="922"/>
      <c r="FJ38" s="922"/>
      <c r="FK38" s="922"/>
      <c r="FL38" s="922"/>
      <c r="FM38" s="922"/>
      <c r="FN38" s="922"/>
      <c r="FO38" s="922"/>
      <c r="FP38" s="922"/>
      <c r="FQ38" s="922"/>
      <c r="FR38" s="922"/>
      <c r="FS38" s="922"/>
      <c r="FT38" s="922"/>
      <c r="FU38" s="922"/>
      <c r="FV38" s="922"/>
      <c r="FW38" s="922"/>
      <c r="FX38" s="922"/>
      <c r="FY38" s="922"/>
      <c r="FZ38" s="922"/>
      <c r="GA38" s="922"/>
      <c r="GB38" s="922"/>
      <c r="GC38" s="922"/>
      <c r="GD38" s="922"/>
      <c r="GE38" s="922"/>
      <c r="GF38" s="922"/>
      <c r="GG38" s="922"/>
      <c r="GH38" s="922"/>
      <c r="GI38" s="922"/>
      <c r="GJ38" s="922"/>
      <c r="GK38" s="922"/>
      <c r="GL38" s="922"/>
      <c r="GM38" s="922"/>
      <c r="GN38" s="922"/>
      <c r="GO38" s="922"/>
      <c r="GP38" s="922"/>
      <c r="GQ38" s="922"/>
      <c r="GR38" s="922"/>
      <c r="GS38" s="922"/>
      <c r="GT38" s="922"/>
      <c r="GU38" s="922"/>
      <c r="GV38" s="922"/>
      <c r="GW38" s="922"/>
      <c r="GX38" s="922"/>
      <c r="GY38" s="922"/>
      <c r="GZ38" s="922"/>
      <c r="HA38" s="922"/>
      <c r="HB38" s="922"/>
      <c r="HC38" s="922"/>
      <c r="HD38" s="922"/>
      <c r="HE38" s="922"/>
      <c r="HF38" s="922"/>
      <c r="HG38" s="922"/>
      <c r="HH38" s="922"/>
      <c r="HI38" s="922"/>
      <c r="HJ38" s="922"/>
      <c r="HK38" s="922"/>
      <c r="HL38" s="922"/>
      <c r="HM38" s="922"/>
      <c r="HN38" s="922"/>
      <c r="HO38" s="922"/>
      <c r="HP38" s="922"/>
      <c r="HQ38" s="922"/>
      <c r="HR38" s="922"/>
      <c r="HS38" s="922"/>
      <c r="HT38" s="922"/>
      <c r="HU38" s="922"/>
      <c r="HV38" s="922"/>
      <c r="HW38" s="922"/>
      <c r="HX38" s="922"/>
      <c r="HY38" s="922"/>
      <c r="HZ38" s="922"/>
      <c r="IA38" s="922"/>
      <c r="IB38" s="922"/>
      <c r="IC38" s="922"/>
      <c r="ID38" s="922"/>
      <c r="IE38" s="922"/>
      <c r="IF38" s="922"/>
      <c r="IG38" s="922"/>
      <c r="IH38" s="922"/>
      <c r="II38" s="922"/>
      <c r="IJ38" s="922"/>
      <c r="IK38" s="922"/>
    </row>
    <row r="39" spans="1:245" ht="24" customHeight="1">
      <c r="A39" s="923">
        <v>30</v>
      </c>
      <c r="B39" s="933" t="s">
        <v>1260</v>
      </c>
      <c r="C39" s="931">
        <v>104753865</v>
      </c>
      <c r="D39" s="926">
        <f t="shared" si="2"/>
        <v>160</v>
      </c>
      <c r="E39" s="927"/>
      <c r="F39" s="927">
        <v>160</v>
      </c>
      <c r="G39" s="927"/>
      <c r="H39" s="928"/>
      <c r="I39" s="926"/>
      <c r="J39" s="922"/>
      <c r="K39" s="922"/>
      <c r="L39" s="922"/>
      <c r="M39" s="922"/>
      <c r="N39" s="922"/>
      <c r="O39" s="922"/>
      <c r="P39" s="922"/>
      <c r="Q39" s="922"/>
      <c r="R39" s="922"/>
      <c r="S39" s="922"/>
      <c r="T39" s="922"/>
      <c r="U39" s="922"/>
      <c r="V39" s="922"/>
      <c r="W39" s="922"/>
      <c r="X39" s="922"/>
      <c r="Y39" s="922"/>
      <c r="Z39" s="922"/>
      <c r="AA39" s="922"/>
      <c r="AB39" s="922"/>
      <c r="AC39" s="922"/>
      <c r="AD39" s="922"/>
      <c r="AE39" s="922"/>
      <c r="AF39" s="922"/>
      <c r="AG39" s="922"/>
      <c r="AH39" s="922"/>
      <c r="AI39" s="922"/>
      <c r="AJ39" s="922"/>
      <c r="AK39" s="922"/>
      <c r="AL39" s="922"/>
      <c r="AM39" s="922"/>
      <c r="AN39" s="922"/>
      <c r="AO39" s="922"/>
      <c r="AP39" s="922"/>
      <c r="AQ39" s="922"/>
      <c r="AR39" s="922"/>
      <c r="AS39" s="922"/>
      <c r="AT39" s="922"/>
      <c r="AU39" s="922"/>
      <c r="AV39" s="922"/>
      <c r="AW39" s="922"/>
      <c r="AX39" s="922"/>
      <c r="AY39" s="922"/>
      <c r="AZ39" s="922"/>
      <c r="BA39" s="922"/>
      <c r="BB39" s="922"/>
      <c r="BC39" s="922"/>
      <c r="BD39" s="922"/>
      <c r="BE39" s="922"/>
      <c r="BF39" s="922"/>
      <c r="BG39" s="922"/>
      <c r="BH39" s="922"/>
      <c r="BI39" s="922"/>
      <c r="BJ39" s="922"/>
      <c r="BK39" s="922"/>
      <c r="BL39" s="922"/>
      <c r="BM39" s="922"/>
      <c r="BN39" s="922"/>
      <c r="BO39" s="922"/>
      <c r="BP39" s="922"/>
      <c r="BQ39" s="922"/>
      <c r="BR39" s="922"/>
      <c r="BS39" s="922"/>
      <c r="BT39" s="922"/>
      <c r="BU39" s="922"/>
      <c r="BV39" s="922"/>
      <c r="BW39" s="922"/>
      <c r="BX39" s="922"/>
      <c r="BY39" s="922"/>
      <c r="BZ39" s="922"/>
      <c r="CA39" s="922"/>
      <c r="CB39" s="922"/>
      <c r="CC39" s="922"/>
      <c r="CD39" s="922"/>
      <c r="CE39" s="922"/>
      <c r="CF39" s="922"/>
      <c r="CG39" s="922"/>
      <c r="CH39" s="922"/>
      <c r="CI39" s="922"/>
      <c r="CJ39" s="922"/>
      <c r="CK39" s="922"/>
      <c r="CL39" s="922"/>
      <c r="CM39" s="922"/>
      <c r="CN39" s="922"/>
      <c r="CO39" s="922"/>
      <c r="CP39" s="922"/>
      <c r="CQ39" s="922"/>
      <c r="CR39" s="922"/>
      <c r="CS39" s="922"/>
      <c r="CT39" s="922"/>
      <c r="CU39" s="922"/>
      <c r="CV39" s="922"/>
      <c r="CW39" s="922"/>
      <c r="CX39" s="922"/>
      <c r="CY39" s="922"/>
      <c r="CZ39" s="922"/>
      <c r="DA39" s="922"/>
      <c r="DB39" s="922"/>
      <c r="DC39" s="922"/>
      <c r="DD39" s="922"/>
      <c r="DE39" s="922"/>
      <c r="DF39" s="922"/>
      <c r="DG39" s="922"/>
      <c r="DH39" s="922"/>
      <c r="DI39" s="922"/>
      <c r="DJ39" s="922"/>
      <c r="DK39" s="922"/>
      <c r="DL39" s="922"/>
      <c r="DM39" s="922"/>
      <c r="DN39" s="922"/>
      <c r="DO39" s="922"/>
      <c r="DP39" s="922"/>
      <c r="DQ39" s="922"/>
      <c r="DR39" s="922"/>
      <c r="DS39" s="922"/>
      <c r="DT39" s="922"/>
      <c r="DU39" s="922"/>
      <c r="DV39" s="922"/>
      <c r="DW39" s="922"/>
      <c r="DX39" s="922"/>
      <c r="DY39" s="922"/>
      <c r="DZ39" s="922"/>
      <c r="EA39" s="922"/>
      <c r="EB39" s="922"/>
      <c r="EC39" s="922"/>
      <c r="ED39" s="922"/>
      <c r="EE39" s="922"/>
      <c r="EF39" s="922"/>
      <c r="EG39" s="922"/>
      <c r="EH39" s="922"/>
      <c r="EI39" s="922"/>
      <c r="EJ39" s="922"/>
      <c r="EK39" s="922"/>
      <c r="EL39" s="922"/>
      <c r="EM39" s="922"/>
      <c r="EN39" s="922"/>
      <c r="EO39" s="922"/>
      <c r="EP39" s="922"/>
      <c r="EQ39" s="922"/>
      <c r="ER39" s="922"/>
      <c r="ES39" s="922"/>
      <c r="ET39" s="922"/>
      <c r="EU39" s="922"/>
      <c r="EV39" s="922"/>
      <c r="EW39" s="922"/>
      <c r="EX39" s="922"/>
      <c r="EY39" s="922"/>
      <c r="EZ39" s="922"/>
      <c r="FA39" s="922"/>
      <c r="FB39" s="922"/>
      <c r="FC39" s="922"/>
      <c r="FD39" s="922"/>
      <c r="FE39" s="922"/>
      <c r="FF39" s="922"/>
      <c r="FG39" s="922"/>
      <c r="FH39" s="922"/>
      <c r="FI39" s="922"/>
      <c r="FJ39" s="922"/>
      <c r="FK39" s="922"/>
      <c r="FL39" s="922"/>
      <c r="FM39" s="922"/>
      <c r="FN39" s="922"/>
      <c r="FO39" s="922"/>
      <c r="FP39" s="922"/>
      <c r="FQ39" s="922"/>
      <c r="FR39" s="922"/>
      <c r="FS39" s="922"/>
      <c r="FT39" s="922"/>
      <c r="FU39" s="922"/>
      <c r="FV39" s="922"/>
      <c r="FW39" s="922"/>
      <c r="FX39" s="922"/>
      <c r="FY39" s="922"/>
      <c r="FZ39" s="922"/>
      <c r="GA39" s="922"/>
      <c r="GB39" s="922"/>
      <c r="GC39" s="922"/>
      <c r="GD39" s="922"/>
      <c r="GE39" s="922"/>
      <c r="GF39" s="922"/>
      <c r="GG39" s="922"/>
      <c r="GH39" s="922"/>
      <c r="GI39" s="922"/>
      <c r="GJ39" s="922"/>
      <c r="GK39" s="922"/>
      <c r="GL39" s="922"/>
      <c r="GM39" s="922"/>
      <c r="GN39" s="922"/>
      <c r="GO39" s="922"/>
      <c r="GP39" s="922"/>
      <c r="GQ39" s="922"/>
      <c r="GR39" s="922"/>
      <c r="GS39" s="922"/>
      <c r="GT39" s="922"/>
      <c r="GU39" s="922"/>
      <c r="GV39" s="922"/>
      <c r="GW39" s="922"/>
      <c r="GX39" s="922"/>
      <c r="GY39" s="922"/>
      <c r="GZ39" s="922"/>
      <c r="HA39" s="922"/>
      <c r="HB39" s="922"/>
      <c r="HC39" s="922"/>
      <c r="HD39" s="922"/>
      <c r="HE39" s="922"/>
      <c r="HF39" s="922"/>
      <c r="HG39" s="922"/>
      <c r="HH39" s="922"/>
      <c r="HI39" s="922"/>
      <c r="HJ39" s="922"/>
      <c r="HK39" s="922"/>
      <c r="HL39" s="922"/>
      <c r="HM39" s="922"/>
      <c r="HN39" s="922"/>
      <c r="HO39" s="922"/>
      <c r="HP39" s="922"/>
      <c r="HQ39" s="922"/>
      <c r="HR39" s="922"/>
      <c r="HS39" s="922"/>
      <c r="HT39" s="922"/>
      <c r="HU39" s="922"/>
      <c r="HV39" s="922"/>
      <c r="HW39" s="922"/>
      <c r="HX39" s="922"/>
      <c r="HY39" s="922"/>
      <c r="HZ39" s="922"/>
      <c r="IA39" s="922"/>
      <c r="IB39" s="922"/>
      <c r="IC39" s="922"/>
      <c r="ID39" s="922"/>
      <c r="IE39" s="922"/>
      <c r="IF39" s="922"/>
      <c r="IG39" s="922"/>
      <c r="IH39" s="922"/>
      <c r="II39" s="922"/>
      <c r="IJ39" s="922"/>
      <c r="IK39" s="922"/>
    </row>
    <row r="40" spans="1:245" ht="38.25" customHeight="1">
      <c r="A40" s="923">
        <v>31</v>
      </c>
      <c r="B40" s="933" t="s">
        <v>1261</v>
      </c>
      <c r="C40" s="925" t="s">
        <v>1262</v>
      </c>
      <c r="D40" s="926">
        <f t="shared" si="2"/>
        <v>3500</v>
      </c>
      <c r="E40" s="927"/>
      <c r="F40" s="927">
        <v>3500</v>
      </c>
      <c r="G40" s="927"/>
      <c r="H40" s="928"/>
      <c r="I40" s="926"/>
      <c r="J40" s="922"/>
      <c r="K40" s="922"/>
      <c r="L40" s="922"/>
      <c r="M40" s="922"/>
      <c r="N40" s="922"/>
      <c r="O40" s="922"/>
      <c r="P40" s="922"/>
      <c r="Q40" s="922"/>
      <c r="R40" s="922"/>
      <c r="S40" s="922"/>
      <c r="T40" s="922"/>
      <c r="U40" s="922"/>
      <c r="V40" s="922"/>
      <c r="W40" s="922"/>
      <c r="X40" s="922"/>
      <c r="Y40" s="922"/>
      <c r="Z40" s="922"/>
      <c r="AA40" s="922"/>
      <c r="AB40" s="922"/>
      <c r="AC40" s="922"/>
      <c r="AD40" s="922"/>
      <c r="AE40" s="922"/>
      <c r="AF40" s="922"/>
      <c r="AG40" s="922"/>
      <c r="AH40" s="922"/>
      <c r="AI40" s="922"/>
      <c r="AJ40" s="922"/>
      <c r="AK40" s="922"/>
      <c r="AL40" s="922"/>
      <c r="AM40" s="922"/>
      <c r="AN40" s="922"/>
      <c r="AO40" s="922"/>
      <c r="AP40" s="922"/>
      <c r="AQ40" s="922"/>
      <c r="AR40" s="922"/>
      <c r="AS40" s="922"/>
      <c r="AT40" s="922"/>
      <c r="AU40" s="922"/>
      <c r="AV40" s="922"/>
      <c r="AW40" s="922"/>
      <c r="AX40" s="922"/>
      <c r="AY40" s="922"/>
      <c r="AZ40" s="922"/>
      <c r="BA40" s="922"/>
      <c r="BB40" s="922"/>
      <c r="BC40" s="922"/>
      <c r="BD40" s="922"/>
      <c r="BE40" s="922"/>
      <c r="BF40" s="922"/>
      <c r="BG40" s="922"/>
      <c r="BH40" s="922"/>
      <c r="BI40" s="922"/>
      <c r="BJ40" s="922"/>
      <c r="BK40" s="922"/>
      <c r="BL40" s="922"/>
      <c r="BM40" s="922"/>
      <c r="BN40" s="922"/>
      <c r="BO40" s="922"/>
      <c r="BP40" s="922"/>
      <c r="BQ40" s="922"/>
      <c r="BR40" s="922"/>
      <c r="BS40" s="922"/>
      <c r="BT40" s="922"/>
      <c r="BU40" s="922"/>
      <c r="BV40" s="922"/>
      <c r="BW40" s="922"/>
      <c r="BX40" s="922"/>
      <c r="BY40" s="922"/>
      <c r="BZ40" s="922"/>
      <c r="CA40" s="922"/>
      <c r="CB40" s="922"/>
      <c r="CC40" s="922"/>
      <c r="CD40" s="922"/>
      <c r="CE40" s="922"/>
      <c r="CF40" s="922"/>
      <c r="CG40" s="922"/>
      <c r="CH40" s="922"/>
      <c r="CI40" s="922"/>
      <c r="CJ40" s="922"/>
      <c r="CK40" s="922"/>
      <c r="CL40" s="922"/>
      <c r="CM40" s="922"/>
      <c r="CN40" s="922"/>
      <c r="CO40" s="922"/>
      <c r="CP40" s="922"/>
      <c r="CQ40" s="922"/>
      <c r="CR40" s="922"/>
      <c r="CS40" s="922"/>
      <c r="CT40" s="922"/>
      <c r="CU40" s="922"/>
      <c r="CV40" s="922"/>
      <c r="CW40" s="922"/>
      <c r="CX40" s="922"/>
      <c r="CY40" s="922"/>
      <c r="CZ40" s="922"/>
      <c r="DA40" s="922"/>
      <c r="DB40" s="922"/>
      <c r="DC40" s="922"/>
      <c r="DD40" s="922"/>
      <c r="DE40" s="922"/>
      <c r="DF40" s="922"/>
      <c r="DG40" s="922"/>
      <c r="DH40" s="922"/>
      <c r="DI40" s="922"/>
      <c r="DJ40" s="922"/>
      <c r="DK40" s="922"/>
      <c r="DL40" s="922"/>
      <c r="DM40" s="922"/>
      <c r="DN40" s="922"/>
      <c r="DO40" s="922"/>
      <c r="DP40" s="922"/>
      <c r="DQ40" s="922"/>
      <c r="DR40" s="922"/>
      <c r="DS40" s="922"/>
      <c r="DT40" s="922"/>
      <c r="DU40" s="922"/>
      <c r="DV40" s="922"/>
      <c r="DW40" s="922"/>
      <c r="DX40" s="922"/>
      <c r="DY40" s="922"/>
      <c r="DZ40" s="922"/>
      <c r="EA40" s="922"/>
      <c r="EB40" s="922"/>
      <c r="EC40" s="922"/>
      <c r="ED40" s="922"/>
      <c r="EE40" s="922"/>
      <c r="EF40" s="922"/>
      <c r="EG40" s="922"/>
      <c r="EH40" s="922"/>
      <c r="EI40" s="922"/>
      <c r="EJ40" s="922"/>
      <c r="EK40" s="922"/>
      <c r="EL40" s="922"/>
      <c r="EM40" s="922"/>
      <c r="EN40" s="922"/>
      <c r="EO40" s="922"/>
      <c r="EP40" s="922"/>
      <c r="EQ40" s="922"/>
      <c r="ER40" s="922"/>
      <c r="ES40" s="922"/>
      <c r="ET40" s="922"/>
      <c r="EU40" s="922"/>
      <c r="EV40" s="922"/>
      <c r="EW40" s="922"/>
      <c r="EX40" s="922"/>
      <c r="EY40" s="922"/>
      <c r="EZ40" s="922"/>
      <c r="FA40" s="922"/>
      <c r="FB40" s="922"/>
      <c r="FC40" s="922"/>
      <c r="FD40" s="922"/>
      <c r="FE40" s="922"/>
      <c r="FF40" s="922"/>
      <c r="FG40" s="922"/>
      <c r="FH40" s="922"/>
      <c r="FI40" s="922"/>
      <c r="FJ40" s="922"/>
      <c r="FK40" s="922"/>
      <c r="FL40" s="922"/>
      <c r="FM40" s="922"/>
      <c r="FN40" s="922"/>
      <c r="FO40" s="922"/>
      <c r="FP40" s="922"/>
      <c r="FQ40" s="922"/>
      <c r="FR40" s="922"/>
      <c r="FS40" s="922"/>
      <c r="FT40" s="922"/>
      <c r="FU40" s="922"/>
      <c r="FV40" s="922"/>
      <c r="FW40" s="922"/>
      <c r="FX40" s="922"/>
      <c r="FY40" s="922"/>
      <c r="FZ40" s="922"/>
      <c r="GA40" s="922"/>
      <c r="GB40" s="922"/>
      <c r="GC40" s="922"/>
      <c r="GD40" s="922"/>
      <c r="GE40" s="922"/>
      <c r="GF40" s="922"/>
      <c r="GG40" s="922"/>
      <c r="GH40" s="922"/>
      <c r="GI40" s="922"/>
      <c r="GJ40" s="922"/>
      <c r="GK40" s="922"/>
      <c r="GL40" s="922"/>
      <c r="GM40" s="922"/>
      <c r="GN40" s="922"/>
      <c r="GO40" s="922"/>
      <c r="GP40" s="922"/>
      <c r="GQ40" s="922"/>
      <c r="GR40" s="922"/>
      <c r="GS40" s="922"/>
      <c r="GT40" s="922"/>
      <c r="GU40" s="922"/>
      <c r="GV40" s="922"/>
      <c r="GW40" s="922"/>
      <c r="GX40" s="922"/>
      <c r="GY40" s="922"/>
      <c r="GZ40" s="922"/>
      <c r="HA40" s="922"/>
      <c r="HB40" s="922"/>
      <c r="HC40" s="922"/>
      <c r="HD40" s="922"/>
      <c r="HE40" s="922"/>
      <c r="HF40" s="922"/>
      <c r="HG40" s="922"/>
      <c r="HH40" s="922"/>
      <c r="HI40" s="922"/>
      <c r="HJ40" s="922"/>
      <c r="HK40" s="922"/>
      <c r="HL40" s="922"/>
      <c r="HM40" s="922"/>
      <c r="HN40" s="922"/>
      <c r="HO40" s="922"/>
      <c r="HP40" s="922"/>
      <c r="HQ40" s="922"/>
      <c r="HR40" s="922"/>
      <c r="HS40" s="922"/>
      <c r="HT40" s="922"/>
      <c r="HU40" s="922"/>
      <c r="HV40" s="922"/>
      <c r="HW40" s="922"/>
      <c r="HX40" s="922"/>
      <c r="HY40" s="922"/>
      <c r="HZ40" s="922"/>
      <c r="IA40" s="922"/>
      <c r="IB40" s="922"/>
      <c r="IC40" s="922"/>
      <c r="ID40" s="922"/>
      <c r="IE40" s="922"/>
      <c r="IF40" s="922"/>
      <c r="IG40" s="922"/>
      <c r="IH40" s="922"/>
      <c r="II40" s="922"/>
      <c r="IJ40" s="922"/>
      <c r="IK40" s="922"/>
    </row>
    <row r="41" spans="1:245" ht="24" customHeight="1">
      <c r="A41" s="923">
        <v>32</v>
      </c>
      <c r="B41" s="933" t="s">
        <v>1263</v>
      </c>
      <c r="C41" s="925" t="s">
        <v>1264</v>
      </c>
      <c r="D41" s="926">
        <f t="shared" si="2"/>
        <v>850</v>
      </c>
      <c r="E41" s="927"/>
      <c r="F41" s="927">
        <v>850</v>
      </c>
      <c r="G41" s="927"/>
      <c r="H41" s="928"/>
      <c r="I41" s="926"/>
      <c r="J41" s="922"/>
      <c r="K41" s="922"/>
      <c r="L41" s="922"/>
      <c r="M41" s="922"/>
      <c r="N41" s="922"/>
      <c r="O41" s="922"/>
      <c r="P41" s="922"/>
      <c r="Q41" s="922"/>
      <c r="R41" s="922"/>
      <c r="S41" s="922"/>
      <c r="T41" s="922"/>
      <c r="U41" s="922"/>
      <c r="V41" s="922"/>
      <c r="W41" s="922"/>
      <c r="X41" s="922"/>
      <c r="Y41" s="922"/>
      <c r="Z41" s="922"/>
      <c r="AA41" s="922"/>
      <c r="AB41" s="922"/>
      <c r="AC41" s="922"/>
      <c r="AD41" s="922"/>
      <c r="AE41" s="922"/>
      <c r="AF41" s="922"/>
      <c r="AG41" s="922"/>
      <c r="AH41" s="922"/>
      <c r="AI41" s="922"/>
      <c r="AJ41" s="922"/>
      <c r="AK41" s="922"/>
      <c r="AL41" s="922"/>
      <c r="AM41" s="922"/>
      <c r="AN41" s="922"/>
      <c r="AO41" s="922"/>
      <c r="AP41" s="922"/>
      <c r="AQ41" s="922"/>
      <c r="AR41" s="922"/>
      <c r="AS41" s="922"/>
      <c r="AT41" s="922"/>
      <c r="AU41" s="922"/>
      <c r="AV41" s="922"/>
      <c r="AW41" s="922"/>
      <c r="AX41" s="922"/>
      <c r="AY41" s="922"/>
      <c r="AZ41" s="922"/>
      <c r="BA41" s="922"/>
      <c r="BB41" s="922"/>
      <c r="BC41" s="922"/>
      <c r="BD41" s="922"/>
      <c r="BE41" s="922"/>
      <c r="BF41" s="922"/>
      <c r="BG41" s="922"/>
      <c r="BH41" s="922"/>
      <c r="BI41" s="922"/>
      <c r="BJ41" s="922"/>
      <c r="BK41" s="922"/>
      <c r="BL41" s="922"/>
      <c r="BM41" s="922"/>
      <c r="BN41" s="922"/>
      <c r="BO41" s="922"/>
      <c r="BP41" s="922"/>
      <c r="BQ41" s="922"/>
      <c r="BR41" s="922"/>
      <c r="BS41" s="922"/>
      <c r="BT41" s="922"/>
      <c r="BU41" s="922"/>
      <c r="BV41" s="922"/>
      <c r="BW41" s="922"/>
      <c r="BX41" s="922"/>
      <c r="BY41" s="922"/>
      <c r="BZ41" s="922"/>
      <c r="CA41" s="922"/>
      <c r="CB41" s="922"/>
      <c r="CC41" s="922"/>
      <c r="CD41" s="922"/>
      <c r="CE41" s="922"/>
      <c r="CF41" s="922"/>
      <c r="CG41" s="922"/>
      <c r="CH41" s="922"/>
      <c r="CI41" s="922"/>
      <c r="CJ41" s="922"/>
      <c r="CK41" s="922"/>
      <c r="CL41" s="922"/>
      <c r="CM41" s="922"/>
      <c r="CN41" s="922"/>
      <c r="CO41" s="922"/>
      <c r="CP41" s="922"/>
      <c r="CQ41" s="922"/>
      <c r="CR41" s="922"/>
      <c r="CS41" s="922"/>
      <c r="CT41" s="922"/>
      <c r="CU41" s="922"/>
      <c r="CV41" s="922"/>
      <c r="CW41" s="922"/>
      <c r="CX41" s="922"/>
      <c r="CY41" s="922"/>
      <c r="CZ41" s="922"/>
      <c r="DA41" s="922"/>
      <c r="DB41" s="922"/>
      <c r="DC41" s="922"/>
      <c r="DD41" s="922"/>
      <c r="DE41" s="922"/>
      <c r="DF41" s="922"/>
      <c r="DG41" s="922"/>
      <c r="DH41" s="922"/>
      <c r="DI41" s="922"/>
      <c r="DJ41" s="922"/>
      <c r="DK41" s="922"/>
      <c r="DL41" s="922"/>
      <c r="DM41" s="922"/>
      <c r="DN41" s="922"/>
      <c r="DO41" s="922"/>
      <c r="DP41" s="922"/>
      <c r="DQ41" s="922"/>
      <c r="DR41" s="922"/>
      <c r="DS41" s="922"/>
      <c r="DT41" s="922"/>
      <c r="DU41" s="922"/>
      <c r="DV41" s="922"/>
      <c r="DW41" s="922"/>
      <c r="DX41" s="922"/>
      <c r="DY41" s="922"/>
      <c r="DZ41" s="922"/>
      <c r="EA41" s="922"/>
      <c r="EB41" s="922"/>
      <c r="EC41" s="922"/>
      <c r="ED41" s="922"/>
      <c r="EE41" s="922"/>
      <c r="EF41" s="922"/>
      <c r="EG41" s="922"/>
      <c r="EH41" s="922"/>
      <c r="EI41" s="922"/>
      <c r="EJ41" s="922"/>
      <c r="EK41" s="922"/>
      <c r="EL41" s="922"/>
      <c r="EM41" s="922"/>
      <c r="EN41" s="922"/>
      <c r="EO41" s="922"/>
      <c r="EP41" s="922"/>
      <c r="EQ41" s="922"/>
      <c r="ER41" s="922"/>
      <c r="ES41" s="922"/>
      <c r="ET41" s="922"/>
      <c r="EU41" s="922"/>
      <c r="EV41" s="922"/>
      <c r="EW41" s="922"/>
      <c r="EX41" s="922"/>
      <c r="EY41" s="922"/>
      <c r="EZ41" s="922"/>
      <c r="FA41" s="922"/>
      <c r="FB41" s="922"/>
      <c r="FC41" s="922"/>
      <c r="FD41" s="922"/>
      <c r="FE41" s="922"/>
      <c r="FF41" s="922"/>
      <c r="FG41" s="922"/>
      <c r="FH41" s="922"/>
      <c r="FI41" s="922"/>
      <c r="FJ41" s="922"/>
      <c r="FK41" s="922"/>
      <c r="FL41" s="922"/>
      <c r="FM41" s="922"/>
      <c r="FN41" s="922"/>
      <c r="FO41" s="922"/>
      <c r="FP41" s="922"/>
      <c r="FQ41" s="922"/>
      <c r="FR41" s="922"/>
      <c r="FS41" s="922"/>
      <c r="FT41" s="922"/>
      <c r="FU41" s="922"/>
      <c r="FV41" s="922"/>
      <c r="FW41" s="922"/>
      <c r="FX41" s="922"/>
      <c r="FY41" s="922"/>
      <c r="FZ41" s="922"/>
      <c r="GA41" s="922"/>
      <c r="GB41" s="922"/>
      <c r="GC41" s="922"/>
      <c r="GD41" s="922"/>
      <c r="GE41" s="922"/>
      <c r="GF41" s="922"/>
      <c r="GG41" s="922"/>
      <c r="GH41" s="922"/>
      <c r="GI41" s="922"/>
      <c r="GJ41" s="922"/>
      <c r="GK41" s="922"/>
      <c r="GL41" s="922"/>
      <c r="GM41" s="922"/>
      <c r="GN41" s="922"/>
      <c r="GO41" s="922"/>
      <c r="GP41" s="922"/>
      <c r="GQ41" s="922"/>
      <c r="GR41" s="922"/>
      <c r="GS41" s="922"/>
      <c r="GT41" s="922"/>
      <c r="GU41" s="922"/>
      <c r="GV41" s="922"/>
      <c r="GW41" s="922"/>
      <c r="GX41" s="922"/>
      <c r="GY41" s="922"/>
      <c r="GZ41" s="922"/>
      <c r="HA41" s="922"/>
      <c r="HB41" s="922"/>
      <c r="HC41" s="922"/>
      <c r="HD41" s="922"/>
      <c r="HE41" s="922"/>
      <c r="HF41" s="922"/>
      <c r="HG41" s="922"/>
      <c r="HH41" s="922"/>
      <c r="HI41" s="922"/>
      <c r="HJ41" s="922"/>
      <c r="HK41" s="922"/>
      <c r="HL41" s="922"/>
      <c r="HM41" s="922"/>
      <c r="HN41" s="922"/>
      <c r="HO41" s="922"/>
      <c r="HP41" s="922"/>
      <c r="HQ41" s="922"/>
      <c r="HR41" s="922"/>
      <c r="HS41" s="922"/>
      <c r="HT41" s="922"/>
      <c r="HU41" s="922"/>
      <c r="HV41" s="922"/>
      <c r="HW41" s="922"/>
      <c r="HX41" s="922"/>
      <c r="HY41" s="922"/>
      <c r="HZ41" s="922"/>
      <c r="IA41" s="922"/>
      <c r="IB41" s="922"/>
      <c r="IC41" s="922"/>
      <c r="ID41" s="922"/>
      <c r="IE41" s="922"/>
      <c r="IF41" s="922"/>
      <c r="IG41" s="922"/>
      <c r="IH41" s="922"/>
      <c r="II41" s="922"/>
      <c r="IJ41" s="922"/>
      <c r="IK41" s="922"/>
    </row>
    <row r="42" spans="1:245" ht="24" customHeight="1">
      <c r="A42" s="923">
        <v>33</v>
      </c>
      <c r="B42" s="930" t="s">
        <v>1265</v>
      </c>
      <c r="C42" s="934">
        <v>4900219923</v>
      </c>
      <c r="D42" s="926">
        <f t="shared" si="2"/>
        <v>74</v>
      </c>
      <c r="E42" s="927">
        <v>74</v>
      </c>
      <c r="F42" s="927"/>
      <c r="G42" s="927"/>
      <c r="H42" s="928"/>
      <c r="I42" s="926"/>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2"/>
      <c r="AY42" s="922"/>
      <c r="AZ42" s="922"/>
      <c r="BA42" s="922"/>
      <c r="BB42" s="922"/>
      <c r="BC42" s="922"/>
      <c r="BD42" s="922"/>
      <c r="BE42" s="922"/>
      <c r="BF42" s="922"/>
      <c r="BG42" s="922"/>
      <c r="BH42" s="922"/>
      <c r="BI42" s="922"/>
      <c r="BJ42" s="922"/>
      <c r="BK42" s="922"/>
      <c r="BL42" s="922"/>
      <c r="BM42" s="922"/>
      <c r="BN42" s="922"/>
      <c r="BO42" s="922"/>
      <c r="BP42" s="922"/>
      <c r="BQ42" s="922"/>
      <c r="BR42" s="922"/>
      <c r="BS42" s="922"/>
      <c r="BT42" s="922"/>
      <c r="BU42" s="922"/>
      <c r="BV42" s="922"/>
      <c r="BW42" s="922"/>
      <c r="BX42" s="922"/>
      <c r="BY42" s="922"/>
      <c r="BZ42" s="922"/>
      <c r="CA42" s="922"/>
      <c r="CB42" s="922"/>
      <c r="CC42" s="922"/>
      <c r="CD42" s="922"/>
      <c r="CE42" s="922"/>
      <c r="CF42" s="922"/>
      <c r="CG42" s="922"/>
      <c r="CH42" s="922"/>
      <c r="CI42" s="922"/>
      <c r="CJ42" s="922"/>
      <c r="CK42" s="922"/>
      <c r="CL42" s="922"/>
      <c r="CM42" s="922"/>
      <c r="CN42" s="922"/>
      <c r="CO42" s="922"/>
      <c r="CP42" s="922"/>
      <c r="CQ42" s="922"/>
      <c r="CR42" s="922"/>
      <c r="CS42" s="922"/>
      <c r="CT42" s="922"/>
      <c r="CU42" s="922"/>
      <c r="CV42" s="922"/>
      <c r="CW42" s="922"/>
      <c r="CX42" s="922"/>
      <c r="CY42" s="922"/>
      <c r="CZ42" s="922"/>
      <c r="DA42" s="922"/>
      <c r="DB42" s="922"/>
      <c r="DC42" s="922"/>
      <c r="DD42" s="922"/>
      <c r="DE42" s="922"/>
      <c r="DF42" s="922"/>
      <c r="DG42" s="922"/>
      <c r="DH42" s="922"/>
      <c r="DI42" s="922"/>
      <c r="DJ42" s="922"/>
      <c r="DK42" s="922"/>
      <c r="DL42" s="922"/>
      <c r="DM42" s="922"/>
      <c r="DN42" s="922"/>
      <c r="DO42" s="922"/>
      <c r="DP42" s="922"/>
      <c r="DQ42" s="922"/>
      <c r="DR42" s="922"/>
      <c r="DS42" s="922"/>
      <c r="DT42" s="922"/>
      <c r="DU42" s="922"/>
      <c r="DV42" s="922"/>
      <c r="DW42" s="922"/>
      <c r="DX42" s="922"/>
      <c r="DY42" s="922"/>
      <c r="DZ42" s="922"/>
      <c r="EA42" s="922"/>
      <c r="EB42" s="922"/>
      <c r="EC42" s="922"/>
      <c r="ED42" s="922"/>
      <c r="EE42" s="922"/>
      <c r="EF42" s="922"/>
      <c r="EG42" s="922"/>
      <c r="EH42" s="922"/>
      <c r="EI42" s="922"/>
      <c r="EJ42" s="922"/>
      <c r="EK42" s="922"/>
      <c r="EL42" s="922"/>
      <c r="EM42" s="922"/>
      <c r="EN42" s="922"/>
      <c r="EO42" s="922"/>
      <c r="EP42" s="922"/>
      <c r="EQ42" s="922"/>
      <c r="ER42" s="922"/>
      <c r="ES42" s="922"/>
      <c r="ET42" s="922"/>
      <c r="EU42" s="922"/>
      <c r="EV42" s="922"/>
      <c r="EW42" s="922"/>
      <c r="EX42" s="922"/>
      <c r="EY42" s="922"/>
      <c r="EZ42" s="922"/>
      <c r="FA42" s="922"/>
      <c r="FB42" s="922"/>
      <c r="FC42" s="922"/>
      <c r="FD42" s="922"/>
      <c r="FE42" s="922"/>
      <c r="FF42" s="922"/>
      <c r="FG42" s="922"/>
      <c r="FH42" s="922"/>
      <c r="FI42" s="922"/>
      <c r="FJ42" s="922"/>
      <c r="FK42" s="922"/>
      <c r="FL42" s="922"/>
      <c r="FM42" s="922"/>
      <c r="FN42" s="922"/>
      <c r="FO42" s="922"/>
      <c r="FP42" s="922"/>
      <c r="FQ42" s="922"/>
      <c r="FR42" s="922"/>
      <c r="FS42" s="922"/>
      <c r="FT42" s="922"/>
      <c r="FU42" s="922"/>
      <c r="FV42" s="922"/>
      <c r="FW42" s="922"/>
      <c r="FX42" s="922"/>
      <c r="FY42" s="922"/>
      <c r="FZ42" s="922"/>
      <c r="GA42" s="922"/>
      <c r="GB42" s="922"/>
      <c r="GC42" s="922"/>
      <c r="GD42" s="922"/>
      <c r="GE42" s="922"/>
      <c r="GF42" s="922"/>
      <c r="GG42" s="922"/>
      <c r="GH42" s="922"/>
      <c r="GI42" s="922"/>
      <c r="GJ42" s="922"/>
      <c r="GK42" s="922"/>
      <c r="GL42" s="922"/>
      <c r="GM42" s="922"/>
      <c r="GN42" s="922"/>
      <c r="GO42" s="922"/>
      <c r="GP42" s="922"/>
      <c r="GQ42" s="922"/>
      <c r="GR42" s="922"/>
      <c r="GS42" s="922"/>
      <c r="GT42" s="922"/>
      <c r="GU42" s="922"/>
      <c r="GV42" s="922"/>
      <c r="GW42" s="922"/>
      <c r="GX42" s="922"/>
      <c r="GY42" s="922"/>
      <c r="GZ42" s="922"/>
      <c r="HA42" s="922"/>
      <c r="HB42" s="922"/>
      <c r="HC42" s="922"/>
      <c r="HD42" s="922"/>
      <c r="HE42" s="922"/>
      <c r="HF42" s="922"/>
      <c r="HG42" s="922"/>
      <c r="HH42" s="922"/>
      <c r="HI42" s="922"/>
      <c r="HJ42" s="922"/>
      <c r="HK42" s="922"/>
      <c r="HL42" s="922"/>
      <c r="HM42" s="922"/>
      <c r="HN42" s="922"/>
      <c r="HO42" s="922"/>
      <c r="HP42" s="922"/>
      <c r="HQ42" s="922"/>
      <c r="HR42" s="922"/>
      <c r="HS42" s="922"/>
      <c r="HT42" s="922"/>
      <c r="HU42" s="922"/>
      <c r="HV42" s="922"/>
      <c r="HW42" s="922"/>
      <c r="HX42" s="922"/>
      <c r="HY42" s="922"/>
      <c r="HZ42" s="922"/>
      <c r="IA42" s="922"/>
      <c r="IB42" s="922"/>
      <c r="IC42" s="922"/>
      <c r="ID42" s="922"/>
      <c r="IE42" s="922"/>
      <c r="IF42" s="922"/>
      <c r="IG42" s="922"/>
      <c r="IH42" s="922"/>
      <c r="II42" s="922"/>
      <c r="IJ42" s="922"/>
      <c r="IK42" s="922"/>
    </row>
    <row r="43" spans="1:245" ht="38.25" customHeight="1">
      <c r="A43" s="923">
        <v>34</v>
      </c>
      <c r="B43" s="933" t="s">
        <v>1266</v>
      </c>
      <c r="C43" s="925" t="s">
        <v>1267</v>
      </c>
      <c r="D43" s="926">
        <f t="shared" si="2"/>
        <v>200</v>
      </c>
      <c r="E43" s="927"/>
      <c r="F43" s="927">
        <v>200</v>
      </c>
      <c r="G43" s="927"/>
      <c r="H43" s="928"/>
      <c r="I43" s="926"/>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2"/>
      <c r="AY43" s="922"/>
      <c r="AZ43" s="922"/>
      <c r="BA43" s="922"/>
      <c r="BB43" s="922"/>
      <c r="BC43" s="922"/>
      <c r="BD43" s="922"/>
      <c r="BE43" s="922"/>
      <c r="BF43" s="922"/>
      <c r="BG43" s="922"/>
      <c r="BH43" s="922"/>
      <c r="BI43" s="922"/>
      <c r="BJ43" s="922"/>
      <c r="BK43" s="922"/>
      <c r="BL43" s="922"/>
      <c r="BM43" s="922"/>
      <c r="BN43" s="922"/>
      <c r="BO43" s="922"/>
      <c r="BP43" s="922"/>
      <c r="BQ43" s="922"/>
      <c r="BR43" s="922"/>
      <c r="BS43" s="922"/>
      <c r="BT43" s="922"/>
      <c r="BU43" s="922"/>
      <c r="BV43" s="922"/>
      <c r="BW43" s="922"/>
      <c r="BX43" s="922"/>
      <c r="BY43" s="922"/>
      <c r="BZ43" s="922"/>
      <c r="CA43" s="922"/>
      <c r="CB43" s="922"/>
      <c r="CC43" s="922"/>
      <c r="CD43" s="922"/>
      <c r="CE43" s="922"/>
      <c r="CF43" s="922"/>
      <c r="CG43" s="922"/>
      <c r="CH43" s="922"/>
      <c r="CI43" s="922"/>
      <c r="CJ43" s="922"/>
      <c r="CK43" s="922"/>
      <c r="CL43" s="922"/>
      <c r="CM43" s="922"/>
      <c r="CN43" s="922"/>
      <c r="CO43" s="922"/>
      <c r="CP43" s="922"/>
      <c r="CQ43" s="922"/>
      <c r="CR43" s="922"/>
      <c r="CS43" s="922"/>
      <c r="CT43" s="922"/>
      <c r="CU43" s="922"/>
      <c r="CV43" s="922"/>
      <c r="CW43" s="922"/>
      <c r="CX43" s="922"/>
      <c r="CY43" s="922"/>
      <c r="CZ43" s="922"/>
      <c r="DA43" s="922"/>
      <c r="DB43" s="922"/>
      <c r="DC43" s="922"/>
      <c r="DD43" s="922"/>
      <c r="DE43" s="922"/>
      <c r="DF43" s="922"/>
      <c r="DG43" s="922"/>
      <c r="DH43" s="922"/>
      <c r="DI43" s="922"/>
      <c r="DJ43" s="922"/>
      <c r="DK43" s="922"/>
      <c r="DL43" s="922"/>
      <c r="DM43" s="922"/>
      <c r="DN43" s="922"/>
      <c r="DO43" s="922"/>
      <c r="DP43" s="922"/>
      <c r="DQ43" s="922"/>
      <c r="DR43" s="922"/>
      <c r="DS43" s="922"/>
      <c r="DT43" s="922"/>
      <c r="DU43" s="922"/>
      <c r="DV43" s="922"/>
      <c r="DW43" s="922"/>
      <c r="DX43" s="922"/>
      <c r="DY43" s="922"/>
      <c r="DZ43" s="922"/>
      <c r="EA43" s="922"/>
      <c r="EB43" s="922"/>
      <c r="EC43" s="922"/>
      <c r="ED43" s="922"/>
      <c r="EE43" s="922"/>
      <c r="EF43" s="922"/>
      <c r="EG43" s="922"/>
      <c r="EH43" s="922"/>
      <c r="EI43" s="922"/>
      <c r="EJ43" s="922"/>
      <c r="EK43" s="922"/>
      <c r="EL43" s="922"/>
      <c r="EM43" s="922"/>
      <c r="EN43" s="922"/>
      <c r="EO43" s="922"/>
      <c r="EP43" s="922"/>
      <c r="EQ43" s="922"/>
      <c r="ER43" s="922"/>
      <c r="ES43" s="922"/>
      <c r="ET43" s="922"/>
      <c r="EU43" s="922"/>
      <c r="EV43" s="922"/>
      <c r="EW43" s="922"/>
      <c r="EX43" s="922"/>
      <c r="EY43" s="922"/>
      <c r="EZ43" s="922"/>
      <c r="FA43" s="922"/>
      <c r="FB43" s="922"/>
      <c r="FC43" s="922"/>
      <c r="FD43" s="922"/>
      <c r="FE43" s="922"/>
      <c r="FF43" s="922"/>
      <c r="FG43" s="922"/>
      <c r="FH43" s="922"/>
      <c r="FI43" s="922"/>
      <c r="FJ43" s="922"/>
      <c r="FK43" s="922"/>
      <c r="FL43" s="922"/>
      <c r="FM43" s="922"/>
      <c r="FN43" s="922"/>
      <c r="FO43" s="922"/>
      <c r="FP43" s="922"/>
      <c r="FQ43" s="922"/>
      <c r="FR43" s="922"/>
      <c r="FS43" s="922"/>
      <c r="FT43" s="922"/>
      <c r="FU43" s="922"/>
      <c r="FV43" s="922"/>
      <c r="FW43" s="922"/>
      <c r="FX43" s="922"/>
      <c r="FY43" s="922"/>
      <c r="FZ43" s="922"/>
      <c r="GA43" s="922"/>
      <c r="GB43" s="922"/>
      <c r="GC43" s="922"/>
      <c r="GD43" s="922"/>
      <c r="GE43" s="922"/>
      <c r="GF43" s="922"/>
      <c r="GG43" s="922"/>
      <c r="GH43" s="922"/>
      <c r="GI43" s="922"/>
      <c r="GJ43" s="922"/>
      <c r="GK43" s="922"/>
      <c r="GL43" s="922"/>
      <c r="GM43" s="922"/>
      <c r="GN43" s="922"/>
      <c r="GO43" s="922"/>
      <c r="GP43" s="922"/>
      <c r="GQ43" s="922"/>
      <c r="GR43" s="922"/>
      <c r="GS43" s="922"/>
      <c r="GT43" s="922"/>
      <c r="GU43" s="922"/>
      <c r="GV43" s="922"/>
      <c r="GW43" s="922"/>
      <c r="GX43" s="922"/>
      <c r="GY43" s="922"/>
      <c r="GZ43" s="922"/>
      <c r="HA43" s="922"/>
      <c r="HB43" s="922"/>
      <c r="HC43" s="922"/>
      <c r="HD43" s="922"/>
      <c r="HE43" s="922"/>
      <c r="HF43" s="922"/>
      <c r="HG43" s="922"/>
      <c r="HH43" s="922"/>
      <c r="HI43" s="922"/>
      <c r="HJ43" s="922"/>
      <c r="HK43" s="922"/>
      <c r="HL43" s="922"/>
      <c r="HM43" s="922"/>
      <c r="HN43" s="922"/>
      <c r="HO43" s="922"/>
      <c r="HP43" s="922"/>
      <c r="HQ43" s="922"/>
      <c r="HR43" s="922"/>
      <c r="HS43" s="922"/>
      <c r="HT43" s="922"/>
      <c r="HU43" s="922"/>
      <c r="HV43" s="922"/>
      <c r="HW43" s="922"/>
      <c r="HX43" s="922"/>
      <c r="HY43" s="922"/>
      <c r="HZ43" s="922"/>
      <c r="IA43" s="922"/>
      <c r="IB43" s="922"/>
      <c r="IC43" s="922"/>
      <c r="ID43" s="922"/>
      <c r="IE43" s="922"/>
      <c r="IF43" s="922"/>
      <c r="IG43" s="922"/>
      <c r="IH43" s="922"/>
      <c r="II43" s="922"/>
      <c r="IJ43" s="922"/>
      <c r="IK43" s="922"/>
    </row>
    <row r="44" spans="1:245" ht="24" customHeight="1">
      <c r="A44" s="923">
        <v>35</v>
      </c>
      <c r="B44" s="933" t="s">
        <v>1268</v>
      </c>
      <c r="C44" s="934">
        <v>4900227850</v>
      </c>
      <c r="D44" s="926">
        <f t="shared" si="2"/>
        <v>5120</v>
      </c>
      <c r="E44" s="927">
        <v>420</v>
      </c>
      <c r="F44" s="927">
        <v>2000</v>
      </c>
      <c r="G44" s="927"/>
      <c r="H44" s="928">
        <v>2700</v>
      </c>
      <c r="I44" s="926"/>
      <c r="J44" s="922"/>
      <c r="K44" s="922"/>
      <c r="L44" s="922"/>
      <c r="M44" s="922"/>
      <c r="N44" s="922"/>
      <c r="O44" s="922"/>
      <c r="P44" s="922"/>
      <c r="Q44" s="922"/>
      <c r="R44" s="922"/>
      <c r="S44" s="922"/>
      <c r="T44" s="922"/>
      <c r="U44" s="922"/>
      <c r="V44" s="922"/>
      <c r="W44" s="922"/>
      <c r="X44" s="922"/>
      <c r="Y44" s="922"/>
      <c r="Z44" s="922"/>
      <c r="AA44" s="922"/>
      <c r="AB44" s="922"/>
      <c r="AC44" s="922"/>
      <c r="AD44" s="922"/>
      <c r="AE44" s="922"/>
      <c r="AF44" s="922"/>
      <c r="AG44" s="922"/>
      <c r="AH44" s="922"/>
      <c r="AI44" s="922"/>
      <c r="AJ44" s="922"/>
      <c r="AK44" s="922"/>
      <c r="AL44" s="922"/>
      <c r="AM44" s="922"/>
      <c r="AN44" s="922"/>
      <c r="AO44" s="922"/>
      <c r="AP44" s="922"/>
      <c r="AQ44" s="922"/>
      <c r="AR44" s="922"/>
      <c r="AS44" s="922"/>
      <c r="AT44" s="922"/>
      <c r="AU44" s="922"/>
      <c r="AV44" s="922"/>
      <c r="AW44" s="922"/>
      <c r="AX44" s="922"/>
      <c r="AY44" s="922"/>
      <c r="AZ44" s="922"/>
      <c r="BA44" s="922"/>
      <c r="BB44" s="922"/>
      <c r="BC44" s="922"/>
      <c r="BD44" s="922"/>
      <c r="BE44" s="922"/>
      <c r="BF44" s="922"/>
      <c r="BG44" s="922"/>
      <c r="BH44" s="922"/>
      <c r="BI44" s="922"/>
      <c r="BJ44" s="922"/>
      <c r="BK44" s="922"/>
      <c r="BL44" s="922"/>
      <c r="BM44" s="922"/>
      <c r="BN44" s="922"/>
      <c r="BO44" s="922"/>
      <c r="BP44" s="922"/>
      <c r="BQ44" s="922"/>
      <c r="BR44" s="922"/>
      <c r="BS44" s="922"/>
      <c r="BT44" s="922"/>
      <c r="BU44" s="922"/>
      <c r="BV44" s="922"/>
      <c r="BW44" s="922"/>
      <c r="BX44" s="922"/>
      <c r="BY44" s="922"/>
      <c r="BZ44" s="922"/>
      <c r="CA44" s="922"/>
      <c r="CB44" s="922"/>
      <c r="CC44" s="922"/>
      <c r="CD44" s="922"/>
      <c r="CE44" s="922"/>
      <c r="CF44" s="922"/>
      <c r="CG44" s="922"/>
      <c r="CH44" s="922"/>
      <c r="CI44" s="922"/>
      <c r="CJ44" s="922"/>
      <c r="CK44" s="922"/>
      <c r="CL44" s="922"/>
      <c r="CM44" s="922"/>
      <c r="CN44" s="922"/>
      <c r="CO44" s="922"/>
      <c r="CP44" s="922"/>
      <c r="CQ44" s="922"/>
      <c r="CR44" s="922"/>
      <c r="CS44" s="922"/>
      <c r="CT44" s="922"/>
      <c r="CU44" s="922"/>
      <c r="CV44" s="922"/>
      <c r="CW44" s="922"/>
      <c r="CX44" s="922"/>
      <c r="CY44" s="922"/>
      <c r="CZ44" s="922"/>
      <c r="DA44" s="922"/>
      <c r="DB44" s="922"/>
      <c r="DC44" s="922"/>
      <c r="DD44" s="922"/>
      <c r="DE44" s="922"/>
      <c r="DF44" s="922"/>
      <c r="DG44" s="922"/>
      <c r="DH44" s="922"/>
      <c r="DI44" s="922"/>
      <c r="DJ44" s="922"/>
      <c r="DK44" s="922"/>
      <c r="DL44" s="922"/>
      <c r="DM44" s="922"/>
      <c r="DN44" s="922"/>
      <c r="DO44" s="922"/>
      <c r="DP44" s="922"/>
      <c r="DQ44" s="922"/>
      <c r="DR44" s="922"/>
      <c r="DS44" s="922"/>
      <c r="DT44" s="922"/>
      <c r="DU44" s="922"/>
      <c r="DV44" s="922"/>
      <c r="DW44" s="922"/>
      <c r="DX44" s="922"/>
      <c r="DY44" s="922"/>
      <c r="DZ44" s="922"/>
      <c r="EA44" s="922"/>
      <c r="EB44" s="922"/>
      <c r="EC44" s="922"/>
      <c r="ED44" s="922"/>
      <c r="EE44" s="922"/>
      <c r="EF44" s="922"/>
      <c r="EG44" s="922"/>
      <c r="EH44" s="922"/>
      <c r="EI44" s="922"/>
      <c r="EJ44" s="922"/>
      <c r="EK44" s="922"/>
      <c r="EL44" s="922"/>
      <c r="EM44" s="922"/>
      <c r="EN44" s="922"/>
      <c r="EO44" s="922"/>
      <c r="EP44" s="922"/>
      <c r="EQ44" s="922"/>
      <c r="ER44" s="922"/>
      <c r="ES44" s="922"/>
      <c r="ET44" s="922"/>
      <c r="EU44" s="922"/>
      <c r="EV44" s="922"/>
      <c r="EW44" s="922"/>
      <c r="EX44" s="922"/>
      <c r="EY44" s="922"/>
      <c r="EZ44" s="922"/>
      <c r="FA44" s="922"/>
      <c r="FB44" s="922"/>
      <c r="FC44" s="922"/>
      <c r="FD44" s="922"/>
      <c r="FE44" s="922"/>
      <c r="FF44" s="922"/>
      <c r="FG44" s="922"/>
      <c r="FH44" s="922"/>
      <c r="FI44" s="922"/>
      <c r="FJ44" s="922"/>
      <c r="FK44" s="922"/>
      <c r="FL44" s="922"/>
      <c r="FM44" s="922"/>
      <c r="FN44" s="922"/>
      <c r="FO44" s="922"/>
      <c r="FP44" s="922"/>
      <c r="FQ44" s="922"/>
      <c r="FR44" s="922"/>
      <c r="FS44" s="922"/>
      <c r="FT44" s="922"/>
      <c r="FU44" s="922"/>
      <c r="FV44" s="922"/>
      <c r="FW44" s="922"/>
      <c r="FX44" s="922"/>
      <c r="FY44" s="922"/>
      <c r="FZ44" s="922"/>
      <c r="GA44" s="922"/>
      <c r="GB44" s="922"/>
      <c r="GC44" s="922"/>
      <c r="GD44" s="922"/>
      <c r="GE44" s="922"/>
      <c r="GF44" s="922"/>
      <c r="GG44" s="922"/>
      <c r="GH44" s="922"/>
      <c r="GI44" s="922"/>
      <c r="GJ44" s="922"/>
      <c r="GK44" s="922"/>
      <c r="GL44" s="922"/>
      <c r="GM44" s="922"/>
      <c r="GN44" s="922"/>
      <c r="GO44" s="922"/>
      <c r="GP44" s="922"/>
      <c r="GQ44" s="922"/>
      <c r="GR44" s="922"/>
      <c r="GS44" s="922"/>
      <c r="GT44" s="922"/>
      <c r="GU44" s="922"/>
      <c r="GV44" s="922"/>
      <c r="GW44" s="922"/>
      <c r="GX44" s="922"/>
      <c r="GY44" s="922"/>
      <c r="GZ44" s="922"/>
      <c r="HA44" s="922"/>
      <c r="HB44" s="922"/>
      <c r="HC44" s="922"/>
      <c r="HD44" s="922"/>
      <c r="HE44" s="922"/>
      <c r="HF44" s="922"/>
      <c r="HG44" s="922"/>
      <c r="HH44" s="922"/>
      <c r="HI44" s="922"/>
      <c r="HJ44" s="922"/>
      <c r="HK44" s="922"/>
      <c r="HL44" s="922"/>
      <c r="HM44" s="922"/>
      <c r="HN44" s="922"/>
      <c r="HO44" s="922"/>
      <c r="HP44" s="922"/>
      <c r="HQ44" s="922"/>
      <c r="HR44" s="922"/>
      <c r="HS44" s="922"/>
      <c r="HT44" s="922"/>
      <c r="HU44" s="922"/>
      <c r="HV44" s="922"/>
      <c r="HW44" s="922"/>
      <c r="HX44" s="922"/>
      <c r="HY44" s="922"/>
      <c r="HZ44" s="922"/>
      <c r="IA44" s="922"/>
      <c r="IB44" s="922"/>
      <c r="IC44" s="922"/>
      <c r="ID44" s="922"/>
      <c r="IE44" s="922"/>
      <c r="IF44" s="922"/>
      <c r="IG44" s="922"/>
      <c r="IH44" s="922"/>
      <c r="II44" s="922"/>
      <c r="IJ44" s="922"/>
      <c r="IK44" s="922"/>
    </row>
    <row r="45" spans="1:245" ht="33" customHeight="1">
      <c r="A45" s="923">
        <v>36</v>
      </c>
      <c r="B45" s="924" t="s">
        <v>1269</v>
      </c>
      <c r="C45" s="934">
        <v>4900243394</v>
      </c>
      <c r="D45" s="926">
        <f t="shared" si="2"/>
        <v>4540</v>
      </c>
      <c r="E45" s="927">
        <v>240</v>
      </c>
      <c r="F45" s="927">
        <v>2000</v>
      </c>
      <c r="G45" s="927"/>
      <c r="H45" s="928">
        <v>2300</v>
      </c>
      <c r="I45" s="926"/>
      <c r="J45" s="935"/>
      <c r="K45" s="935"/>
      <c r="L45" s="935"/>
      <c r="M45" s="935"/>
      <c r="N45" s="935"/>
      <c r="O45" s="935"/>
      <c r="P45" s="935"/>
      <c r="Q45" s="935"/>
      <c r="R45" s="935"/>
      <c r="S45" s="935"/>
      <c r="T45" s="935"/>
      <c r="U45" s="935"/>
      <c r="V45" s="935"/>
      <c r="W45" s="935"/>
      <c r="X45" s="935"/>
      <c r="Y45" s="935"/>
      <c r="Z45" s="935"/>
      <c r="AA45" s="935"/>
      <c r="AB45" s="935"/>
      <c r="AC45" s="935"/>
      <c r="AD45" s="935"/>
      <c r="AE45" s="935"/>
      <c r="AF45" s="935"/>
      <c r="AG45" s="935"/>
      <c r="AH45" s="935"/>
      <c r="AI45" s="935"/>
      <c r="AJ45" s="935"/>
      <c r="AK45" s="935"/>
      <c r="AL45" s="935"/>
      <c r="AM45" s="935"/>
      <c r="AN45" s="935"/>
      <c r="AO45" s="935"/>
      <c r="AP45" s="935"/>
      <c r="AQ45" s="935"/>
      <c r="AR45" s="935"/>
      <c r="AS45" s="935"/>
      <c r="AT45" s="935"/>
      <c r="AU45" s="935"/>
      <c r="AV45" s="935"/>
      <c r="AW45" s="935"/>
      <c r="AX45" s="935"/>
      <c r="AY45" s="935"/>
      <c r="AZ45" s="935"/>
      <c r="BA45" s="935"/>
      <c r="BB45" s="935"/>
      <c r="BC45" s="935"/>
      <c r="BD45" s="935"/>
      <c r="BE45" s="935"/>
      <c r="BF45" s="935"/>
      <c r="BG45" s="935"/>
      <c r="BH45" s="935"/>
      <c r="BI45" s="935"/>
      <c r="BJ45" s="935"/>
      <c r="BK45" s="935"/>
      <c r="BL45" s="935"/>
      <c r="BM45" s="935"/>
      <c r="BN45" s="935"/>
      <c r="BO45" s="935"/>
      <c r="BP45" s="935"/>
      <c r="BQ45" s="935"/>
      <c r="BR45" s="935"/>
      <c r="BS45" s="935"/>
      <c r="BT45" s="935"/>
      <c r="BU45" s="935"/>
      <c r="BV45" s="935"/>
      <c r="BW45" s="935"/>
      <c r="BX45" s="935"/>
      <c r="BY45" s="935"/>
      <c r="BZ45" s="935"/>
      <c r="CA45" s="935"/>
      <c r="CB45" s="935"/>
      <c r="CC45" s="935"/>
      <c r="CD45" s="935"/>
      <c r="CE45" s="935"/>
      <c r="CF45" s="935"/>
      <c r="CG45" s="935"/>
      <c r="CH45" s="935"/>
      <c r="CI45" s="935"/>
      <c r="CJ45" s="935"/>
      <c r="CK45" s="935"/>
      <c r="CL45" s="935"/>
      <c r="CM45" s="935"/>
      <c r="CN45" s="935"/>
      <c r="CO45" s="935"/>
      <c r="CP45" s="935"/>
      <c r="CQ45" s="935"/>
      <c r="CR45" s="935"/>
      <c r="CS45" s="935"/>
      <c r="CT45" s="935"/>
      <c r="CU45" s="935"/>
      <c r="CV45" s="935"/>
      <c r="CW45" s="935"/>
      <c r="CX45" s="935"/>
      <c r="CY45" s="935"/>
      <c r="CZ45" s="935"/>
      <c r="DA45" s="935"/>
      <c r="DB45" s="935"/>
      <c r="DC45" s="935"/>
      <c r="DD45" s="935"/>
      <c r="DE45" s="935"/>
      <c r="DF45" s="935"/>
      <c r="DG45" s="935"/>
      <c r="DH45" s="935"/>
      <c r="DI45" s="935"/>
      <c r="DJ45" s="935"/>
      <c r="DK45" s="935"/>
      <c r="DL45" s="935"/>
      <c r="DM45" s="935"/>
      <c r="DN45" s="935"/>
      <c r="DO45" s="935"/>
      <c r="DP45" s="935"/>
      <c r="DQ45" s="935"/>
      <c r="DR45" s="935"/>
      <c r="DS45" s="935"/>
      <c r="DT45" s="935"/>
      <c r="DU45" s="935"/>
      <c r="DV45" s="935"/>
      <c r="DW45" s="935"/>
      <c r="DX45" s="935"/>
      <c r="DY45" s="935"/>
      <c r="DZ45" s="935"/>
      <c r="EA45" s="935"/>
      <c r="EB45" s="935"/>
      <c r="EC45" s="935"/>
      <c r="ED45" s="935"/>
      <c r="EE45" s="935"/>
      <c r="EF45" s="935"/>
      <c r="EG45" s="935"/>
      <c r="EH45" s="935"/>
      <c r="EI45" s="935"/>
      <c r="EJ45" s="935"/>
      <c r="EK45" s="935"/>
      <c r="EL45" s="935"/>
      <c r="EM45" s="935"/>
      <c r="EN45" s="935"/>
      <c r="EO45" s="935"/>
      <c r="EP45" s="935"/>
      <c r="EQ45" s="935"/>
      <c r="ER45" s="935"/>
      <c r="ES45" s="935"/>
      <c r="ET45" s="935"/>
      <c r="EU45" s="935"/>
      <c r="EV45" s="935"/>
      <c r="EW45" s="935"/>
      <c r="EX45" s="935"/>
      <c r="EY45" s="935"/>
      <c r="EZ45" s="935"/>
      <c r="FA45" s="935"/>
      <c r="FB45" s="935"/>
      <c r="FC45" s="935"/>
      <c r="FD45" s="935"/>
      <c r="FE45" s="935"/>
      <c r="FF45" s="935"/>
      <c r="FG45" s="935"/>
      <c r="FH45" s="935"/>
      <c r="FI45" s="935"/>
      <c r="FJ45" s="935"/>
      <c r="FK45" s="935"/>
      <c r="FL45" s="935"/>
      <c r="FM45" s="935"/>
      <c r="FN45" s="935"/>
      <c r="FO45" s="935"/>
      <c r="FP45" s="935"/>
      <c r="FQ45" s="935"/>
      <c r="FR45" s="935"/>
      <c r="FS45" s="935"/>
      <c r="FT45" s="935"/>
      <c r="FU45" s="935"/>
      <c r="FV45" s="935"/>
      <c r="FW45" s="935"/>
      <c r="FX45" s="935"/>
      <c r="FY45" s="935"/>
      <c r="FZ45" s="935"/>
      <c r="GA45" s="935"/>
      <c r="GB45" s="935"/>
      <c r="GC45" s="935"/>
      <c r="GD45" s="935"/>
      <c r="GE45" s="935"/>
      <c r="GF45" s="935"/>
      <c r="GG45" s="935"/>
      <c r="GH45" s="935"/>
      <c r="GI45" s="935"/>
      <c r="GJ45" s="935"/>
      <c r="GK45" s="935"/>
      <c r="GL45" s="935"/>
      <c r="GM45" s="935"/>
      <c r="GN45" s="935"/>
      <c r="GO45" s="935"/>
      <c r="GP45" s="935"/>
      <c r="GQ45" s="935"/>
      <c r="GR45" s="935"/>
      <c r="GS45" s="935"/>
      <c r="GT45" s="935"/>
      <c r="GU45" s="935"/>
      <c r="GV45" s="935"/>
      <c r="GW45" s="935"/>
      <c r="GX45" s="935"/>
      <c r="GY45" s="935"/>
      <c r="GZ45" s="935"/>
      <c r="HA45" s="935"/>
      <c r="HB45" s="935"/>
      <c r="HC45" s="935"/>
      <c r="HD45" s="935"/>
      <c r="HE45" s="935"/>
      <c r="HF45" s="935"/>
      <c r="HG45" s="935"/>
      <c r="HH45" s="935"/>
      <c r="HI45" s="935"/>
      <c r="HJ45" s="935"/>
      <c r="HK45" s="935"/>
      <c r="HL45" s="935"/>
      <c r="HM45" s="935"/>
      <c r="HN45" s="935"/>
      <c r="HO45" s="935"/>
      <c r="HP45" s="935"/>
      <c r="HQ45" s="935"/>
      <c r="HR45" s="935"/>
      <c r="HS45" s="935"/>
      <c r="HT45" s="935"/>
      <c r="HU45" s="935"/>
      <c r="HV45" s="935"/>
      <c r="HW45" s="935"/>
      <c r="HX45" s="935"/>
      <c r="HY45" s="935"/>
      <c r="HZ45" s="935"/>
      <c r="IA45" s="935"/>
      <c r="IB45" s="935"/>
      <c r="IC45" s="935"/>
      <c r="ID45" s="935"/>
      <c r="IE45" s="935"/>
      <c r="IF45" s="935"/>
      <c r="IG45" s="935"/>
      <c r="IH45" s="935"/>
      <c r="II45" s="935"/>
      <c r="IJ45" s="935"/>
      <c r="IK45" s="935"/>
    </row>
    <row r="46" spans="1:245" ht="24" customHeight="1">
      <c r="A46" s="923">
        <v>37</v>
      </c>
      <c r="B46" s="933" t="s">
        <v>1475</v>
      </c>
      <c r="C46" s="934">
        <v>4900266031</v>
      </c>
      <c r="D46" s="926">
        <f t="shared" si="2"/>
        <v>4500</v>
      </c>
      <c r="E46" s="928"/>
      <c r="F46" s="927">
        <v>4500</v>
      </c>
      <c r="G46" s="926"/>
      <c r="H46" s="928"/>
      <c r="I46" s="926"/>
      <c r="J46" s="936"/>
      <c r="K46" s="936"/>
      <c r="L46" s="936"/>
      <c r="M46" s="936"/>
      <c r="N46" s="936"/>
      <c r="O46" s="936"/>
      <c r="P46" s="936"/>
      <c r="Q46" s="936"/>
      <c r="R46" s="936"/>
      <c r="S46" s="936"/>
      <c r="T46" s="936"/>
      <c r="U46" s="936"/>
      <c r="V46" s="936"/>
      <c r="W46" s="936"/>
      <c r="X46" s="936"/>
      <c r="Y46" s="936"/>
      <c r="Z46" s="936"/>
      <c r="AA46" s="936"/>
      <c r="AB46" s="936"/>
      <c r="AC46" s="936"/>
      <c r="AD46" s="936"/>
      <c r="AE46" s="936"/>
      <c r="AF46" s="936"/>
      <c r="AG46" s="936"/>
      <c r="AH46" s="936"/>
      <c r="AI46" s="936"/>
      <c r="AJ46" s="936"/>
      <c r="AK46" s="936"/>
      <c r="AL46" s="936"/>
      <c r="AM46" s="936"/>
      <c r="AN46" s="936"/>
      <c r="AO46" s="936"/>
      <c r="AP46" s="936"/>
      <c r="AQ46" s="936"/>
      <c r="AR46" s="936"/>
      <c r="AS46" s="936"/>
      <c r="AT46" s="936"/>
      <c r="AU46" s="936"/>
      <c r="AV46" s="936"/>
      <c r="AW46" s="936"/>
      <c r="AX46" s="936"/>
      <c r="AY46" s="936"/>
      <c r="AZ46" s="936"/>
      <c r="BA46" s="936"/>
      <c r="BB46" s="936"/>
      <c r="BC46" s="936"/>
      <c r="BD46" s="936"/>
      <c r="BE46" s="936"/>
      <c r="BF46" s="936"/>
      <c r="BG46" s="936"/>
      <c r="BH46" s="936"/>
      <c r="BI46" s="936"/>
      <c r="BJ46" s="936"/>
      <c r="BK46" s="936"/>
      <c r="BL46" s="936"/>
      <c r="BM46" s="936"/>
      <c r="BN46" s="936"/>
      <c r="BO46" s="936"/>
      <c r="BP46" s="936"/>
      <c r="BQ46" s="936"/>
      <c r="BR46" s="936"/>
      <c r="BS46" s="936"/>
      <c r="BT46" s="936"/>
      <c r="BU46" s="936"/>
      <c r="BV46" s="936"/>
      <c r="BW46" s="936"/>
      <c r="BX46" s="936"/>
      <c r="BY46" s="936"/>
      <c r="BZ46" s="936"/>
      <c r="CA46" s="936"/>
      <c r="CB46" s="936"/>
      <c r="CC46" s="936"/>
      <c r="CD46" s="936"/>
      <c r="CE46" s="936"/>
      <c r="CF46" s="936"/>
      <c r="CG46" s="936"/>
      <c r="CH46" s="936"/>
      <c r="CI46" s="936"/>
      <c r="CJ46" s="936"/>
      <c r="CK46" s="936"/>
      <c r="CL46" s="936"/>
      <c r="CM46" s="936"/>
      <c r="CN46" s="936"/>
      <c r="CO46" s="936"/>
      <c r="CP46" s="936"/>
      <c r="CQ46" s="936"/>
      <c r="CR46" s="936"/>
      <c r="CS46" s="936"/>
      <c r="CT46" s="936"/>
      <c r="CU46" s="936"/>
      <c r="CV46" s="936"/>
      <c r="CW46" s="936"/>
      <c r="CX46" s="936"/>
      <c r="CY46" s="936"/>
      <c r="CZ46" s="936"/>
      <c r="DA46" s="936"/>
      <c r="DB46" s="936"/>
      <c r="DC46" s="936"/>
      <c r="DD46" s="936"/>
      <c r="DE46" s="936"/>
      <c r="DF46" s="936"/>
      <c r="DG46" s="936"/>
      <c r="DH46" s="936"/>
      <c r="DI46" s="936"/>
      <c r="DJ46" s="936"/>
      <c r="DK46" s="936"/>
      <c r="DL46" s="936"/>
      <c r="DM46" s="936"/>
      <c r="DN46" s="936"/>
      <c r="DO46" s="936"/>
      <c r="DP46" s="936"/>
      <c r="DQ46" s="936"/>
      <c r="DR46" s="936"/>
      <c r="DS46" s="936"/>
      <c r="DT46" s="936"/>
      <c r="DU46" s="936"/>
      <c r="DV46" s="936"/>
      <c r="DW46" s="936"/>
      <c r="DX46" s="936"/>
      <c r="DY46" s="936"/>
      <c r="DZ46" s="936"/>
      <c r="EA46" s="936"/>
      <c r="EB46" s="936"/>
      <c r="EC46" s="936"/>
      <c r="ED46" s="936"/>
      <c r="EE46" s="936"/>
      <c r="EF46" s="936"/>
      <c r="EG46" s="936"/>
      <c r="EH46" s="936"/>
      <c r="EI46" s="936"/>
      <c r="EJ46" s="936"/>
      <c r="EK46" s="936"/>
      <c r="EL46" s="936"/>
      <c r="EM46" s="936"/>
      <c r="EN46" s="936"/>
      <c r="EO46" s="936"/>
      <c r="EP46" s="936"/>
      <c r="EQ46" s="936"/>
      <c r="ER46" s="936"/>
      <c r="ES46" s="936"/>
      <c r="ET46" s="936"/>
      <c r="EU46" s="936"/>
      <c r="EV46" s="936"/>
      <c r="EW46" s="936"/>
      <c r="EX46" s="936"/>
      <c r="EY46" s="936"/>
      <c r="EZ46" s="936"/>
      <c r="FA46" s="936"/>
      <c r="FB46" s="936"/>
      <c r="FC46" s="936"/>
      <c r="FD46" s="936"/>
      <c r="FE46" s="936"/>
      <c r="FF46" s="936"/>
      <c r="FG46" s="936"/>
      <c r="FH46" s="936"/>
      <c r="FI46" s="936"/>
      <c r="FJ46" s="936"/>
      <c r="FK46" s="936"/>
      <c r="FL46" s="936"/>
      <c r="FM46" s="936"/>
      <c r="FN46" s="936"/>
      <c r="FO46" s="936"/>
      <c r="FP46" s="936"/>
      <c r="FQ46" s="936"/>
      <c r="FR46" s="936"/>
      <c r="FS46" s="936"/>
      <c r="FT46" s="936"/>
      <c r="FU46" s="936"/>
      <c r="FV46" s="936"/>
      <c r="FW46" s="936"/>
      <c r="FX46" s="936"/>
      <c r="FY46" s="936"/>
      <c r="FZ46" s="936"/>
      <c r="GA46" s="936"/>
      <c r="GB46" s="936"/>
      <c r="GC46" s="936"/>
      <c r="GD46" s="936"/>
      <c r="GE46" s="936"/>
      <c r="GF46" s="936"/>
      <c r="GG46" s="936"/>
      <c r="GH46" s="936"/>
      <c r="GI46" s="936"/>
      <c r="GJ46" s="936"/>
      <c r="GK46" s="936"/>
      <c r="GL46" s="936"/>
      <c r="GM46" s="936"/>
      <c r="GN46" s="936"/>
      <c r="GO46" s="936"/>
      <c r="GP46" s="936"/>
      <c r="GQ46" s="936"/>
      <c r="GR46" s="936"/>
      <c r="GS46" s="936"/>
      <c r="GT46" s="936"/>
      <c r="GU46" s="936"/>
      <c r="GV46" s="936"/>
      <c r="GW46" s="936"/>
      <c r="GX46" s="936"/>
      <c r="GY46" s="936"/>
      <c r="GZ46" s="936"/>
      <c r="HA46" s="936"/>
      <c r="HB46" s="936"/>
      <c r="HC46" s="936"/>
      <c r="HD46" s="936"/>
      <c r="HE46" s="936"/>
      <c r="HF46" s="936"/>
      <c r="HG46" s="936"/>
      <c r="HH46" s="936"/>
      <c r="HI46" s="936"/>
      <c r="HJ46" s="936"/>
      <c r="HK46" s="936"/>
      <c r="HL46" s="936"/>
      <c r="HM46" s="936"/>
      <c r="HN46" s="936"/>
      <c r="HO46" s="936"/>
      <c r="HP46" s="936"/>
      <c r="HQ46" s="936"/>
      <c r="HR46" s="936"/>
      <c r="HS46" s="936"/>
      <c r="HT46" s="936"/>
      <c r="HU46" s="936"/>
      <c r="HV46" s="936"/>
      <c r="HW46" s="936"/>
      <c r="HX46" s="936"/>
      <c r="HY46" s="936"/>
      <c r="HZ46" s="936"/>
      <c r="IA46" s="936"/>
      <c r="IB46" s="936"/>
      <c r="IC46" s="936"/>
      <c r="ID46" s="936"/>
      <c r="IE46" s="936"/>
      <c r="IF46" s="936"/>
      <c r="IG46" s="936"/>
      <c r="IH46" s="936"/>
      <c r="II46" s="936"/>
      <c r="IJ46" s="936"/>
      <c r="IK46" s="936"/>
    </row>
    <row r="47" spans="1:245" ht="24" customHeight="1">
      <c r="A47" s="923">
        <v>38</v>
      </c>
      <c r="B47" s="937" t="s">
        <v>1270</v>
      </c>
      <c r="C47" s="925"/>
      <c r="D47" s="926">
        <f t="shared" si="2"/>
        <v>56036</v>
      </c>
      <c r="E47" s="928">
        <f>846+8300+4550</f>
        <v>13696</v>
      </c>
      <c r="F47" s="927">
        <f>27840+4100+150+250</f>
        <v>32340</v>
      </c>
      <c r="G47" s="926"/>
      <c r="H47" s="928"/>
      <c r="I47" s="926">
        <v>10000</v>
      </c>
      <c r="J47" s="936"/>
      <c r="K47" s="936"/>
      <c r="L47" s="936"/>
      <c r="M47" s="936"/>
      <c r="N47" s="936"/>
      <c r="O47" s="936"/>
      <c r="P47" s="936"/>
      <c r="Q47" s="936"/>
      <c r="R47" s="936"/>
      <c r="S47" s="936"/>
      <c r="T47" s="936"/>
      <c r="U47" s="936"/>
      <c r="V47" s="936"/>
      <c r="W47" s="936"/>
      <c r="X47" s="936"/>
      <c r="Y47" s="936"/>
      <c r="Z47" s="936"/>
      <c r="AA47" s="936"/>
      <c r="AB47" s="936"/>
      <c r="AC47" s="936"/>
      <c r="AD47" s="936"/>
      <c r="AE47" s="936"/>
      <c r="AF47" s="936"/>
      <c r="AG47" s="936"/>
      <c r="AH47" s="936"/>
      <c r="AI47" s="936"/>
      <c r="AJ47" s="936"/>
      <c r="AK47" s="936"/>
      <c r="AL47" s="936"/>
      <c r="AM47" s="936"/>
      <c r="AN47" s="936"/>
      <c r="AO47" s="936"/>
      <c r="AP47" s="936"/>
      <c r="AQ47" s="936"/>
      <c r="AR47" s="936"/>
      <c r="AS47" s="936"/>
      <c r="AT47" s="936"/>
      <c r="AU47" s="936"/>
      <c r="AV47" s="936"/>
      <c r="AW47" s="936"/>
      <c r="AX47" s="936"/>
      <c r="AY47" s="936"/>
      <c r="AZ47" s="936"/>
      <c r="BA47" s="936"/>
      <c r="BB47" s="936"/>
      <c r="BC47" s="936"/>
      <c r="BD47" s="936"/>
      <c r="BE47" s="936"/>
      <c r="BF47" s="936"/>
      <c r="BG47" s="936"/>
      <c r="BH47" s="936"/>
      <c r="BI47" s="936"/>
      <c r="BJ47" s="936"/>
      <c r="BK47" s="936"/>
      <c r="BL47" s="936"/>
      <c r="BM47" s="936"/>
      <c r="BN47" s="936"/>
      <c r="BO47" s="936"/>
      <c r="BP47" s="936"/>
      <c r="BQ47" s="936"/>
      <c r="BR47" s="936"/>
      <c r="BS47" s="936"/>
      <c r="BT47" s="936"/>
      <c r="BU47" s="936"/>
      <c r="BV47" s="936"/>
      <c r="BW47" s="936"/>
      <c r="BX47" s="936"/>
      <c r="BY47" s="936"/>
      <c r="BZ47" s="936"/>
      <c r="CA47" s="936"/>
      <c r="CB47" s="936"/>
      <c r="CC47" s="936"/>
      <c r="CD47" s="936"/>
      <c r="CE47" s="936"/>
      <c r="CF47" s="936"/>
      <c r="CG47" s="936"/>
      <c r="CH47" s="936"/>
      <c r="CI47" s="936"/>
      <c r="CJ47" s="936"/>
      <c r="CK47" s="936"/>
      <c r="CL47" s="936"/>
      <c r="CM47" s="936"/>
      <c r="CN47" s="936"/>
      <c r="CO47" s="936"/>
      <c r="CP47" s="936"/>
      <c r="CQ47" s="936"/>
      <c r="CR47" s="936"/>
      <c r="CS47" s="936"/>
      <c r="CT47" s="936"/>
      <c r="CU47" s="936"/>
      <c r="CV47" s="936"/>
      <c r="CW47" s="936"/>
      <c r="CX47" s="936"/>
      <c r="CY47" s="936"/>
      <c r="CZ47" s="936"/>
      <c r="DA47" s="936"/>
      <c r="DB47" s="936"/>
      <c r="DC47" s="936"/>
      <c r="DD47" s="936"/>
      <c r="DE47" s="936"/>
      <c r="DF47" s="936"/>
      <c r="DG47" s="936"/>
      <c r="DH47" s="936"/>
      <c r="DI47" s="936"/>
      <c r="DJ47" s="936"/>
      <c r="DK47" s="936"/>
      <c r="DL47" s="936"/>
      <c r="DM47" s="936"/>
      <c r="DN47" s="936"/>
      <c r="DO47" s="936"/>
      <c r="DP47" s="936"/>
      <c r="DQ47" s="936"/>
      <c r="DR47" s="936"/>
      <c r="DS47" s="936"/>
      <c r="DT47" s="936"/>
      <c r="DU47" s="936"/>
      <c r="DV47" s="936"/>
      <c r="DW47" s="936"/>
      <c r="DX47" s="936"/>
      <c r="DY47" s="936"/>
      <c r="DZ47" s="936"/>
      <c r="EA47" s="936"/>
      <c r="EB47" s="936"/>
      <c r="EC47" s="936"/>
      <c r="ED47" s="936"/>
      <c r="EE47" s="936"/>
      <c r="EF47" s="936"/>
      <c r="EG47" s="936"/>
      <c r="EH47" s="936"/>
      <c r="EI47" s="936"/>
      <c r="EJ47" s="936"/>
      <c r="EK47" s="936"/>
      <c r="EL47" s="936"/>
      <c r="EM47" s="936"/>
      <c r="EN47" s="936"/>
      <c r="EO47" s="936"/>
      <c r="EP47" s="936"/>
      <c r="EQ47" s="936"/>
      <c r="ER47" s="936"/>
      <c r="ES47" s="936"/>
      <c r="ET47" s="936"/>
      <c r="EU47" s="936"/>
      <c r="EV47" s="936"/>
      <c r="EW47" s="936"/>
      <c r="EX47" s="936"/>
      <c r="EY47" s="936"/>
      <c r="EZ47" s="936"/>
      <c r="FA47" s="936"/>
      <c r="FB47" s="936"/>
      <c r="FC47" s="936"/>
      <c r="FD47" s="936"/>
      <c r="FE47" s="936"/>
      <c r="FF47" s="936"/>
      <c r="FG47" s="936"/>
      <c r="FH47" s="936"/>
      <c r="FI47" s="936"/>
      <c r="FJ47" s="936"/>
      <c r="FK47" s="936"/>
      <c r="FL47" s="936"/>
      <c r="FM47" s="936"/>
      <c r="FN47" s="936"/>
      <c r="FO47" s="936"/>
      <c r="FP47" s="936"/>
      <c r="FQ47" s="936"/>
      <c r="FR47" s="936"/>
      <c r="FS47" s="936"/>
      <c r="FT47" s="936"/>
      <c r="FU47" s="936"/>
      <c r="FV47" s="936"/>
      <c r="FW47" s="936"/>
      <c r="FX47" s="936"/>
      <c r="FY47" s="936"/>
      <c r="FZ47" s="936"/>
      <c r="GA47" s="936"/>
      <c r="GB47" s="936"/>
      <c r="GC47" s="936"/>
      <c r="GD47" s="936"/>
      <c r="GE47" s="936"/>
      <c r="GF47" s="936"/>
      <c r="GG47" s="936"/>
      <c r="GH47" s="936"/>
      <c r="GI47" s="936"/>
      <c r="GJ47" s="936"/>
      <c r="GK47" s="936"/>
      <c r="GL47" s="936"/>
      <c r="GM47" s="936"/>
      <c r="GN47" s="936"/>
      <c r="GO47" s="936"/>
      <c r="GP47" s="936"/>
      <c r="GQ47" s="936"/>
      <c r="GR47" s="936"/>
      <c r="GS47" s="936"/>
      <c r="GT47" s="936"/>
      <c r="GU47" s="936"/>
      <c r="GV47" s="936"/>
      <c r="GW47" s="936"/>
      <c r="GX47" s="936"/>
      <c r="GY47" s="936"/>
      <c r="GZ47" s="936"/>
      <c r="HA47" s="936"/>
      <c r="HB47" s="936"/>
      <c r="HC47" s="936"/>
      <c r="HD47" s="936"/>
      <c r="HE47" s="936"/>
      <c r="HF47" s="936"/>
      <c r="HG47" s="936"/>
      <c r="HH47" s="936"/>
      <c r="HI47" s="936"/>
      <c r="HJ47" s="936"/>
      <c r="HK47" s="936"/>
      <c r="HL47" s="936"/>
      <c r="HM47" s="936"/>
      <c r="HN47" s="936"/>
      <c r="HO47" s="936"/>
      <c r="HP47" s="936"/>
      <c r="HQ47" s="936"/>
      <c r="HR47" s="936"/>
      <c r="HS47" s="936"/>
      <c r="HT47" s="936"/>
      <c r="HU47" s="936"/>
      <c r="HV47" s="936"/>
      <c r="HW47" s="936"/>
      <c r="HX47" s="936"/>
      <c r="HY47" s="936"/>
      <c r="HZ47" s="936"/>
      <c r="IA47" s="936"/>
      <c r="IB47" s="936"/>
      <c r="IC47" s="936"/>
      <c r="ID47" s="936"/>
      <c r="IE47" s="936"/>
      <c r="IF47" s="936"/>
      <c r="IG47" s="936"/>
      <c r="IH47" s="936"/>
      <c r="II47" s="936"/>
      <c r="IJ47" s="936"/>
      <c r="IK47" s="936"/>
    </row>
    <row r="48" spans="1:245" s="942" customFormat="1" ht="24" customHeight="1">
      <c r="A48" s="938" t="s">
        <v>2</v>
      </c>
      <c r="B48" s="939" t="s">
        <v>1271</v>
      </c>
      <c r="C48" s="940"/>
      <c r="D48" s="941">
        <f>SUM(D49:D79)</f>
        <v>32999.547308544978</v>
      </c>
      <c r="E48" s="941">
        <f t="shared" ref="E48:I48" si="3">SUM(E49:E79)</f>
        <v>10499.547308544978</v>
      </c>
      <c r="F48" s="941">
        <f t="shared" si="3"/>
        <v>19300</v>
      </c>
      <c r="G48" s="941">
        <f t="shared" si="3"/>
        <v>0</v>
      </c>
      <c r="H48" s="941">
        <f t="shared" si="3"/>
        <v>3200</v>
      </c>
      <c r="I48" s="941">
        <f t="shared" si="3"/>
        <v>0</v>
      </c>
      <c r="J48" s="936"/>
      <c r="K48" s="936"/>
      <c r="L48" s="936"/>
      <c r="M48" s="936"/>
      <c r="N48" s="936"/>
      <c r="O48" s="936"/>
      <c r="P48" s="936"/>
      <c r="Q48" s="936"/>
      <c r="R48" s="936"/>
      <c r="S48" s="936"/>
      <c r="T48" s="936"/>
      <c r="U48" s="936"/>
      <c r="V48" s="936"/>
      <c r="W48" s="936"/>
      <c r="X48" s="936"/>
      <c r="Y48" s="936"/>
      <c r="Z48" s="936"/>
      <c r="AA48" s="936"/>
      <c r="AB48" s="936"/>
      <c r="AC48" s="936"/>
      <c r="AD48" s="936"/>
      <c r="AE48" s="936"/>
      <c r="AF48" s="936"/>
      <c r="AG48" s="936"/>
      <c r="AH48" s="936"/>
      <c r="AI48" s="936"/>
      <c r="AJ48" s="936"/>
      <c r="AK48" s="936"/>
      <c r="AL48" s="936"/>
      <c r="AM48" s="936"/>
      <c r="AN48" s="936"/>
      <c r="AO48" s="936"/>
      <c r="AP48" s="936"/>
      <c r="AQ48" s="936"/>
      <c r="AR48" s="936"/>
      <c r="AS48" s="936"/>
      <c r="AT48" s="936"/>
      <c r="AU48" s="936"/>
      <c r="AV48" s="936"/>
      <c r="AW48" s="936"/>
      <c r="AX48" s="936"/>
      <c r="AY48" s="936"/>
      <c r="AZ48" s="936"/>
      <c r="BA48" s="936"/>
      <c r="BB48" s="936"/>
      <c r="BC48" s="936"/>
      <c r="BD48" s="936"/>
      <c r="BE48" s="936"/>
      <c r="BF48" s="936"/>
      <c r="BG48" s="936"/>
      <c r="BH48" s="936"/>
      <c r="BI48" s="936"/>
      <c r="BJ48" s="936"/>
      <c r="BK48" s="936"/>
      <c r="BL48" s="936"/>
      <c r="BM48" s="936"/>
      <c r="BN48" s="936"/>
      <c r="BO48" s="936"/>
      <c r="BP48" s="936"/>
      <c r="BQ48" s="936"/>
      <c r="BR48" s="936"/>
      <c r="BS48" s="936"/>
      <c r="BT48" s="936"/>
      <c r="BU48" s="936"/>
      <c r="BV48" s="936"/>
      <c r="BW48" s="936"/>
      <c r="BX48" s="936"/>
      <c r="BY48" s="936"/>
      <c r="BZ48" s="936"/>
      <c r="CA48" s="936"/>
      <c r="CB48" s="936"/>
      <c r="CC48" s="936"/>
      <c r="CD48" s="936"/>
      <c r="CE48" s="936"/>
      <c r="CF48" s="936"/>
      <c r="CG48" s="936"/>
      <c r="CH48" s="936"/>
      <c r="CI48" s="936"/>
      <c r="CJ48" s="936"/>
      <c r="CK48" s="936"/>
      <c r="CL48" s="936"/>
      <c r="CM48" s="936"/>
      <c r="CN48" s="936"/>
      <c r="CO48" s="936"/>
      <c r="CP48" s="936"/>
      <c r="CQ48" s="936"/>
      <c r="CR48" s="936"/>
      <c r="CS48" s="936"/>
      <c r="CT48" s="936"/>
      <c r="CU48" s="936"/>
      <c r="CV48" s="936"/>
      <c r="CW48" s="936"/>
      <c r="CX48" s="936"/>
      <c r="CY48" s="936"/>
      <c r="CZ48" s="936"/>
      <c r="DA48" s="936"/>
      <c r="DB48" s="936"/>
      <c r="DC48" s="936"/>
      <c r="DD48" s="936"/>
      <c r="DE48" s="936"/>
      <c r="DF48" s="936"/>
      <c r="DG48" s="936"/>
      <c r="DH48" s="936"/>
      <c r="DI48" s="936"/>
      <c r="DJ48" s="936"/>
      <c r="DK48" s="936"/>
      <c r="DL48" s="936"/>
      <c r="DM48" s="936"/>
      <c r="DN48" s="936"/>
      <c r="DO48" s="936"/>
      <c r="DP48" s="936"/>
      <c r="DQ48" s="936"/>
      <c r="DR48" s="936"/>
      <c r="DS48" s="936"/>
      <c r="DT48" s="936"/>
      <c r="DU48" s="936"/>
      <c r="DV48" s="936"/>
      <c r="DW48" s="936"/>
      <c r="DX48" s="936"/>
      <c r="DY48" s="936"/>
      <c r="DZ48" s="936"/>
      <c r="EA48" s="936"/>
      <c r="EB48" s="936"/>
      <c r="EC48" s="936"/>
      <c r="ED48" s="936"/>
      <c r="EE48" s="936"/>
      <c r="EF48" s="936"/>
      <c r="EG48" s="936"/>
      <c r="EH48" s="936"/>
      <c r="EI48" s="936"/>
      <c r="EJ48" s="936"/>
      <c r="EK48" s="936"/>
      <c r="EL48" s="936"/>
      <c r="EM48" s="936"/>
      <c r="EN48" s="936"/>
      <c r="EO48" s="936"/>
      <c r="EP48" s="936"/>
      <c r="EQ48" s="936"/>
      <c r="ER48" s="936"/>
      <c r="ES48" s="936"/>
      <c r="ET48" s="936"/>
      <c r="EU48" s="936"/>
      <c r="EV48" s="936"/>
      <c r="EW48" s="936"/>
      <c r="EX48" s="936"/>
      <c r="EY48" s="936"/>
      <c r="EZ48" s="936"/>
      <c r="FA48" s="936"/>
      <c r="FB48" s="936"/>
      <c r="FC48" s="936"/>
      <c r="FD48" s="936"/>
      <c r="FE48" s="936"/>
      <c r="FF48" s="936"/>
      <c r="FG48" s="936"/>
      <c r="FH48" s="936"/>
      <c r="FI48" s="936"/>
      <c r="FJ48" s="936"/>
      <c r="FK48" s="936"/>
      <c r="FL48" s="936"/>
      <c r="FM48" s="936"/>
      <c r="FN48" s="936"/>
      <c r="FO48" s="936"/>
      <c r="FP48" s="936"/>
      <c r="FQ48" s="936"/>
      <c r="FR48" s="936"/>
      <c r="FS48" s="936"/>
      <c r="FT48" s="936"/>
      <c r="FU48" s="936"/>
      <c r="FV48" s="936"/>
      <c r="FW48" s="936"/>
      <c r="FX48" s="936"/>
      <c r="FY48" s="936"/>
      <c r="FZ48" s="936"/>
      <c r="GA48" s="936"/>
      <c r="GB48" s="936"/>
      <c r="GC48" s="936"/>
      <c r="GD48" s="936"/>
      <c r="GE48" s="936"/>
      <c r="GF48" s="936"/>
      <c r="GG48" s="936"/>
      <c r="GH48" s="936"/>
      <c r="GI48" s="936"/>
      <c r="GJ48" s="936"/>
      <c r="GK48" s="936"/>
      <c r="GL48" s="936"/>
      <c r="GM48" s="936"/>
      <c r="GN48" s="936"/>
      <c r="GO48" s="936"/>
      <c r="GP48" s="936"/>
      <c r="GQ48" s="936"/>
      <c r="GR48" s="936"/>
      <c r="GS48" s="936"/>
      <c r="GT48" s="936"/>
      <c r="GU48" s="936"/>
      <c r="GV48" s="936"/>
      <c r="GW48" s="936"/>
      <c r="GX48" s="936"/>
      <c r="GY48" s="936"/>
      <c r="GZ48" s="936"/>
      <c r="HA48" s="936"/>
      <c r="HB48" s="936"/>
      <c r="HC48" s="936"/>
      <c r="HD48" s="936"/>
      <c r="HE48" s="936"/>
      <c r="HF48" s="936"/>
      <c r="HG48" s="936"/>
      <c r="HH48" s="936"/>
      <c r="HI48" s="936"/>
      <c r="HJ48" s="936"/>
      <c r="HK48" s="936"/>
      <c r="HL48" s="936"/>
      <c r="HM48" s="936"/>
      <c r="HN48" s="936"/>
      <c r="HO48" s="936"/>
      <c r="HP48" s="936"/>
      <c r="HQ48" s="936"/>
      <c r="HR48" s="936"/>
      <c r="HS48" s="936"/>
      <c r="HT48" s="936"/>
      <c r="HU48" s="936"/>
      <c r="HV48" s="936"/>
      <c r="HW48" s="936"/>
      <c r="HX48" s="936"/>
      <c r="HY48" s="936"/>
      <c r="HZ48" s="936"/>
      <c r="IA48" s="936"/>
      <c r="IB48" s="936"/>
      <c r="IC48" s="936"/>
      <c r="ID48" s="936"/>
      <c r="IE48" s="936"/>
      <c r="IF48" s="936"/>
      <c r="IG48" s="936"/>
      <c r="IH48" s="936"/>
      <c r="II48" s="936"/>
      <c r="IJ48" s="936"/>
      <c r="IK48" s="936"/>
    </row>
    <row r="49" spans="1:245" ht="38.25" customHeight="1">
      <c r="A49" s="943">
        <v>1</v>
      </c>
      <c r="B49" s="944" t="s">
        <v>1272</v>
      </c>
      <c r="C49" s="925" t="s">
        <v>1273</v>
      </c>
      <c r="D49" s="926">
        <f t="shared" ref="D49:D79" si="4">SUM(E49:I49)</f>
        <v>200</v>
      </c>
      <c r="E49" s="926">
        <v>0</v>
      </c>
      <c r="F49" s="926">
        <v>200</v>
      </c>
      <c r="G49" s="926"/>
      <c r="H49" s="928">
        <v>0</v>
      </c>
      <c r="I49" s="92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6"/>
      <c r="AY49" s="936"/>
      <c r="AZ49" s="936"/>
      <c r="BA49" s="936"/>
      <c r="BB49" s="936"/>
      <c r="BC49" s="936"/>
      <c r="BD49" s="936"/>
      <c r="BE49" s="936"/>
      <c r="BF49" s="936"/>
      <c r="BG49" s="936"/>
      <c r="BH49" s="936"/>
      <c r="BI49" s="936"/>
      <c r="BJ49" s="936"/>
      <c r="BK49" s="936"/>
      <c r="BL49" s="936"/>
      <c r="BM49" s="936"/>
      <c r="BN49" s="936"/>
      <c r="BO49" s="936"/>
      <c r="BP49" s="936"/>
      <c r="BQ49" s="936"/>
      <c r="BR49" s="936"/>
      <c r="BS49" s="936"/>
      <c r="BT49" s="936"/>
      <c r="BU49" s="936"/>
      <c r="BV49" s="936"/>
      <c r="BW49" s="936"/>
      <c r="BX49" s="936"/>
      <c r="BY49" s="936"/>
      <c r="BZ49" s="936"/>
      <c r="CA49" s="936"/>
      <c r="CB49" s="936"/>
      <c r="CC49" s="936"/>
      <c r="CD49" s="936"/>
      <c r="CE49" s="936"/>
      <c r="CF49" s="936"/>
      <c r="CG49" s="936"/>
      <c r="CH49" s="936"/>
      <c r="CI49" s="936"/>
      <c r="CJ49" s="936"/>
      <c r="CK49" s="936"/>
      <c r="CL49" s="936"/>
      <c r="CM49" s="936"/>
      <c r="CN49" s="936"/>
      <c r="CO49" s="936"/>
      <c r="CP49" s="936"/>
      <c r="CQ49" s="936"/>
      <c r="CR49" s="936"/>
      <c r="CS49" s="936"/>
      <c r="CT49" s="936"/>
      <c r="CU49" s="936"/>
      <c r="CV49" s="936"/>
      <c r="CW49" s="936"/>
      <c r="CX49" s="936"/>
      <c r="CY49" s="936"/>
      <c r="CZ49" s="936"/>
      <c r="DA49" s="936"/>
      <c r="DB49" s="936"/>
      <c r="DC49" s="936"/>
      <c r="DD49" s="936"/>
      <c r="DE49" s="936"/>
      <c r="DF49" s="936"/>
      <c r="DG49" s="936"/>
      <c r="DH49" s="936"/>
      <c r="DI49" s="936"/>
      <c r="DJ49" s="936"/>
      <c r="DK49" s="936"/>
      <c r="DL49" s="936"/>
      <c r="DM49" s="936"/>
      <c r="DN49" s="936"/>
      <c r="DO49" s="936"/>
      <c r="DP49" s="936"/>
      <c r="DQ49" s="936"/>
      <c r="DR49" s="936"/>
      <c r="DS49" s="936"/>
      <c r="DT49" s="936"/>
      <c r="DU49" s="936"/>
      <c r="DV49" s="936"/>
      <c r="DW49" s="936"/>
      <c r="DX49" s="936"/>
      <c r="DY49" s="936"/>
      <c r="DZ49" s="936"/>
      <c r="EA49" s="936"/>
      <c r="EB49" s="936"/>
      <c r="EC49" s="936"/>
      <c r="ED49" s="936"/>
      <c r="EE49" s="936"/>
      <c r="EF49" s="936"/>
      <c r="EG49" s="936"/>
      <c r="EH49" s="936"/>
      <c r="EI49" s="936"/>
      <c r="EJ49" s="936"/>
      <c r="EK49" s="936"/>
      <c r="EL49" s="936"/>
      <c r="EM49" s="936"/>
      <c r="EN49" s="936"/>
      <c r="EO49" s="936"/>
      <c r="EP49" s="936"/>
      <c r="EQ49" s="936"/>
      <c r="ER49" s="936"/>
      <c r="ES49" s="936"/>
      <c r="ET49" s="936"/>
      <c r="EU49" s="936"/>
      <c r="EV49" s="936"/>
      <c r="EW49" s="936"/>
      <c r="EX49" s="936"/>
      <c r="EY49" s="936"/>
      <c r="EZ49" s="936"/>
      <c r="FA49" s="936"/>
      <c r="FB49" s="936"/>
      <c r="FC49" s="936"/>
      <c r="FD49" s="936"/>
      <c r="FE49" s="936"/>
      <c r="FF49" s="936"/>
      <c r="FG49" s="936"/>
      <c r="FH49" s="936"/>
      <c r="FI49" s="936"/>
      <c r="FJ49" s="936"/>
      <c r="FK49" s="936"/>
      <c r="FL49" s="936"/>
      <c r="FM49" s="936"/>
      <c r="FN49" s="936"/>
      <c r="FO49" s="936"/>
      <c r="FP49" s="936"/>
      <c r="FQ49" s="936"/>
      <c r="FR49" s="936"/>
      <c r="FS49" s="936"/>
      <c r="FT49" s="936"/>
      <c r="FU49" s="936"/>
      <c r="FV49" s="936"/>
      <c r="FW49" s="936"/>
      <c r="FX49" s="936"/>
      <c r="FY49" s="936"/>
      <c r="FZ49" s="936"/>
      <c r="GA49" s="936"/>
      <c r="GB49" s="936"/>
      <c r="GC49" s="936"/>
      <c r="GD49" s="936"/>
      <c r="GE49" s="936"/>
      <c r="GF49" s="936"/>
      <c r="GG49" s="936"/>
      <c r="GH49" s="936"/>
      <c r="GI49" s="936"/>
      <c r="GJ49" s="936"/>
      <c r="GK49" s="936"/>
      <c r="GL49" s="936"/>
      <c r="GM49" s="936"/>
      <c r="GN49" s="936"/>
      <c r="GO49" s="936"/>
      <c r="GP49" s="936"/>
      <c r="GQ49" s="936"/>
      <c r="GR49" s="936"/>
      <c r="GS49" s="936"/>
      <c r="GT49" s="936"/>
      <c r="GU49" s="936"/>
      <c r="GV49" s="936"/>
      <c r="GW49" s="936"/>
      <c r="GX49" s="936"/>
      <c r="GY49" s="936"/>
      <c r="GZ49" s="936"/>
      <c r="HA49" s="936"/>
      <c r="HB49" s="936"/>
      <c r="HC49" s="936"/>
      <c r="HD49" s="936"/>
      <c r="HE49" s="936"/>
      <c r="HF49" s="936"/>
      <c r="HG49" s="936"/>
      <c r="HH49" s="936"/>
      <c r="HI49" s="936"/>
      <c r="HJ49" s="936"/>
      <c r="HK49" s="936"/>
      <c r="HL49" s="936"/>
      <c r="HM49" s="936"/>
      <c r="HN49" s="936"/>
      <c r="HO49" s="936"/>
      <c r="HP49" s="936"/>
      <c r="HQ49" s="936"/>
      <c r="HR49" s="936"/>
      <c r="HS49" s="936"/>
      <c r="HT49" s="936"/>
      <c r="HU49" s="936"/>
      <c r="HV49" s="936"/>
      <c r="HW49" s="936"/>
      <c r="HX49" s="936"/>
      <c r="HY49" s="936"/>
      <c r="HZ49" s="936"/>
      <c r="IA49" s="936"/>
      <c r="IB49" s="936"/>
      <c r="IC49" s="936"/>
      <c r="ID49" s="936"/>
      <c r="IE49" s="936"/>
      <c r="IF49" s="936"/>
      <c r="IG49" s="936"/>
      <c r="IH49" s="936"/>
      <c r="II49" s="936"/>
      <c r="IJ49" s="936"/>
      <c r="IK49" s="936"/>
    </row>
    <row r="50" spans="1:245" ht="55.15" customHeight="1">
      <c r="A50" s="943">
        <v>2</v>
      </c>
      <c r="B50" s="944" t="s">
        <v>1274</v>
      </c>
      <c r="C50" s="925" t="s">
        <v>1275</v>
      </c>
      <c r="D50" s="926">
        <f t="shared" si="4"/>
        <v>232</v>
      </c>
      <c r="E50" s="926">
        <v>0</v>
      </c>
      <c r="F50" s="926">
        <v>190</v>
      </c>
      <c r="G50" s="926"/>
      <c r="H50" s="928">
        <v>42</v>
      </c>
      <c r="I50" s="926"/>
      <c r="J50" s="936"/>
      <c r="K50" s="936"/>
      <c r="L50" s="936"/>
      <c r="M50" s="936"/>
      <c r="N50" s="936"/>
      <c r="O50" s="936"/>
      <c r="P50" s="936"/>
      <c r="Q50" s="936"/>
      <c r="R50" s="936"/>
      <c r="S50" s="936"/>
      <c r="T50" s="936"/>
      <c r="U50" s="936"/>
      <c r="V50" s="936"/>
      <c r="W50" s="936"/>
      <c r="X50" s="936"/>
      <c r="Y50" s="936"/>
      <c r="Z50" s="936"/>
      <c r="AA50" s="936"/>
      <c r="AB50" s="936"/>
      <c r="AC50" s="936"/>
      <c r="AD50" s="936"/>
      <c r="AE50" s="936"/>
      <c r="AF50" s="936"/>
      <c r="AG50" s="936"/>
      <c r="AH50" s="936"/>
      <c r="AI50" s="936"/>
      <c r="AJ50" s="936"/>
      <c r="AK50" s="936"/>
      <c r="AL50" s="936"/>
      <c r="AM50" s="936"/>
      <c r="AN50" s="936"/>
      <c r="AO50" s="936"/>
      <c r="AP50" s="936"/>
      <c r="AQ50" s="936"/>
      <c r="AR50" s="936"/>
      <c r="AS50" s="936"/>
      <c r="AT50" s="936"/>
      <c r="AU50" s="936"/>
      <c r="AV50" s="936"/>
      <c r="AW50" s="936"/>
      <c r="AX50" s="936"/>
      <c r="AY50" s="936"/>
      <c r="AZ50" s="936"/>
      <c r="BA50" s="936"/>
      <c r="BB50" s="936"/>
      <c r="BC50" s="936"/>
      <c r="BD50" s="936"/>
      <c r="BE50" s="936"/>
      <c r="BF50" s="936"/>
      <c r="BG50" s="936"/>
      <c r="BH50" s="936"/>
      <c r="BI50" s="936"/>
      <c r="BJ50" s="936"/>
      <c r="BK50" s="936"/>
      <c r="BL50" s="936"/>
      <c r="BM50" s="936"/>
      <c r="BN50" s="936"/>
      <c r="BO50" s="936"/>
      <c r="BP50" s="936"/>
      <c r="BQ50" s="936"/>
      <c r="BR50" s="936"/>
      <c r="BS50" s="936"/>
      <c r="BT50" s="936"/>
      <c r="BU50" s="936"/>
      <c r="BV50" s="936"/>
      <c r="BW50" s="936"/>
      <c r="BX50" s="936"/>
      <c r="BY50" s="936"/>
      <c r="BZ50" s="936"/>
      <c r="CA50" s="936"/>
      <c r="CB50" s="936"/>
      <c r="CC50" s="936"/>
      <c r="CD50" s="936"/>
      <c r="CE50" s="936"/>
      <c r="CF50" s="936"/>
      <c r="CG50" s="936"/>
      <c r="CH50" s="936"/>
      <c r="CI50" s="936"/>
      <c r="CJ50" s="936"/>
      <c r="CK50" s="936"/>
      <c r="CL50" s="936"/>
      <c r="CM50" s="936"/>
      <c r="CN50" s="936"/>
      <c r="CO50" s="936"/>
      <c r="CP50" s="936"/>
      <c r="CQ50" s="936"/>
      <c r="CR50" s="936"/>
      <c r="CS50" s="936"/>
      <c r="CT50" s="936"/>
      <c r="CU50" s="936"/>
      <c r="CV50" s="936"/>
      <c r="CW50" s="936"/>
      <c r="CX50" s="936"/>
      <c r="CY50" s="936"/>
      <c r="CZ50" s="936"/>
      <c r="DA50" s="936"/>
      <c r="DB50" s="936"/>
      <c r="DC50" s="936"/>
      <c r="DD50" s="936"/>
      <c r="DE50" s="936"/>
      <c r="DF50" s="936"/>
      <c r="DG50" s="936"/>
      <c r="DH50" s="936"/>
      <c r="DI50" s="936"/>
      <c r="DJ50" s="936"/>
      <c r="DK50" s="936"/>
      <c r="DL50" s="936"/>
      <c r="DM50" s="936"/>
      <c r="DN50" s="936"/>
      <c r="DO50" s="936"/>
      <c r="DP50" s="936"/>
      <c r="DQ50" s="936"/>
      <c r="DR50" s="936"/>
      <c r="DS50" s="936"/>
      <c r="DT50" s="936"/>
      <c r="DU50" s="936"/>
      <c r="DV50" s="936"/>
      <c r="DW50" s="936"/>
      <c r="DX50" s="936"/>
      <c r="DY50" s="936"/>
      <c r="DZ50" s="936"/>
      <c r="EA50" s="936"/>
      <c r="EB50" s="936"/>
      <c r="EC50" s="936"/>
      <c r="ED50" s="936"/>
      <c r="EE50" s="936"/>
      <c r="EF50" s="936"/>
      <c r="EG50" s="936"/>
      <c r="EH50" s="936"/>
      <c r="EI50" s="936"/>
      <c r="EJ50" s="936"/>
      <c r="EK50" s="936"/>
      <c r="EL50" s="936"/>
      <c r="EM50" s="936"/>
      <c r="EN50" s="936"/>
      <c r="EO50" s="936"/>
      <c r="EP50" s="936"/>
      <c r="EQ50" s="936"/>
      <c r="ER50" s="936"/>
      <c r="ES50" s="936"/>
      <c r="ET50" s="936"/>
      <c r="EU50" s="936"/>
      <c r="EV50" s="936"/>
      <c r="EW50" s="936"/>
      <c r="EX50" s="936"/>
      <c r="EY50" s="936"/>
      <c r="EZ50" s="936"/>
      <c r="FA50" s="936"/>
      <c r="FB50" s="936"/>
      <c r="FC50" s="936"/>
      <c r="FD50" s="936"/>
      <c r="FE50" s="936"/>
      <c r="FF50" s="936"/>
      <c r="FG50" s="936"/>
      <c r="FH50" s="936"/>
      <c r="FI50" s="936"/>
      <c r="FJ50" s="936"/>
      <c r="FK50" s="936"/>
      <c r="FL50" s="936"/>
      <c r="FM50" s="936"/>
      <c r="FN50" s="936"/>
      <c r="FO50" s="936"/>
      <c r="FP50" s="936"/>
      <c r="FQ50" s="936"/>
      <c r="FR50" s="936"/>
      <c r="FS50" s="936"/>
      <c r="FT50" s="936"/>
      <c r="FU50" s="936"/>
      <c r="FV50" s="936"/>
      <c r="FW50" s="936"/>
      <c r="FX50" s="936"/>
      <c r="FY50" s="936"/>
      <c r="FZ50" s="936"/>
      <c r="GA50" s="936"/>
      <c r="GB50" s="936"/>
      <c r="GC50" s="936"/>
      <c r="GD50" s="936"/>
      <c r="GE50" s="936"/>
      <c r="GF50" s="936"/>
      <c r="GG50" s="936"/>
      <c r="GH50" s="936"/>
      <c r="GI50" s="936"/>
      <c r="GJ50" s="936"/>
      <c r="GK50" s="936"/>
      <c r="GL50" s="936"/>
      <c r="GM50" s="936"/>
      <c r="GN50" s="936"/>
      <c r="GO50" s="936"/>
      <c r="GP50" s="936"/>
      <c r="GQ50" s="936"/>
      <c r="GR50" s="936"/>
      <c r="GS50" s="936"/>
      <c r="GT50" s="936"/>
      <c r="GU50" s="936"/>
      <c r="GV50" s="936"/>
      <c r="GW50" s="936"/>
      <c r="GX50" s="936"/>
      <c r="GY50" s="936"/>
      <c r="GZ50" s="936"/>
      <c r="HA50" s="936"/>
      <c r="HB50" s="936"/>
      <c r="HC50" s="936"/>
      <c r="HD50" s="936"/>
      <c r="HE50" s="936"/>
      <c r="HF50" s="936"/>
      <c r="HG50" s="936"/>
      <c r="HH50" s="936"/>
      <c r="HI50" s="936"/>
      <c r="HJ50" s="936"/>
      <c r="HK50" s="936"/>
      <c r="HL50" s="936"/>
      <c r="HM50" s="936"/>
      <c r="HN50" s="936"/>
      <c r="HO50" s="936"/>
      <c r="HP50" s="936"/>
      <c r="HQ50" s="936"/>
      <c r="HR50" s="936"/>
      <c r="HS50" s="936"/>
      <c r="HT50" s="936"/>
      <c r="HU50" s="936"/>
      <c r="HV50" s="936"/>
      <c r="HW50" s="936"/>
      <c r="HX50" s="936"/>
      <c r="HY50" s="936"/>
      <c r="HZ50" s="936"/>
      <c r="IA50" s="936"/>
      <c r="IB50" s="936"/>
      <c r="IC50" s="936"/>
      <c r="ID50" s="936"/>
      <c r="IE50" s="936"/>
      <c r="IF50" s="936"/>
      <c r="IG50" s="936"/>
      <c r="IH50" s="936"/>
      <c r="II50" s="936"/>
      <c r="IJ50" s="936"/>
      <c r="IK50" s="936"/>
    </row>
    <row r="51" spans="1:245" ht="38.25" customHeight="1">
      <c r="A51" s="943">
        <v>3</v>
      </c>
      <c r="B51" s="944" t="s">
        <v>1276</v>
      </c>
      <c r="C51" s="925" t="s">
        <v>1277</v>
      </c>
      <c r="D51" s="926">
        <f t="shared" si="4"/>
        <v>355</v>
      </c>
      <c r="E51" s="926">
        <v>0</v>
      </c>
      <c r="F51" s="926">
        <v>355</v>
      </c>
      <c r="G51" s="926"/>
      <c r="H51" s="928">
        <v>0</v>
      </c>
      <c r="I51" s="926"/>
      <c r="J51" s="936"/>
      <c r="K51" s="936"/>
      <c r="L51" s="936"/>
      <c r="M51" s="936"/>
      <c r="N51" s="936"/>
      <c r="O51" s="936"/>
      <c r="P51" s="936"/>
      <c r="Q51" s="936"/>
      <c r="R51" s="936"/>
      <c r="S51" s="936"/>
      <c r="T51" s="936"/>
      <c r="U51" s="936"/>
      <c r="V51" s="936"/>
      <c r="W51" s="936"/>
      <c r="X51" s="936"/>
      <c r="Y51" s="936"/>
      <c r="Z51" s="936"/>
      <c r="AA51" s="936"/>
      <c r="AB51" s="936"/>
      <c r="AC51" s="936"/>
      <c r="AD51" s="936"/>
      <c r="AE51" s="936"/>
      <c r="AF51" s="936"/>
      <c r="AG51" s="936"/>
      <c r="AH51" s="936"/>
      <c r="AI51" s="936"/>
      <c r="AJ51" s="936"/>
      <c r="AK51" s="936"/>
      <c r="AL51" s="936"/>
      <c r="AM51" s="936"/>
      <c r="AN51" s="936"/>
      <c r="AO51" s="936"/>
      <c r="AP51" s="936"/>
      <c r="AQ51" s="936"/>
      <c r="AR51" s="936"/>
      <c r="AS51" s="936"/>
      <c r="AT51" s="936"/>
      <c r="AU51" s="936"/>
      <c r="AV51" s="936"/>
      <c r="AW51" s="936"/>
      <c r="AX51" s="936"/>
      <c r="AY51" s="936"/>
      <c r="AZ51" s="936"/>
      <c r="BA51" s="936"/>
      <c r="BB51" s="936"/>
      <c r="BC51" s="936"/>
      <c r="BD51" s="936"/>
      <c r="BE51" s="936"/>
      <c r="BF51" s="936"/>
      <c r="BG51" s="936"/>
      <c r="BH51" s="936"/>
      <c r="BI51" s="936"/>
      <c r="BJ51" s="936"/>
      <c r="BK51" s="936"/>
      <c r="BL51" s="936"/>
      <c r="BM51" s="936"/>
      <c r="BN51" s="936"/>
      <c r="BO51" s="936"/>
      <c r="BP51" s="936"/>
      <c r="BQ51" s="936"/>
      <c r="BR51" s="936"/>
      <c r="BS51" s="936"/>
      <c r="BT51" s="936"/>
      <c r="BU51" s="936"/>
      <c r="BV51" s="936"/>
      <c r="BW51" s="936"/>
      <c r="BX51" s="936"/>
      <c r="BY51" s="936"/>
      <c r="BZ51" s="936"/>
      <c r="CA51" s="936"/>
      <c r="CB51" s="936"/>
      <c r="CC51" s="936"/>
      <c r="CD51" s="936"/>
      <c r="CE51" s="936"/>
      <c r="CF51" s="936"/>
      <c r="CG51" s="936"/>
      <c r="CH51" s="936"/>
      <c r="CI51" s="936"/>
      <c r="CJ51" s="936"/>
      <c r="CK51" s="936"/>
      <c r="CL51" s="936"/>
      <c r="CM51" s="936"/>
      <c r="CN51" s="936"/>
      <c r="CO51" s="936"/>
      <c r="CP51" s="936"/>
      <c r="CQ51" s="936"/>
      <c r="CR51" s="936"/>
      <c r="CS51" s="936"/>
      <c r="CT51" s="936"/>
      <c r="CU51" s="936"/>
      <c r="CV51" s="936"/>
      <c r="CW51" s="936"/>
      <c r="CX51" s="936"/>
      <c r="CY51" s="936"/>
      <c r="CZ51" s="936"/>
      <c r="DA51" s="936"/>
      <c r="DB51" s="936"/>
      <c r="DC51" s="936"/>
      <c r="DD51" s="936"/>
      <c r="DE51" s="936"/>
      <c r="DF51" s="936"/>
      <c r="DG51" s="936"/>
      <c r="DH51" s="936"/>
      <c r="DI51" s="936"/>
      <c r="DJ51" s="936"/>
      <c r="DK51" s="936"/>
      <c r="DL51" s="936"/>
      <c r="DM51" s="936"/>
      <c r="DN51" s="936"/>
      <c r="DO51" s="936"/>
      <c r="DP51" s="936"/>
      <c r="DQ51" s="936"/>
      <c r="DR51" s="936"/>
      <c r="DS51" s="936"/>
      <c r="DT51" s="936"/>
      <c r="DU51" s="936"/>
      <c r="DV51" s="936"/>
      <c r="DW51" s="936"/>
      <c r="DX51" s="936"/>
      <c r="DY51" s="936"/>
      <c r="DZ51" s="936"/>
      <c r="EA51" s="936"/>
      <c r="EB51" s="936"/>
      <c r="EC51" s="936"/>
      <c r="ED51" s="936"/>
      <c r="EE51" s="936"/>
      <c r="EF51" s="936"/>
      <c r="EG51" s="936"/>
      <c r="EH51" s="936"/>
      <c r="EI51" s="936"/>
      <c r="EJ51" s="936"/>
      <c r="EK51" s="936"/>
      <c r="EL51" s="936"/>
      <c r="EM51" s="936"/>
      <c r="EN51" s="936"/>
      <c r="EO51" s="936"/>
      <c r="EP51" s="936"/>
      <c r="EQ51" s="936"/>
      <c r="ER51" s="936"/>
      <c r="ES51" s="936"/>
      <c r="ET51" s="936"/>
      <c r="EU51" s="936"/>
      <c r="EV51" s="936"/>
      <c r="EW51" s="936"/>
      <c r="EX51" s="936"/>
      <c r="EY51" s="936"/>
      <c r="EZ51" s="936"/>
      <c r="FA51" s="936"/>
      <c r="FB51" s="936"/>
      <c r="FC51" s="936"/>
      <c r="FD51" s="936"/>
      <c r="FE51" s="936"/>
      <c r="FF51" s="936"/>
      <c r="FG51" s="936"/>
      <c r="FH51" s="936"/>
      <c r="FI51" s="936"/>
      <c r="FJ51" s="936"/>
      <c r="FK51" s="936"/>
      <c r="FL51" s="936"/>
      <c r="FM51" s="936"/>
      <c r="FN51" s="936"/>
      <c r="FO51" s="936"/>
      <c r="FP51" s="936"/>
      <c r="FQ51" s="936"/>
      <c r="FR51" s="936"/>
      <c r="FS51" s="936"/>
      <c r="FT51" s="936"/>
      <c r="FU51" s="936"/>
      <c r="FV51" s="936"/>
      <c r="FW51" s="936"/>
      <c r="FX51" s="936"/>
      <c r="FY51" s="936"/>
      <c r="FZ51" s="936"/>
      <c r="GA51" s="936"/>
      <c r="GB51" s="936"/>
      <c r="GC51" s="936"/>
      <c r="GD51" s="936"/>
      <c r="GE51" s="936"/>
      <c r="GF51" s="936"/>
      <c r="GG51" s="936"/>
      <c r="GH51" s="936"/>
      <c r="GI51" s="936"/>
      <c r="GJ51" s="936"/>
      <c r="GK51" s="936"/>
      <c r="GL51" s="936"/>
      <c r="GM51" s="936"/>
      <c r="GN51" s="936"/>
      <c r="GO51" s="936"/>
      <c r="GP51" s="936"/>
      <c r="GQ51" s="936"/>
      <c r="GR51" s="936"/>
      <c r="GS51" s="936"/>
      <c r="GT51" s="936"/>
      <c r="GU51" s="936"/>
      <c r="GV51" s="936"/>
      <c r="GW51" s="936"/>
      <c r="GX51" s="936"/>
      <c r="GY51" s="936"/>
      <c r="GZ51" s="936"/>
      <c r="HA51" s="936"/>
      <c r="HB51" s="936"/>
      <c r="HC51" s="936"/>
      <c r="HD51" s="936"/>
      <c r="HE51" s="936"/>
      <c r="HF51" s="936"/>
      <c r="HG51" s="936"/>
      <c r="HH51" s="936"/>
      <c r="HI51" s="936"/>
      <c r="HJ51" s="936"/>
      <c r="HK51" s="936"/>
      <c r="HL51" s="936"/>
      <c r="HM51" s="936"/>
      <c r="HN51" s="936"/>
      <c r="HO51" s="936"/>
      <c r="HP51" s="936"/>
      <c r="HQ51" s="936"/>
      <c r="HR51" s="936"/>
      <c r="HS51" s="936"/>
      <c r="HT51" s="936"/>
      <c r="HU51" s="936"/>
      <c r="HV51" s="936"/>
      <c r="HW51" s="936"/>
      <c r="HX51" s="936"/>
      <c r="HY51" s="936"/>
      <c r="HZ51" s="936"/>
      <c r="IA51" s="936"/>
      <c r="IB51" s="936"/>
      <c r="IC51" s="936"/>
      <c r="ID51" s="936"/>
      <c r="IE51" s="936"/>
      <c r="IF51" s="936"/>
      <c r="IG51" s="936"/>
      <c r="IH51" s="936"/>
      <c r="II51" s="936"/>
      <c r="IJ51" s="936"/>
      <c r="IK51" s="936"/>
    </row>
    <row r="52" spans="1:245" ht="38.25" customHeight="1">
      <c r="A52" s="943">
        <v>4</v>
      </c>
      <c r="B52" s="944" t="s">
        <v>1278</v>
      </c>
      <c r="C52" s="925" t="s">
        <v>1279</v>
      </c>
      <c r="D52" s="926">
        <f t="shared" si="4"/>
        <v>778</v>
      </c>
      <c r="E52" s="926">
        <v>0</v>
      </c>
      <c r="F52" s="926">
        <v>355</v>
      </c>
      <c r="G52" s="926"/>
      <c r="H52" s="928">
        <v>423</v>
      </c>
      <c r="I52" s="926"/>
    </row>
    <row r="53" spans="1:245" ht="38.25" customHeight="1">
      <c r="A53" s="943">
        <v>5</v>
      </c>
      <c r="B53" s="944" t="s">
        <v>1280</v>
      </c>
      <c r="C53" s="925" t="s">
        <v>1281</v>
      </c>
      <c r="D53" s="926">
        <f t="shared" si="4"/>
        <v>180</v>
      </c>
      <c r="E53" s="926">
        <v>0</v>
      </c>
      <c r="F53" s="926">
        <v>180</v>
      </c>
      <c r="G53" s="926"/>
      <c r="H53" s="928">
        <v>0</v>
      </c>
      <c r="I53" s="926"/>
    </row>
    <row r="54" spans="1:245" ht="38.25" customHeight="1">
      <c r="A54" s="943">
        <v>6</v>
      </c>
      <c r="B54" s="944" t="s">
        <v>1282</v>
      </c>
      <c r="C54" s="925" t="s">
        <v>1283</v>
      </c>
      <c r="D54" s="926">
        <f t="shared" si="4"/>
        <v>300</v>
      </c>
      <c r="E54" s="926">
        <v>0</v>
      </c>
      <c r="F54" s="926">
        <v>300</v>
      </c>
      <c r="G54" s="926"/>
      <c r="H54" s="928">
        <v>0</v>
      </c>
      <c r="I54" s="926"/>
    </row>
    <row r="55" spans="1:245" ht="38.25" customHeight="1">
      <c r="A55" s="943">
        <v>7</v>
      </c>
      <c r="B55" s="944" t="s">
        <v>1284</v>
      </c>
      <c r="C55" s="925" t="s">
        <v>1285</v>
      </c>
      <c r="D55" s="926">
        <f t="shared" si="4"/>
        <v>140</v>
      </c>
      <c r="E55" s="926">
        <v>0</v>
      </c>
      <c r="F55" s="926">
        <v>140</v>
      </c>
      <c r="G55" s="926"/>
      <c r="H55" s="928">
        <v>0</v>
      </c>
      <c r="I55" s="926"/>
    </row>
    <row r="56" spans="1:245" ht="38.25" customHeight="1">
      <c r="A56" s="943">
        <v>8</v>
      </c>
      <c r="B56" s="944" t="s">
        <v>1286</v>
      </c>
      <c r="C56" s="925" t="s">
        <v>1287</v>
      </c>
      <c r="D56" s="926">
        <f t="shared" si="4"/>
        <v>420</v>
      </c>
      <c r="E56" s="926">
        <v>0</v>
      </c>
      <c r="F56" s="926">
        <v>420</v>
      </c>
      <c r="G56" s="926"/>
      <c r="H56" s="928">
        <v>0</v>
      </c>
      <c r="I56" s="926"/>
    </row>
    <row r="57" spans="1:245" ht="38.25" customHeight="1">
      <c r="A57" s="943">
        <v>9</v>
      </c>
      <c r="B57" s="944" t="s">
        <v>1288</v>
      </c>
      <c r="C57" s="925" t="s">
        <v>1289</v>
      </c>
      <c r="D57" s="926">
        <f t="shared" si="4"/>
        <v>150</v>
      </c>
      <c r="E57" s="926">
        <v>0</v>
      </c>
      <c r="F57" s="926">
        <v>150</v>
      </c>
      <c r="G57" s="926"/>
      <c r="H57" s="928">
        <v>0</v>
      </c>
      <c r="I57" s="926"/>
    </row>
    <row r="58" spans="1:245" ht="38.25" customHeight="1">
      <c r="A58" s="943">
        <v>10</v>
      </c>
      <c r="B58" s="944" t="s">
        <v>1290</v>
      </c>
      <c r="C58" s="925" t="s">
        <v>1291</v>
      </c>
      <c r="D58" s="926">
        <f t="shared" si="4"/>
        <v>230</v>
      </c>
      <c r="E58" s="926">
        <v>0</v>
      </c>
      <c r="F58" s="926">
        <v>230</v>
      </c>
      <c r="G58" s="926"/>
      <c r="H58" s="928">
        <v>0</v>
      </c>
      <c r="I58" s="926"/>
    </row>
    <row r="59" spans="1:245" ht="38.25" customHeight="1">
      <c r="A59" s="943">
        <v>11</v>
      </c>
      <c r="B59" s="932" t="s">
        <v>1292</v>
      </c>
      <c r="C59" s="925" t="s">
        <v>1293</v>
      </c>
      <c r="D59" s="926">
        <f t="shared" si="4"/>
        <v>1070</v>
      </c>
      <c r="E59" s="926">
        <v>20</v>
      </c>
      <c r="F59" s="926">
        <v>1050</v>
      </c>
      <c r="G59" s="926"/>
      <c r="H59" s="928">
        <v>0</v>
      </c>
      <c r="I59" s="926"/>
    </row>
    <row r="60" spans="1:245" ht="38.25" customHeight="1">
      <c r="A60" s="943">
        <v>12</v>
      </c>
      <c r="B60" s="932" t="s">
        <v>1294</v>
      </c>
      <c r="C60" s="925" t="s">
        <v>1295</v>
      </c>
      <c r="D60" s="926">
        <f t="shared" si="4"/>
        <v>178</v>
      </c>
      <c r="E60" s="926">
        <v>28</v>
      </c>
      <c r="F60" s="926">
        <v>150</v>
      </c>
      <c r="G60" s="926"/>
      <c r="H60" s="928">
        <v>0</v>
      </c>
      <c r="I60" s="926"/>
    </row>
    <row r="61" spans="1:245" ht="24" customHeight="1">
      <c r="A61" s="943">
        <v>13</v>
      </c>
      <c r="B61" s="932" t="s">
        <v>1296</v>
      </c>
      <c r="C61" s="925">
        <v>4900102530</v>
      </c>
      <c r="D61" s="926">
        <f t="shared" si="4"/>
        <v>2360</v>
      </c>
      <c r="E61" s="926">
        <v>1153</v>
      </c>
      <c r="F61" s="926">
        <v>1207</v>
      </c>
      <c r="G61" s="926"/>
      <c r="H61" s="928">
        <v>0</v>
      </c>
      <c r="I61" s="926"/>
    </row>
    <row r="62" spans="1:245" ht="24" customHeight="1">
      <c r="A62" s="943">
        <v>14</v>
      </c>
      <c r="B62" s="944" t="s">
        <v>1297</v>
      </c>
      <c r="C62" s="925">
        <v>4900100357</v>
      </c>
      <c r="D62" s="926">
        <f t="shared" si="4"/>
        <v>320</v>
      </c>
      <c r="E62" s="926">
        <v>320</v>
      </c>
      <c r="F62" s="926">
        <v>0</v>
      </c>
      <c r="G62" s="926"/>
      <c r="H62" s="928">
        <v>0</v>
      </c>
      <c r="I62" s="926"/>
    </row>
    <row r="63" spans="1:245" ht="24" customHeight="1">
      <c r="A63" s="943">
        <v>15</v>
      </c>
      <c r="B63" s="944" t="s">
        <v>1298</v>
      </c>
      <c r="C63" s="925">
        <v>4900101738</v>
      </c>
      <c r="D63" s="926">
        <f t="shared" si="4"/>
        <v>9200</v>
      </c>
      <c r="E63" s="926">
        <v>2300</v>
      </c>
      <c r="F63" s="926">
        <v>4500</v>
      </c>
      <c r="G63" s="926"/>
      <c r="H63" s="928">
        <v>2400</v>
      </c>
      <c r="I63" s="926"/>
    </row>
    <row r="64" spans="1:245" ht="24" customHeight="1">
      <c r="A64" s="943">
        <v>16</v>
      </c>
      <c r="B64" s="944" t="s">
        <v>1299</v>
      </c>
      <c r="C64" s="925">
        <v>4900219747</v>
      </c>
      <c r="D64" s="926">
        <f t="shared" si="4"/>
        <v>2803</v>
      </c>
      <c r="E64" s="926">
        <v>203</v>
      </c>
      <c r="F64" s="926">
        <v>2600</v>
      </c>
      <c r="G64" s="926"/>
      <c r="H64" s="928">
        <v>0</v>
      </c>
      <c r="I64" s="926"/>
    </row>
    <row r="65" spans="1:245" ht="24" customHeight="1">
      <c r="A65" s="943">
        <v>17</v>
      </c>
      <c r="B65" s="932" t="s">
        <v>522</v>
      </c>
      <c r="C65" s="925">
        <v>4900104129</v>
      </c>
      <c r="D65" s="926">
        <f t="shared" si="4"/>
        <v>1100.6788411216801</v>
      </c>
      <c r="E65" s="926">
        <v>710.67884112168008</v>
      </c>
      <c r="F65" s="926">
        <v>390</v>
      </c>
      <c r="G65" s="926"/>
      <c r="H65" s="928">
        <v>0</v>
      </c>
      <c r="I65" s="926"/>
    </row>
    <row r="66" spans="1:245" ht="24" customHeight="1">
      <c r="A66" s="943">
        <v>18</v>
      </c>
      <c r="B66" s="932" t="s">
        <v>1300</v>
      </c>
      <c r="C66" s="925">
        <v>4900104249</v>
      </c>
      <c r="D66" s="926">
        <f t="shared" si="4"/>
        <v>933.26050092917012</v>
      </c>
      <c r="E66" s="926">
        <v>403.26050092917006</v>
      </c>
      <c r="F66" s="926">
        <v>530</v>
      </c>
      <c r="G66" s="926"/>
      <c r="H66" s="928">
        <v>0</v>
      </c>
      <c r="I66" s="926"/>
    </row>
    <row r="67" spans="1:245" ht="24" customHeight="1">
      <c r="A67" s="943">
        <v>19</v>
      </c>
      <c r="B67" s="932" t="s">
        <v>1301</v>
      </c>
      <c r="C67" s="925">
        <v>4900104256</v>
      </c>
      <c r="D67" s="926">
        <f t="shared" si="4"/>
        <v>819.16752881791001</v>
      </c>
      <c r="E67" s="926">
        <v>449.16752881791001</v>
      </c>
      <c r="F67" s="926">
        <v>370</v>
      </c>
      <c r="G67" s="926"/>
      <c r="H67" s="928">
        <v>0</v>
      </c>
      <c r="I67" s="926"/>
    </row>
    <row r="68" spans="1:245" ht="24" customHeight="1">
      <c r="A68" s="943">
        <v>20</v>
      </c>
      <c r="B68" s="932" t="s">
        <v>1302</v>
      </c>
      <c r="C68" s="925">
        <v>4900152080</v>
      </c>
      <c r="D68" s="926">
        <f t="shared" si="4"/>
        <v>869</v>
      </c>
      <c r="E68" s="926">
        <v>549</v>
      </c>
      <c r="F68" s="926">
        <v>320</v>
      </c>
      <c r="G68" s="926"/>
      <c r="H68" s="928">
        <v>0</v>
      </c>
      <c r="I68" s="926"/>
    </row>
    <row r="69" spans="1:245" ht="24" customHeight="1">
      <c r="A69" s="943">
        <v>21</v>
      </c>
      <c r="B69" s="932" t="s">
        <v>1303</v>
      </c>
      <c r="C69" s="925">
        <v>4900152563</v>
      </c>
      <c r="D69" s="926">
        <f t="shared" si="4"/>
        <v>895.01220064456811</v>
      </c>
      <c r="E69" s="926">
        <v>895.01220064456811</v>
      </c>
      <c r="F69" s="926">
        <v>0</v>
      </c>
      <c r="G69" s="926"/>
      <c r="H69" s="928">
        <v>0</v>
      </c>
      <c r="I69" s="926"/>
    </row>
    <row r="70" spans="1:245" ht="24" hidden="1" customHeight="1">
      <c r="A70" s="943">
        <v>22</v>
      </c>
      <c r="B70" s="932" t="s">
        <v>1304</v>
      </c>
      <c r="C70" s="925">
        <v>4900227628</v>
      </c>
      <c r="D70" s="926">
        <f t="shared" si="4"/>
        <v>0</v>
      </c>
      <c r="E70" s="926">
        <v>0</v>
      </c>
      <c r="F70" s="926">
        <v>0</v>
      </c>
      <c r="G70" s="926"/>
      <c r="H70" s="928">
        <v>0</v>
      </c>
      <c r="I70" s="926"/>
    </row>
    <row r="71" spans="1:245" ht="24" customHeight="1">
      <c r="A71" s="943">
        <v>22</v>
      </c>
      <c r="B71" s="932" t="s">
        <v>1305</v>
      </c>
      <c r="C71" s="925">
        <v>4900227787</v>
      </c>
      <c r="D71" s="926">
        <f t="shared" si="4"/>
        <v>112.30274623200003</v>
      </c>
      <c r="E71" s="926">
        <v>112.30274623200003</v>
      </c>
      <c r="F71" s="926">
        <v>0</v>
      </c>
      <c r="G71" s="926"/>
      <c r="H71" s="928">
        <v>0</v>
      </c>
      <c r="I71" s="926"/>
    </row>
    <row r="72" spans="1:245" ht="24" customHeight="1">
      <c r="A72" s="943">
        <v>23</v>
      </c>
      <c r="B72" s="932" t="s">
        <v>690</v>
      </c>
      <c r="C72" s="925">
        <v>4900228357</v>
      </c>
      <c r="D72" s="926">
        <f t="shared" si="4"/>
        <v>245.99795440000003</v>
      </c>
      <c r="E72" s="926">
        <v>85.997954400000026</v>
      </c>
      <c r="F72" s="926">
        <v>160</v>
      </c>
      <c r="G72" s="926"/>
      <c r="H72" s="928">
        <v>0</v>
      </c>
      <c r="I72" s="926"/>
    </row>
    <row r="73" spans="1:245" ht="24" hidden="1" customHeight="1">
      <c r="A73" s="943">
        <v>24</v>
      </c>
      <c r="B73" s="932" t="s">
        <v>1306</v>
      </c>
      <c r="C73" s="925">
        <v>4900230388</v>
      </c>
      <c r="D73" s="926">
        <f t="shared" si="4"/>
        <v>0</v>
      </c>
      <c r="E73" s="926">
        <v>0</v>
      </c>
      <c r="F73" s="926">
        <v>0</v>
      </c>
      <c r="G73" s="926"/>
      <c r="H73" s="928">
        <v>0</v>
      </c>
      <c r="I73" s="926"/>
    </row>
    <row r="74" spans="1:245" ht="24" customHeight="1">
      <c r="A74" s="943">
        <v>24</v>
      </c>
      <c r="B74" s="932" t="s">
        <v>1307</v>
      </c>
      <c r="C74" s="925">
        <v>4900238789</v>
      </c>
      <c r="D74" s="926">
        <f t="shared" si="4"/>
        <v>704</v>
      </c>
      <c r="E74" s="926">
        <v>334</v>
      </c>
      <c r="F74" s="926">
        <v>370</v>
      </c>
      <c r="G74" s="926"/>
      <c r="H74" s="928">
        <v>0</v>
      </c>
      <c r="I74" s="926"/>
    </row>
    <row r="75" spans="1:245" ht="24" customHeight="1">
      <c r="A75" s="943">
        <v>25</v>
      </c>
      <c r="B75" s="932" t="s">
        <v>355</v>
      </c>
      <c r="C75" s="925">
        <v>4900256481</v>
      </c>
      <c r="D75" s="926">
        <f t="shared" si="4"/>
        <v>110</v>
      </c>
      <c r="E75" s="926">
        <v>0</v>
      </c>
      <c r="F75" s="926">
        <v>110</v>
      </c>
      <c r="G75" s="926"/>
      <c r="H75" s="928">
        <v>0</v>
      </c>
      <c r="I75" s="926"/>
    </row>
    <row r="76" spans="1:245" ht="24" customHeight="1">
      <c r="A76" s="943">
        <v>26</v>
      </c>
      <c r="B76" s="932" t="s">
        <v>424</v>
      </c>
      <c r="C76" s="925">
        <v>4900337691</v>
      </c>
      <c r="D76" s="926">
        <f t="shared" si="4"/>
        <v>776.29893322005</v>
      </c>
      <c r="E76" s="926">
        <v>356.29893322005006</v>
      </c>
      <c r="F76" s="926">
        <v>420</v>
      </c>
      <c r="G76" s="926"/>
      <c r="H76" s="928">
        <v>0</v>
      </c>
      <c r="I76" s="926"/>
    </row>
    <row r="77" spans="1:245" ht="24" customHeight="1">
      <c r="A77" s="943">
        <v>27</v>
      </c>
      <c r="B77" s="932" t="s">
        <v>1308</v>
      </c>
      <c r="C77" s="925">
        <v>4900629398</v>
      </c>
      <c r="D77" s="926">
        <f t="shared" si="4"/>
        <v>123.46093459959999</v>
      </c>
      <c r="E77" s="926">
        <v>53.460934599600002</v>
      </c>
      <c r="F77" s="926">
        <v>70</v>
      </c>
      <c r="G77" s="926"/>
      <c r="H77" s="928">
        <v>0</v>
      </c>
      <c r="I77" s="926"/>
    </row>
    <row r="78" spans="1:245" ht="33">
      <c r="A78" s="943">
        <v>28</v>
      </c>
      <c r="B78" s="932" t="s">
        <v>1309</v>
      </c>
      <c r="C78" s="925">
        <v>4900827336</v>
      </c>
      <c r="D78" s="926">
        <f t="shared" si="4"/>
        <v>144.36766858000001</v>
      </c>
      <c r="E78" s="926">
        <v>74.367668580000014</v>
      </c>
      <c r="F78" s="926">
        <v>70</v>
      </c>
      <c r="G78" s="926"/>
      <c r="H78" s="928">
        <v>0</v>
      </c>
      <c r="I78" s="926"/>
    </row>
    <row r="79" spans="1:245" ht="24" customHeight="1">
      <c r="A79" s="943">
        <v>29</v>
      </c>
      <c r="B79" s="932" t="s">
        <v>1270</v>
      </c>
      <c r="C79" s="925"/>
      <c r="D79" s="926">
        <f t="shared" si="4"/>
        <v>7250</v>
      </c>
      <c r="E79" s="926">
        <v>2452</v>
      </c>
      <c r="F79" s="926">
        <v>4463</v>
      </c>
      <c r="G79" s="926"/>
      <c r="H79" s="928">
        <v>335</v>
      </c>
      <c r="I79" s="926"/>
    </row>
    <row r="80" spans="1:245" s="942" customFormat="1" ht="38.25" customHeight="1">
      <c r="A80" s="945" t="s">
        <v>4</v>
      </c>
      <c r="B80" s="939" t="s">
        <v>902</v>
      </c>
      <c r="C80" s="940"/>
      <c r="D80" s="918">
        <f>SUM(D81:D91)</f>
        <v>7000</v>
      </c>
      <c r="E80" s="918">
        <f>SUM(E81:E91)</f>
        <v>5500</v>
      </c>
      <c r="F80" s="918">
        <f t="shared" ref="F80:I80" si="5">SUM(F81:F91)</f>
        <v>1500</v>
      </c>
      <c r="G80" s="918">
        <f t="shared" si="5"/>
        <v>0</v>
      </c>
      <c r="H80" s="918">
        <f t="shared" si="5"/>
        <v>0</v>
      </c>
      <c r="I80" s="918">
        <f t="shared" si="5"/>
        <v>0</v>
      </c>
      <c r="J80" s="910"/>
      <c r="K80" s="910"/>
      <c r="L80" s="910"/>
      <c r="M80" s="910"/>
      <c r="N80" s="910"/>
      <c r="O80" s="910"/>
      <c r="P80" s="910"/>
      <c r="Q80" s="910"/>
      <c r="R80" s="910"/>
      <c r="S80" s="910"/>
      <c r="T80" s="910"/>
      <c r="U80" s="910"/>
      <c r="V80" s="910"/>
      <c r="W80" s="910"/>
      <c r="X80" s="910"/>
      <c r="Y80" s="910"/>
      <c r="Z80" s="910"/>
      <c r="AA80" s="910"/>
      <c r="AB80" s="910"/>
      <c r="AC80" s="910"/>
      <c r="AD80" s="910"/>
      <c r="AE80" s="910"/>
      <c r="AF80" s="910"/>
      <c r="AG80" s="910"/>
      <c r="AH80" s="910"/>
      <c r="AI80" s="910"/>
      <c r="AJ80" s="910"/>
      <c r="AK80" s="910"/>
      <c r="AL80" s="910"/>
      <c r="AM80" s="910"/>
      <c r="AN80" s="910"/>
      <c r="AO80" s="910"/>
      <c r="AP80" s="910"/>
      <c r="AQ80" s="910"/>
      <c r="AR80" s="910"/>
      <c r="AS80" s="910"/>
      <c r="AT80" s="910"/>
      <c r="AU80" s="910"/>
      <c r="AV80" s="910"/>
      <c r="AW80" s="910"/>
      <c r="AX80" s="910"/>
      <c r="AY80" s="910"/>
      <c r="AZ80" s="910"/>
      <c r="BA80" s="910"/>
      <c r="BB80" s="910"/>
      <c r="BC80" s="910"/>
      <c r="BD80" s="910"/>
      <c r="BE80" s="910"/>
      <c r="BF80" s="910"/>
      <c r="BG80" s="910"/>
      <c r="BH80" s="910"/>
      <c r="BI80" s="910"/>
      <c r="BJ80" s="910"/>
      <c r="BK80" s="910"/>
      <c r="BL80" s="910"/>
      <c r="BM80" s="910"/>
      <c r="BN80" s="910"/>
      <c r="BO80" s="910"/>
      <c r="BP80" s="910"/>
      <c r="BQ80" s="910"/>
      <c r="BR80" s="910"/>
      <c r="BS80" s="910"/>
      <c r="BT80" s="910"/>
      <c r="BU80" s="910"/>
      <c r="BV80" s="910"/>
      <c r="BW80" s="910"/>
      <c r="BX80" s="910"/>
      <c r="BY80" s="910"/>
      <c r="BZ80" s="910"/>
      <c r="CA80" s="910"/>
      <c r="CB80" s="910"/>
      <c r="CC80" s="910"/>
      <c r="CD80" s="910"/>
      <c r="CE80" s="910"/>
      <c r="CF80" s="910"/>
      <c r="CG80" s="910"/>
      <c r="CH80" s="910"/>
      <c r="CI80" s="910"/>
      <c r="CJ80" s="910"/>
      <c r="CK80" s="910"/>
      <c r="CL80" s="910"/>
      <c r="CM80" s="910"/>
      <c r="CN80" s="910"/>
      <c r="CO80" s="910"/>
      <c r="CP80" s="910"/>
      <c r="CQ80" s="910"/>
      <c r="CR80" s="910"/>
      <c r="CS80" s="910"/>
      <c r="CT80" s="910"/>
      <c r="CU80" s="910"/>
      <c r="CV80" s="910"/>
      <c r="CW80" s="910"/>
      <c r="CX80" s="910"/>
      <c r="CY80" s="910"/>
      <c r="CZ80" s="910"/>
      <c r="DA80" s="910"/>
      <c r="DB80" s="910"/>
      <c r="DC80" s="910"/>
      <c r="DD80" s="910"/>
      <c r="DE80" s="910"/>
      <c r="DF80" s="910"/>
      <c r="DG80" s="910"/>
      <c r="DH80" s="910"/>
      <c r="DI80" s="910"/>
      <c r="DJ80" s="910"/>
      <c r="DK80" s="910"/>
      <c r="DL80" s="910"/>
      <c r="DM80" s="910"/>
      <c r="DN80" s="910"/>
      <c r="DO80" s="910"/>
      <c r="DP80" s="910"/>
      <c r="DQ80" s="910"/>
      <c r="DR80" s="910"/>
      <c r="DS80" s="910"/>
      <c r="DT80" s="910"/>
      <c r="DU80" s="910"/>
      <c r="DV80" s="910"/>
      <c r="DW80" s="910"/>
      <c r="DX80" s="910"/>
      <c r="DY80" s="910"/>
      <c r="DZ80" s="910"/>
      <c r="EA80" s="910"/>
      <c r="EB80" s="910"/>
      <c r="EC80" s="910"/>
      <c r="ED80" s="910"/>
      <c r="EE80" s="910"/>
      <c r="EF80" s="910"/>
      <c r="EG80" s="910"/>
      <c r="EH80" s="910"/>
      <c r="EI80" s="910"/>
      <c r="EJ80" s="910"/>
      <c r="EK80" s="910"/>
      <c r="EL80" s="910"/>
      <c r="EM80" s="910"/>
      <c r="EN80" s="910"/>
      <c r="EO80" s="910"/>
      <c r="EP80" s="910"/>
      <c r="EQ80" s="910"/>
      <c r="ER80" s="910"/>
      <c r="ES80" s="910"/>
      <c r="ET80" s="910"/>
      <c r="EU80" s="910"/>
      <c r="EV80" s="910"/>
      <c r="EW80" s="910"/>
      <c r="EX80" s="910"/>
      <c r="EY80" s="910"/>
      <c r="EZ80" s="910"/>
      <c r="FA80" s="910"/>
      <c r="FB80" s="910"/>
      <c r="FC80" s="910"/>
      <c r="FD80" s="910"/>
      <c r="FE80" s="910"/>
      <c r="FF80" s="910"/>
      <c r="FG80" s="910"/>
      <c r="FH80" s="910"/>
      <c r="FI80" s="910"/>
      <c r="FJ80" s="910"/>
      <c r="FK80" s="910"/>
      <c r="FL80" s="910"/>
      <c r="FM80" s="910"/>
      <c r="FN80" s="910"/>
      <c r="FO80" s="910"/>
      <c r="FP80" s="910"/>
      <c r="FQ80" s="910"/>
      <c r="FR80" s="910"/>
      <c r="FS80" s="910"/>
      <c r="FT80" s="910"/>
      <c r="FU80" s="910"/>
      <c r="FV80" s="910"/>
      <c r="FW80" s="910"/>
      <c r="FX80" s="910"/>
      <c r="FY80" s="910"/>
      <c r="FZ80" s="910"/>
      <c r="GA80" s="910"/>
      <c r="GB80" s="910"/>
      <c r="GC80" s="910"/>
      <c r="GD80" s="910"/>
      <c r="GE80" s="910"/>
      <c r="GF80" s="910"/>
      <c r="GG80" s="910"/>
      <c r="GH80" s="910"/>
      <c r="GI80" s="910"/>
      <c r="GJ80" s="910"/>
      <c r="GK80" s="910"/>
      <c r="GL80" s="910"/>
      <c r="GM80" s="910"/>
      <c r="GN80" s="910"/>
      <c r="GO80" s="910"/>
      <c r="GP80" s="910"/>
      <c r="GQ80" s="910"/>
      <c r="GR80" s="910"/>
      <c r="GS80" s="910"/>
      <c r="GT80" s="910"/>
      <c r="GU80" s="910"/>
      <c r="GV80" s="910"/>
      <c r="GW80" s="910"/>
      <c r="GX80" s="910"/>
      <c r="GY80" s="910"/>
      <c r="GZ80" s="910"/>
      <c r="HA80" s="910"/>
      <c r="HB80" s="910"/>
      <c r="HC80" s="910"/>
      <c r="HD80" s="910"/>
      <c r="HE80" s="910"/>
      <c r="HF80" s="910"/>
      <c r="HG80" s="910"/>
      <c r="HH80" s="910"/>
      <c r="HI80" s="910"/>
      <c r="HJ80" s="910"/>
      <c r="HK80" s="910"/>
      <c r="HL80" s="910"/>
      <c r="HM80" s="910"/>
      <c r="HN80" s="910"/>
      <c r="HO80" s="910"/>
      <c r="HP80" s="910"/>
      <c r="HQ80" s="910"/>
      <c r="HR80" s="910"/>
      <c r="HS80" s="910"/>
      <c r="HT80" s="910"/>
      <c r="HU80" s="910"/>
      <c r="HV80" s="910"/>
      <c r="HW80" s="910"/>
      <c r="HX80" s="910"/>
      <c r="HY80" s="910"/>
      <c r="HZ80" s="910"/>
      <c r="IA80" s="910"/>
      <c r="IB80" s="910"/>
      <c r="IC80" s="910"/>
      <c r="ID80" s="910"/>
      <c r="IE80" s="910"/>
      <c r="IF80" s="910"/>
      <c r="IG80" s="910"/>
      <c r="IH80" s="910"/>
      <c r="II80" s="910"/>
      <c r="IJ80" s="910"/>
      <c r="IK80" s="910"/>
    </row>
    <row r="81" spans="1:245" ht="24" customHeight="1">
      <c r="A81" s="943">
        <v>1</v>
      </c>
      <c r="B81" s="932" t="s">
        <v>1310</v>
      </c>
      <c r="C81" s="934">
        <v>4900287708</v>
      </c>
      <c r="D81" s="926">
        <f t="shared" ref="D81:D91" si="6">SUM(E81:I81)</f>
        <v>2200</v>
      </c>
      <c r="E81" s="946">
        <v>2200</v>
      </c>
      <c r="F81" s="946">
        <v>0</v>
      </c>
      <c r="G81" s="926"/>
      <c r="H81" s="928"/>
      <c r="I81" s="947"/>
    </row>
    <row r="82" spans="1:245" ht="24" customHeight="1">
      <c r="A82" s="943">
        <v>2</v>
      </c>
      <c r="B82" s="948" t="s">
        <v>1311</v>
      </c>
      <c r="C82" s="925" t="s">
        <v>1312</v>
      </c>
      <c r="D82" s="926">
        <f t="shared" si="6"/>
        <v>420</v>
      </c>
      <c r="E82" s="946"/>
      <c r="F82" s="949">
        <v>420</v>
      </c>
      <c r="G82" s="926"/>
      <c r="H82" s="928"/>
      <c r="I82" s="947"/>
    </row>
    <row r="83" spans="1:245" ht="24" customHeight="1">
      <c r="A83" s="943">
        <v>3</v>
      </c>
      <c r="B83" s="948" t="s">
        <v>1313</v>
      </c>
      <c r="C83" s="925" t="s">
        <v>1314</v>
      </c>
      <c r="D83" s="926">
        <f t="shared" si="6"/>
        <v>220</v>
      </c>
      <c r="E83" s="946"/>
      <c r="F83" s="949">
        <v>220</v>
      </c>
      <c r="G83" s="926"/>
      <c r="H83" s="928"/>
      <c r="I83" s="947"/>
    </row>
    <row r="84" spans="1:245" ht="24" customHeight="1">
      <c r="A84" s="943">
        <v>4</v>
      </c>
      <c r="B84" s="933" t="s">
        <v>1315</v>
      </c>
      <c r="C84" s="925" t="s">
        <v>1316</v>
      </c>
      <c r="D84" s="926">
        <f t="shared" si="6"/>
        <v>220</v>
      </c>
      <c r="E84" s="946"/>
      <c r="F84" s="949">
        <v>220</v>
      </c>
      <c r="G84" s="926"/>
      <c r="H84" s="928"/>
      <c r="I84" s="947"/>
    </row>
    <row r="85" spans="1:245" ht="24" customHeight="1">
      <c r="A85" s="943">
        <v>5</v>
      </c>
      <c r="B85" s="950" t="s">
        <v>1317</v>
      </c>
      <c r="C85" s="934">
        <v>4900247060</v>
      </c>
      <c r="D85" s="926">
        <f t="shared" si="6"/>
        <v>30</v>
      </c>
      <c r="E85" s="946">
        <v>30</v>
      </c>
      <c r="F85" s="949"/>
      <c r="G85" s="926"/>
      <c r="H85" s="928"/>
      <c r="I85" s="947"/>
    </row>
    <row r="86" spans="1:245" ht="24" customHeight="1">
      <c r="A86" s="943">
        <v>6</v>
      </c>
      <c r="B86" s="950" t="s">
        <v>1318</v>
      </c>
      <c r="C86" s="934">
        <v>4900256587</v>
      </c>
      <c r="D86" s="926">
        <f t="shared" si="6"/>
        <v>150</v>
      </c>
      <c r="E86" s="946">
        <v>150</v>
      </c>
      <c r="F86" s="949"/>
      <c r="G86" s="926"/>
      <c r="H86" s="928"/>
      <c r="I86" s="947"/>
    </row>
    <row r="87" spans="1:245" ht="24" customHeight="1">
      <c r="A87" s="943">
        <v>7</v>
      </c>
      <c r="B87" s="932" t="s">
        <v>1319</v>
      </c>
      <c r="C87" s="934">
        <v>4900271514</v>
      </c>
      <c r="D87" s="926">
        <f t="shared" si="6"/>
        <v>300</v>
      </c>
      <c r="E87" s="946">
        <v>300</v>
      </c>
      <c r="F87" s="949"/>
      <c r="G87" s="926"/>
      <c r="H87" s="928"/>
      <c r="I87" s="947"/>
    </row>
    <row r="88" spans="1:245" ht="24" customHeight="1">
      <c r="A88" s="943">
        <v>8</v>
      </c>
      <c r="B88" s="948" t="s">
        <v>1320</v>
      </c>
      <c r="C88" s="934">
        <v>4900627640</v>
      </c>
      <c r="D88" s="926">
        <f t="shared" si="6"/>
        <v>120</v>
      </c>
      <c r="E88" s="946"/>
      <c r="F88" s="949">
        <v>120</v>
      </c>
      <c r="G88" s="926"/>
      <c r="H88" s="928"/>
      <c r="I88" s="947"/>
    </row>
    <row r="89" spans="1:245" ht="24" customHeight="1">
      <c r="A89" s="943">
        <v>9</v>
      </c>
      <c r="B89" s="932" t="s">
        <v>1321</v>
      </c>
      <c r="C89" s="934">
        <v>4900755699</v>
      </c>
      <c r="D89" s="926">
        <f t="shared" si="6"/>
        <v>1100</v>
      </c>
      <c r="E89" s="946">
        <v>1100</v>
      </c>
      <c r="F89" s="949"/>
      <c r="G89" s="926"/>
      <c r="H89" s="928"/>
      <c r="I89" s="947"/>
    </row>
    <row r="90" spans="1:245" ht="24" customHeight="1">
      <c r="A90" s="943">
        <v>10</v>
      </c>
      <c r="B90" s="932" t="s">
        <v>1322</v>
      </c>
      <c r="C90" s="934">
        <v>4900790069</v>
      </c>
      <c r="D90" s="926">
        <f t="shared" si="6"/>
        <v>60</v>
      </c>
      <c r="E90" s="946">
        <v>60</v>
      </c>
      <c r="F90" s="949"/>
      <c r="G90" s="926"/>
      <c r="H90" s="928"/>
      <c r="I90" s="947"/>
    </row>
    <row r="91" spans="1:245" ht="24" customHeight="1">
      <c r="A91" s="943">
        <v>11</v>
      </c>
      <c r="B91" s="930" t="s">
        <v>1270</v>
      </c>
      <c r="C91" s="925"/>
      <c r="D91" s="926">
        <f t="shared" si="6"/>
        <v>2180</v>
      </c>
      <c r="E91" s="946">
        <v>1660</v>
      </c>
      <c r="F91" s="949">
        <v>520</v>
      </c>
      <c r="G91" s="926"/>
      <c r="H91" s="928"/>
      <c r="I91" s="947"/>
    </row>
    <row r="92" spans="1:245" s="942" customFormat="1" ht="24" customHeight="1">
      <c r="A92" s="951" t="s">
        <v>8</v>
      </c>
      <c r="B92" s="920" t="s">
        <v>256</v>
      </c>
      <c r="C92" s="940"/>
      <c r="D92" s="952">
        <f>SUM(D93:D144)</f>
        <v>145390.28430197481</v>
      </c>
      <c r="E92" s="952">
        <f>SUM(E93:E144)</f>
        <v>40000.383981165709</v>
      </c>
      <c r="F92" s="952">
        <f t="shared" ref="F92:I92" si="7">SUM(F93:F144)</f>
        <v>76269.497588163635</v>
      </c>
      <c r="G92" s="952">
        <f t="shared" si="7"/>
        <v>700</v>
      </c>
      <c r="H92" s="952">
        <f t="shared" si="7"/>
        <v>28420.402732645467</v>
      </c>
      <c r="I92" s="952">
        <f t="shared" si="7"/>
        <v>0</v>
      </c>
      <c r="J92" s="910"/>
      <c r="K92" s="910"/>
      <c r="L92" s="910"/>
      <c r="M92" s="910"/>
      <c r="N92" s="910"/>
      <c r="O92" s="910"/>
      <c r="P92" s="910"/>
      <c r="Q92" s="910"/>
      <c r="R92" s="910"/>
      <c r="S92" s="910"/>
      <c r="T92" s="910"/>
      <c r="U92" s="910"/>
      <c r="V92" s="910"/>
      <c r="W92" s="910"/>
      <c r="X92" s="910"/>
      <c r="Y92" s="910"/>
      <c r="Z92" s="910"/>
      <c r="AA92" s="910"/>
      <c r="AB92" s="910"/>
      <c r="AC92" s="910"/>
      <c r="AD92" s="910"/>
      <c r="AE92" s="910"/>
      <c r="AF92" s="910"/>
      <c r="AG92" s="910"/>
      <c r="AH92" s="910"/>
      <c r="AI92" s="910"/>
      <c r="AJ92" s="910"/>
      <c r="AK92" s="910"/>
      <c r="AL92" s="910"/>
      <c r="AM92" s="910"/>
      <c r="AN92" s="910"/>
      <c r="AO92" s="910"/>
      <c r="AP92" s="910"/>
      <c r="AQ92" s="910"/>
      <c r="AR92" s="910"/>
      <c r="AS92" s="910"/>
      <c r="AT92" s="910"/>
      <c r="AU92" s="910"/>
      <c r="AV92" s="910"/>
      <c r="AW92" s="910"/>
      <c r="AX92" s="910"/>
      <c r="AY92" s="910"/>
      <c r="AZ92" s="910"/>
      <c r="BA92" s="910"/>
      <c r="BB92" s="910"/>
      <c r="BC92" s="910"/>
      <c r="BD92" s="910"/>
      <c r="BE92" s="910"/>
      <c r="BF92" s="910"/>
      <c r="BG92" s="910"/>
      <c r="BH92" s="910"/>
      <c r="BI92" s="910"/>
      <c r="BJ92" s="910"/>
      <c r="BK92" s="910"/>
      <c r="BL92" s="910"/>
      <c r="BM92" s="910"/>
      <c r="BN92" s="910"/>
      <c r="BO92" s="910"/>
      <c r="BP92" s="910"/>
      <c r="BQ92" s="910"/>
      <c r="BR92" s="910"/>
      <c r="BS92" s="910"/>
      <c r="BT92" s="910"/>
      <c r="BU92" s="910"/>
      <c r="BV92" s="910"/>
      <c r="BW92" s="910"/>
      <c r="BX92" s="910"/>
      <c r="BY92" s="910"/>
      <c r="BZ92" s="910"/>
      <c r="CA92" s="910"/>
      <c r="CB92" s="910"/>
      <c r="CC92" s="910"/>
      <c r="CD92" s="910"/>
      <c r="CE92" s="910"/>
      <c r="CF92" s="910"/>
      <c r="CG92" s="910"/>
      <c r="CH92" s="910"/>
      <c r="CI92" s="910"/>
      <c r="CJ92" s="910"/>
      <c r="CK92" s="910"/>
      <c r="CL92" s="910"/>
      <c r="CM92" s="910"/>
      <c r="CN92" s="910"/>
      <c r="CO92" s="910"/>
      <c r="CP92" s="910"/>
      <c r="CQ92" s="910"/>
      <c r="CR92" s="910"/>
      <c r="CS92" s="910"/>
      <c r="CT92" s="910"/>
      <c r="CU92" s="910"/>
      <c r="CV92" s="910"/>
      <c r="CW92" s="910"/>
      <c r="CX92" s="910"/>
      <c r="CY92" s="910"/>
      <c r="CZ92" s="910"/>
      <c r="DA92" s="910"/>
      <c r="DB92" s="910"/>
      <c r="DC92" s="910"/>
      <c r="DD92" s="910"/>
      <c r="DE92" s="910"/>
      <c r="DF92" s="910"/>
      <c r="DG92" s="910"/>
      <c r="DH92" s="910"/>
      <c r="DI92" s="910"/>
      <c r="DJ92" s="910"/>
      <c r="DK92" s="910"/>
      <c r="DL92" s="910"/>
      <c r="DM92" s="910"/>
      <c r="DN92" s="910"/>
      <c r="DO92" s="910"/>
      <c r="DP92" s="910"/>
      <c r="DQ92" s="910"/>
      <c r="DR92" s="910"/>
      <c r="DS92" s="910"/>
      <c r="DT92" s="910"/>
      <c r="DU92" s="910"/>
      <c r="DV92" s="910"/>
      <c r="DW92" s="910"/>
      <c r="DX92" s="910"/>
      <c r="DY92" s="910"/>
      <c r="DZ92" s="910"/>
      <c r="EA92" s="910"/>
      <c r="EB92" s="910"/>
      <c r="EC92" s="910"/>
      <c r="ED92" s="910"/>
      <c r="EE92" s="910"/>
      <c r="EF92" s="910"/>
      <c r="EG92" s="910"/>
      <c r="EH92" s="910"/>
      <c r="EI92" s="910"/>
      <c r="EJ92" s="910"/>
      <c r="EK92" s="910"/>
      <c r="EL92" s="910"/>
      <c r="EM92" s="910"/>
      <c r="EN92" s="910"/>
      <c r="EO92" s="910"/>
      <c r="EP92" s="910"/>
      <c r="EQ92" s="910"/>
      <c r="ER92" s="910"/>
      <c r="ES92" s="910"/>
      <c r="ET92" s="910"/>
      <c r="EU92" s="910"/>
      <c r="EV92" s="910"/>
      <c r="EW92" s="910"/>
      <c r="EX92" s="910"/>
      <c r="EY92" s="910"/>
      <c r="EZ92" s="910"/>
      <c r="FA92" s="910"/>
      <c r="FB92" s="910"/>
      <c r="FC92" s="910"/>
      <c r="FD92" s="910"/>
      <c r="FE92" s="910"/>
      <c r="FF92" s="910"/>
      <c r="FG92" s="910"/>
      <c r="FH92" s="910"/>
      <c r="FI92" s="910"/>
      <c r="FJ92" s="910"/>
      <c r="FK92" s="910"/>
      <c r="FL92" s="910"/>
      <c r="FM92" s="910"/>
      <c r="FN92" s="910"/>
      <c r="FO92" s="910"/>
      <c r="FP92" s="910"/>
      <c r="FQ92" s="910"/>
      <c r="FR92" s="910"/>
      <c r="FS92" s="910"/>
      <c r="FT92" s="910"/>
      <c r="FU92" s="910"/>
      <c r="FV92" s="910"/>
      <c r="FW92" s="910"/>
      <c r="FX92" s="910"/>
      <c r="FY92" s="910"/>
      <c r="FZ92" s="910"/>
      <c r="GA92" s="910"/>
      <c r="GB92" s="910"/>
      <c r="GC92" s="910"/>
      <c r="GD92" s="910"/>
      <c r="GE92" s="910"/>
      <c r="GF92" s="910"/>
      <c r="GG92" s="910"/>
      <c r="GH92" s="910"/>
      <c r="GI92" s="910"/>
      <c r="GJ92" s="910"/>
      <c r="GK92" s="910"/>
      <c r="GL92" s="910"/>
      <c r="GM92" s="910"/>
      <c r="GN92" s="910"/>
      <c r="GO92" s="910"/>
      <c r="GP92" s="910"/>
      <c r="GQ92" s="910"/>
      <c r="GR92" s="910"/>
      <c r="GS92" s="910"/>
      <c r="GT92" s="910"/>
      <c r="GU92" s="910"/>
      <c r="GV92" s="910"/>
      <c r="GW92" s="910"/>
      <c r="GX92" s="910"/>
      <c r="GY92" s="910"/>
      <c r="GZ92" s="910"/>
      <c r="HA92" s="910"/>
      <c r="HB92" s="910"/>
      <c r="HC92" s="910"/>
      <c r="HD92" s="910"/>
      <c r="HE92" s="910"/>
      <c r="HF92" s="910"/>
      <c r="HG92" s="910"/>
      <c r="HH92" s="910"/>
      <c r="HI92" s="910"/>
      <c r="HJ92" s="910"/>
      <c r="HK92" s="910"/>
      <c r="HL92" s="910"/>
      <c r="HM92" s="910"/>
      <c r="HN92" s="910"/>
      <c r="HO92" s="910"/>
      <c r="HP92" s="910"/>
      <c r="HQ92" s="910"/>
      <c r="HR92" s="910"/>
      <c r="HS92" s="910"/>
      <c r="HT92" s="910"/>
      <c r="HU92" s="910"/>
      <c r="HV92" s="910"/>
      <c r="HW92" s="910"/>
      <c r="HX92" s="910"/>
      <c r="HY92" s="910"/>
      <c r="HZ92" s="910"/>
      <c r="IA92" s="910"/>
      <c r="IB92" s="910"/>
      <c r="IC92" s="910"/>
      <c r="ID92" s="910"/>
      <c r="IE92" s="910"/>
      <c r="IF92" s="910"/>
      <c r="IG92" s="910"/>
      <c r="IH92" s="910"/>
      <c r="II92" s="910"/>
      <c r="IJ92" s="910"/>
      <c r="IK92" s="910"/>
    </row>
    <row r="93" spans="1:245" ht="24" customHeight="1">
      <c r="A93" s="943">
        <v>1</v>
      </c>
      <c r="B93" s="948" t="s">
        <v>1166</v>
      </c>
      <c r="C93" s="925">
        <v>4900225282</v>
      </c>
      <c r="D93" s="926">
        <f t="shared" ref="D93:D144" si="8">SUM(E93:I93)</f>
        <v>10058.404721600195</v>
      </c>
      <c r="E93" s="926">
        <v>0</v>
      </c>
      <c r="F93" s="926">
        <v>2000</v>
      </c>
      <c r="G93" s="926"/>
      <c r="H93" s="928">
        <v>8058.4047216001945</v>
      </c>
      <c r="I93" s="926"/>
    </row>
    <row r="94" spans="1:245" ht="24" customHeight="1">
      <c r="A94" s="943">
        <v>2</v>
      </c>
      <c r="B94" s="948" t="s">
        <v>1323</v>
      </c>
      <c r="C94" s="925">
        <v>4900239158</v>
      </c>
      <c r="D94" s="926">
        <f t="shared" si="8"/>
        <v>61400</v>
      </c>
      <c r="E94" s="926">
        <v>26400</v>
      </c>
      <c r="F94" s="926">
        <v>35000</v>
      </c>
      <c r="G94" s="926"/>
      <c r="H94" s="928">
        <v>0</v>
      </c>
      <c r="I94" s="926"/>
    </row>
    <row r="95" spans="1:245" ht="24" customHeight="1">
      <c r="A95" s="943">
        <v>3</v>
      </c>
      <c r="B95" s="932" t="s">
        <v>1324</v>
      </c>
      <c r="C95" s="925">
        <v>4900213953</v>
      </c>
      <c r="D95" s="926">
        <f t="shared" si="8"/>
        <v>605</v>
      </c>
      <c r="E95" s="926">
        <v>605</v>
      </c>
      <c r="F95" s="926">
        <v>0</v>
      </c>
      <c r="G95" s="926"/>
      <c r="H95" s="928">
        <v>0</v>
      </c>
      <c r="I95" s="926"/>
    </row>
    <row r="96" spans="1:245" ht="24" customHeight="1">
      <c r="A96" s="943">
        <v>4</v>
      </c>
      <c r="B96" s="932" t="s">
        <v>1325</v>
      </c>
      <c r="C96" s="925" t="s">
        <v>1326</v>
      </c>
      <c r="D96" s="926">
        <f t="shared" si="8"/>
        <v>514</v>
      </c>
      <c r="E96" s="926">
        <v>44</v>
      </c>
      <c r="F96" s="926">
        <v>470</v>
      </c>
      <c r="G96" s="926"/>
      <c r="H96" s="928">
        <v>0</v>
      </c>
      <c r="I96" s="926"/>
    </row>
    <row r="97" spans="1:9" ht="24" customHeight="1">
      <c r="A97" s="943">
        <v>5</v>
      </c>
      <c r="B97" s="932" t="s">
        <v>1327</v>
      </c>
      <c r="C97" s="925">
        <v>4900787309</v>
      </c>
      <c r="D97" s="926">
        <f t="shared" si="8"/>
        <v>160</v>
      </c>
      <c r="E97" s="926">
        <v>0</v>
      </c>
      <c r="F97" s="926">
        <v>160</v>
      </c>
      <c r="G97" s="926"/>
      <c r="H97" s="928">
        <v>0</v>
      </c>
      <c r="I97" s="926"/>
    </row>
    <row r="98" spans="1:9" ht="38.25" customHeight="1">
      <c r="A98" s="943">
        <v>6</v>
      </c>
      <c r="B98" s="932" t="s">
        <v>1328</v>
      </c>
      <c r="C98" s="925" t="s">
        <v>1329</v>
      </c>
      <c r="D98" s="926">
        <f t="shared" si="8"/>
        <v>100</v>
      </c>
      <c r="E98" s="926">
        <v>0</v>
      </c>
      <c r="F98" s="926">
        <v>100</v>
      </c>
      <c r="G98" s="926"/>
      <c r="H98" s="928">
        <v>0</v>
      </c>
      <c r="I98" s="926"/>
    </row>
    <row r="99" spans="1:9" ht="24" customHeight="1">
      <c r="A99" s="943">
        <v>7</v>
      </c>
      <c r="B99" s="948" t="s">
        <v>1330</v>
      </c>
      <c r="C99" s="925" t="s">
        <v>1331</v>
      </c>
      <c r="D99" s="926">
        <f t="shared" si="8"/>
        <v>1500</v>
      </c>
      <c r="E99" s="926">
        <v>0</v>
      </c>
      <c r="F99" s="926">
        <v>1500</v>
      </c>
      <c r="G99" s="926"/>
      <c r="H99" s="928">
        <v>0</v>
      </c>
      <c r="I99" s="926"/>
    </row>
    <row r="100" spans="1:9" ht="38.25" customHeight="1">
      <c r="A100" s="943">
        <v>8</v>
      </c>
      <c r="B100" s="948" t="s">
        <v>1332</v>
      </c>
      <c r="C100" s="925" t="s">
        <v>1333</v>
      </c>
      <c r="D100" s="926">
        <f t="shared" si="8"/>
        <v>1898</v>
      </c>
      <c r="E100" s="926">
        <v>0</v>
      </c>
      <c r="F100" s="926">
        <v>1820</v>
      </c>
      <c r="G100" s="926">
        <v>78</v>
      </c>
      <c r="H100" s="928">
        <v>0</v>
      </c>
      <c r="I100" s="926"/>
    </row>
    <row r="101" spans="1:9" ht="24" customHeight="1">
      <c r="A101" s="943">
        <v>10</v>
      </c>
      <c r="B101" s="932" t="s">
        <v>1334</v>
      </c>
      <c r="C101" s="925">
        <v>4900805276</v>
      </c>
      <c r="D101" s="926">
        <f t="shared" si="8"/>
        <v>110</v>
      </c>
      <c r="E101" s="926">
        <v>0</v>
      </c>
      <c r="F101" s="926">
        <v>110</v>
      </c>
      <c r="G101" s="926"/>
      <c r="H101" s="928">
        <v>0</v>
      </c>
      <c r="I101" s="926"/>
    </row>
    <row r="102" spans="1:9" ht="38.25" customHeight="1">
      <c r="A102" s="943">
        <v>11</v>
      </c>
      <c r="B102" s="932" t="s">
        <v>1335</v>
      </c>
      <c r="C102" s="925" t="s">
        <v>1336</v>
      </c>
      <c r="D102" s="926">
        <f t="shared" si="8"/>
        <v>770</v>
      </c>
      <c r="E102" s="926">
        <v>0</v>
      </c>
      <c r="F102" s="926">
        <v>770</v>
      </c>
      <c r="G102" s="926"/>
      <c r="H102" s="928">
        <v>0</v>
      </c>
      <c r="I102" s="926"/>
    </row>
    <row r="103" spans="1:9" ht="24" customHeight="1">
      <c r="A103" s="943">
        <v>13</v>
      </c>
      <c r="B103" s="929" t="s">
        <v>1337</v>
      </c>
      <c r="C103" s="925">
        <v>4900208992</v>
      </c>
      <c r="D103" s="926">
        <f t="shared" si="8"/>
        <v>1336.7</v>
      </c>
      <c r="E103" s="926">
        <v>29.700000000000003</v>
      </c>
      <c r="F103" s="926">
        <v>1300</v>
      </c>
      <c r="G103" s="926"/>
      <c r="H103" s="928">
        <v>7</v>
      </c>
      <c r="I103" s="926"/>
    </row>
    <row r="104" spans="1:9" ht="16.5" hidden="1" customHeight="1">
      <c r="A104" s="943">
        <v>14</v>
      </c>
      <c r="B104" s="929" t="s">
        <v>1338</v>
      </c>
      <c r="C104" s="925">
        <v>4900323917</v>
      </c>
      <c r="D104" s="926">
        <f t="shared" si="8"/>
        <v>72.800000000000011</v>
      </c>
      <c r="E104" s="926">
        <v>52.800000000000004</v>
      </c>
      <c r="F104" s="926">
        <v>20</v>
      </c>
      <c r="G104" s="926"/>
      <c r="H104" s="928">
        <v>0</v>
      </c>
      <c r="I104" s="926"/>
    </row>
    <row r="105" spans="1:9" ht="24" customHeight="1">
      <c r="A105" s="943">
        <v>15</v>
      </c>
      <c r="B105" s="929" t="s">
        <v>1339</v>
      </c>
      <c r="C105" s="925">
        <v>2400120030</v>
      </c>
      <c r="D105" s="926">
        <f t="shared" si="8"/>
        <v>220</v>
      </c>
      <c r="E105" s="926">
        <v>0</v>
      </c>
      <c r="F105" s="926">
        <v>220</v>
      </c>
      <c r="G105" s="926"/>
      <c r="H105" s="928">
        <v>0</v>
      </c>
      <c r="I105" s="926"/>
    </row>
    <row r="106" spans="1:9" ht="38.25" customHeight="1">
      <c r="A106" s="943">
        <v>18</v>
      </c>
      <c r="B106" s="929" t="s">
        <v>1340</v>
      </c>
      <c r="C106" s="925" t="s">
        <v>1341</v>
      </c>
      <c r="D106" s="926">
        <f t="shared" si="8"/>
        <v>742</v>
      </c>
      <c r="E106" s="926">
        <v>0</v>
      </c>
      <c r="F106" s="926">
        <v>220</v>
      </c>
      <c r="G106" s="926">
        <v>522</v>
      </c>
      <c r="H106" s="928">
        <v>0</v>
      </c>
      <c r="I106" s="926"/>
    </row>
    <row r="107" spans="1:9" ht="24" customHeight="1">
      <c r="A107" s="943">
        <v>19</v>
      </c>
      <c r="B107" s="932" t="s">
        <v>1342</v>
      </c>
      <c r="C107" s="925">
        <v>4900856979</v>
      </c>
      <c r="D107" s="926">
        <f t="shared" si="8"/>
        <v>80</v>
      </c>
      <c r="E107" s="926">
        <v>0</v>
      </c>
      <c r="F107" s="926">
        <v>80</v>
      </c>
      <c r="G107" s="926"/>
      <c r="H107" s="928">
        <v>0</v>
      </c>
      <c r="I107" s="926"/>
    </row>
    <row r="108" spans="1:9" ht="38.25" customHeight="1">
      <c r="A108" s="943">
        <v>20</v>
      </c>
      <c r="B108" s="929" t="s">
        <v>1343</v>
      </c>
      <c r="C108" s="925" t="s">
        <v>1344</v>
      </c>
      <c r="D108" s="926">
        <f t="shared" si="8"/>
        <v>600</v>
      </c>
      <c r="E108" s="926">
        <v>0</v>
      </c>
      <c r="F108" s="926">
        <v>600</v>
      </c>
      <c r="G108" s="926"/>
      <c r="H108" s="928">
        <v>0</v>
      </c>
      <c r="I108" s="926"/>
    </row>
    <row r="109" spans="1:9" ht="24" customHeight="1">
      <c r="A109" s="943">
        <v>21</v>
      </c>
      <c r="B109" s="929" t="s">
        <v>1345</v>
      </c>
      <c r="C109" s="925">
        <v>4900102160</v>
      </c>
      <c r="D109" s="926">
        <f t="shared" si="8"/>
        <v>1540</v>
      </c>
      <c r="E109" s="926">
        <v>1540</v>
      </c>
      <c r="F109" s="926">
        <v>0</v>
      </c>
      <c r="G109" s="926"/>
      <c r="H109" s="928">
        <v>0</v>
      </c>
      <c r="I109" s="926"/>
    </row>
    <row r="110" spans="1:9" ht="24" customHeight="1">
      <c r="A110" s="943">
        <v>22</v>
      </c>
      <c r="B110" s="929" t="s">
        <v>1346</v>
      </c>
      <c r="C110" s="925">
        <v>4900101456</v>
      </c>
      <c r="D110" s="926">
        <f t="shared" si="8"/>
        <v>125.4</v>
      </c>
      <c r="E110" s="926">
        <v>125.4</v>
      </c>
      <c r="F110" s="926">
        <v>0</v>
      </c>
      <c r="G110" s="926"/>
      <c r="H110" s="928">
        <v>0</v>
      </c>
      <c r="I110" s="926"/>
    </row>
    <row r="111" spans="1:9" ht="24" customHeight="1">
      <c r="A111" s="943">
        <v>23</v>
      </c>
      <c r="B111" s="929" t="s">
        <v>1347</v>
      </c>
      <c r="C111" s="925">
        <v>4900102650</v>
      </c>
      <c r="D111" s="926">
        <f t="shared" si="8"/>
        <v>1500</v>
      </c>
      <c r="E111" s="926">
        <v>0</v>
      </c>
      <c r="F111" s="926">
        <v>1500</v>
      </c>
      <c r="G111" s="926"/>
      <c r="H111" s="928">
        <v>0</v>
      </c>
      <c r="I111" s="926"/>
    </row>
    <row r="112" spans="1:9" ht="24" customHeight="1">
      <c r="A112" s="943">
        <v>24</v>
      </c>
      <c r="B112" s="929" t="s">
        <v>1348</v>
      </c>
      <c r="C112" s="925">
        <v>4900222972</v>
      </c>
      <c r="D112" s="926">
        <f t="shared" si="8"/>
        <v>1275</v>
      </c>
      <c r="E112" s="926">
        <v>275</v>
      </c>
      <c r="F112" s="926">
        <v>1000</v>
      </c>
      <c r="G112" s="926"/>
      <c r="H112" s="928">
        <v>0</v>
      </c>
      <c r="I112" s="926"/>
    </row>
    <row r="113" spans="1:9" ht="24" customHeight="1">
      <c r="A113" s="943">
        <v>25</v>
      </c>
      <c r="B113" s="929" t="s">
        <v>1349</v>
      </c>
      <c r="C113" s="925">
        <v>4900734064</v>
      </c>
      <c r="D113" s="926">
        <f t="shared" si="8"/>
        <v>923</v>
      </c>
      <c r="E113" s="926">
        <v>0</v>
      </c>
      <c r="F113" s="926">
        <v>600</v>
      </c>
      <c r="G113" s="926"/>
      <c r="H113" s="928">
        <v>323</v>
      </c>
      <c r="I113" s="926"/>
    </row>
    <row r="114" spans="1:9" ht="24" customHeight="1">
      <c r="A114" s="943">
        <v>26</v>
      </c>
      <c r="B114" s="929" t="s">
        <v>1350</v>
      </c>
      <c r="C114" s="925">
        <v>4900101128</v>
      </c>
      <c r="D114" s="926">
        <f t="shared" si="8"/>
        <v>939.6</v>
      </c>
      <c r="E114" s="926">
        <v>259.60000000000002</v>
      </c>
      <c r="F114" s="926">
        <v>680</v>
      </c>
      <c r="G114" s="926"/>
      <c r="H114" s="928">
        <v>0</v>
      </c>
      <c r="I114" s="926"/>
    </row>
    <row r="115" spans="1:9" ht="24" customHeight="1">
      <c r="A115" s="943">
        <v>27</v>
      </c>
      <c r="B115" s="929" t="s">
        <v>1351</v>
      </c>
      <c r="C115" s="925">
        <v>4900838585</v>
      </c>
      <c r="D115" s="926">
        <f t="shared" si="8"/>
        <v>341</v>
      </c>
      <c r="E115" s="926">
        <v>341</v>
      </c>
      <c r="F115" s="926">
        <v>0</v>
      </c>
      <c r="G115" s="926"/>
      <c r="H115" s="928">
        <v>0</v>
      </c>
      <c r="I115" s="926"/>
    </row>
    <row r="116" spans="1:9" ht="24" customHeight="1">
      <c r="A116" s="943">
        <v>28</v>
      </c>
      <c r="B116" s="929" t="s">
        <v>1352</v>
      </c>
      <c r="C116" s="925">
        <v>4900224810</v>
      </c>
      <c r="D116" s="926">
        <f t="shared" si="8"/>
        <v>637.4</v>
      </c>
      <c r="E116" s="926">
        <v>37.4</v>
      </c>
      <c r="F116" s="926">
        <v>600</v>
      </c>
      <c r="G116" s="926"/>
      <c r="H116" s="928">
        <v>0</v>
      </c>
      <c r="I116" s="926"/>
    </row>
    <row r="117" spans="1:9" ht="24" customHeight="1">
      <c r="A117" s="943">
        <v>29</v>
      </c>
      <c r="B117" s="929" t="s">
        <v>1353</v>
      </c>
      <c r="C117" s="925">
        <v>4900101544</v>
      </c>
      <c r="D117" s="926">
        <f t="shared" si="8"/>
        <v>280</v>
      </c>
      <c r="E117" s="926">
        <v>0</v>
      </c>
      <c r="F117" s="926">
        <v>280</v>
      </c>
      <c r="G117" s="926"/>
      <c r="H117" s="928">
        <v>0</v>
      </c>
      <c r="I117" s="926"/>
    </row>
    <row r="118" spans="1:9" ht="24" customHeight="1">
      <c r="A118" s="943">
        <v>30</v>
      </c>
      <c r="B118" s="929" t="s">
        <v>1354</v>
      </c>
      <c r="C118" s="925">
        <v>4900100075</v>
      </c>
      <c r="D118" s="926">
        <f t="shared" si="8"/>
        <v>350</v>
      </c>
      <c r="E118" s="926">
        <v>0</v>
      </c>
      <c r="F118" s="926">
        <v>350</v>
      </c>
      <c r="G118" s="926"/>
      <c r="H118" s="928">
        <v>0</v>
      </c>
      <c r="I118" s="926"/>
    </row>
    <row r="119" spans="1:9" ht="24" customHeight="1">
      <c r="A119" s="943">
        <v>31</v>
      </c>
      <c r="B119" s="929" t="s">
        <v>1355</v>
      </c>
      <c r="C119" s="925">
        <v>4900225356</v>
      </c>
      <c r="D119" s="926">
        <f t="shared" si="8"/>
        <v>2023</v>
      </c>
      <c r="E119" s="926">
        <v>1958</v>
      </c>
      <c r="F119" s="926">
        <v>65</v>
      </c>
      <c r="G119" s="926"/>
      <c r="H119" s="928">
        <v>0</v>
      </c>
      <c r="I119" s="926"/>
    </row>
    <row r="120" spans="1:9" ht="24" customHeight="1">
      <c r="A120" s="943">
        <v>32</v>
      </c>
      <c r="B120" s="929" t="s">
        <v>1356</v>
      </c>
      <c r="C120" s="925">
        <v>4900142205</v>
      </c>
      <c r="D120" s="926">
        <f t="shared" si="8"/>
        <v>750</v>
      </c>
      <c r="E120" s="926">
        <v>0</v>
      </c>
      <c r="F120" s="926">
        <v>750</v>
      </c>
      <c r="G120" s="926"/>
      <c r="H120" s="928">
        <v>0</v>
      </c>
      <c r="I120" s="926"/>
    </row>
    <row r="121" spans="1:9" ht="24" customHeight="1">
      <c r="A121" s="943">
        <v>33</v>
      </c>
      <c r="B121" s="929" t="s">
        <v>1357</v>
      </c>
      <c r="C121" s="925">
        <v>104219565</v>
      </c>
      <c r="D121" s="926">
        <f t="shared" si="8"/>
        <v>5196.3900110452742</v>
      </c>
      <c r="E121" s="926">
        <v>1122</v>
      </c>
      <c r="F121" s="926">
        <v>1000</v>
      </c>
      <c r="G121" s="926"/>
      <c r="H121" s="928">
        <v>3074.3900110452742</v>
      </c>
      <c r="I121" s="926"/>
    </row>
    <row r="122" spans="1:9" ht="24" customHeight="1">
      <c r="A122" s="943">
        <v>34</v>
      </c>
      <c r="B122" s="929" t="s">
        <v>1358</v>
      </c>
      <c r="C122" s="925">
        <v>4900121050</v>
      </c>
      <c r="D122" s="926">
        <f t="shared" si="8"/>
        <v>891</v>
      </c>
      <c r="E122" s="926">
        <v>341</v>
      </c>
      <c r="F122" s="926">
        <v>550</v>
      </c>
      <c r="G122" s="926"/>
      <c r="H122" s="928">
        <v>0</v>
      </c>
      <c r="I122" s="926"/>
    </row>
    <row r="123" spans="1:9" ht="38.25" customHeight="1">
      <c r="A123" s="943">
        <v>35</v>
      </c>
      <c r="B123" s="929" t="s">
        <v>1359</v>
      </c>
      <c r="C123" s="925" t="s">
        <v>1360</v>
      </c>
      <c r="D123" s="926">
        <f t="shared" si="8"/>
        <v>60</v>
      </c>
      <c r="E123" s="926">
        <v>0</v>
      </c>
      <c r="F123" s="926">
        <v>60</v>
      </c>
      <c r="G123" s="926"/>
      <c r="H123" s="928">
        <v>0</v>
      </c>
      <c r="I123" s="926"/>
    </row>
    <row r="124" spans="1:9" ht="38.25" customHeight="1">
      <c r="A124" s="943">
        <v>36</v>
      </c>
      <c r="B124" s="929" t="s">
        <v>1361</v>
      </c>
      <c r="C124" s="925" t="s">
        <v>1362</v>
      </c>
      <c r="D124" s="926">
        <f t="shared" si="8"/>
        <v>300</v>
      </c>
      <c r="E124" s="926">
        <v>0</v>
      </c>
      <c r="F124" s="926">
        <v>300</v>
      </c>
      <c r="G124" s="926"/>
      <c r="H124" s="928">
        <v>0</v>
      </c>
      <c r="I124" s="926"/>
    </row>
    <row r="125" spans="1:9" ht="38.25" customHeight="1">
      <c r="A125" s="943">
        <v>37</v>
      </c>
      <c r="B125" s="929" t="s">
        <v>1363</v>
      </c>
      <c r="C125" s="925" t="s">
        <v>1364</v>
      </c>
      <c r="D125" s="926">
        <f t="shared" si="8"/>
        <v>1260</v>
      </c>
      <c r="E125" s="926">
        <v>0</v>
      </c>
      <c r="F125" s="926">
        <v>1260</v>
      </c>
      <c r="G125" s="926"/>
      <c r="H125" s="928">
        <v>0</v>
      </c>
      <c r="I125" s="926"/>
    </row>
    <row r="126" spans="1:9" ht="38.25" customHeight="1">
      <c r="A126" s="943">
        <v>38</v>
      </c>
      <c r="B126" s="929" t="s">
        <v>1365</v>
      </c>
      <c r="C126" s="925" t="s">
        <v>1366</v>
      </c>
      <c r="D126" s="926">
        <f t="shared" si="8"/>
        <v>460</v>
      </c>
      <c r="E126" s="926">
        <v>0</v>
      </c>
      <c r="F126" s="926">
        <v>460</v>
      </c>
      <c r="G126" s="926"/>
      <c r="H126" s="928">
        <v>0</v>
      </c>
      <c r="I126" s="926"/>
    </row>
    <row r="127" spans="1:9" ht="24" hidden="1" customHeight="1">
      <c r="A127" s="943">
        <v>39</v>
      </c>
      <c r="B127" s="929" t="s">
        <v>1367</v>
      </c>
      <c r="C127" s="925" t="s">
        <v>1368</v>
      </c>
      <c r="D127" s="926">
        <f t="shared" si="8"/>
        <v>0</v>
      </c>
      <c r="E127" s="926">
        <v>0</v>
      </c>
      <c r="F127" s="926">
        <v>0</v>
      </c>
      <c r="G127" s="926"/>
      <c r="H127" s="928">
        <v>0</v>
      </c>
      <c r="I127" s="926"/>
    </row>
    <row r="128" spans="1:9" ht="24" hidden="1" customHeight="1">
      <c r="A128" s="943">
        <v>40</v>
      </c>
      <c r="B128" s="929" t="s">
        <v>1369</v>
      </c>
      <c r="C128" s="925" t="s">
        <v>1370</v>
      </c>
      <c r="D128" s="926">
        <f t="shared" si="8"/>
        <v>0</v>
      </c>
      <c r="E128" s="926">
        <v>0</v>
      </c>
      <c r="F128" s="926">
        <v>0</v>
      </c>
      <c r="G128" s="926"/>
      <c r="H128" s="928">
        <v>0</v>
      </c>
      <c r="I128" s="926"/>
    </row>
    <row r="129" spans="1:9" ht="24" customHeight="1">
      <c r="A129" s="943">
        <v>39</v>
      </c>
      <c r="B129" s="929" t="s">
        <v>1371</v>
      </c>
      <c r="C129" s="925" t="s">
        <v>1372</v>
      </c>
      <c r="D129" s="926">
        <f t="shared" si="8"/>
        <v>130</v>
      </c>
      <c r="E129" s="926">
        <v>0</v>
      </c>
      <c r="F129" s="926">
        <v>130</v>
      </c>
      <c r="G129" s="926"/>
      <c r="H129" s="928">
        <v>0</v>
      </c>
      <c r="I129" s="926"/>
    </row>
    <row r="130" spans="1:9" ht="24" customHeight="1">
      <c r="A130" s="943">
        <v>40</v>
      </c>
      <c r="B130" s="929" t="s">
        <v>1373</v>
      </c>
      <c r="C130" s="925">
        <v>4900154930</v>
      </c>
      <c r="D130" s="926">
        <f t="shared" si="8"/>
        <v>3242</v>
      </c>
      <c r="E130" s="926">
        <v>242</v>
      </c>
      <c r="F130" s="926">
        <v>3000</v>
      </c>
      <c r="G130" s="926"/>
      <c r="H130" s="928">
        <v>0</v>
      </c>
      <c r="I130" s="926"/>
    </row>
    <row r="131" spans="1:9" ht="24" customHeight="1">
      <c r="A131" s="943">
        <v>41</v>
      </c>
      <c r="B131" s="929" t="s">
        <v>1374</v>
      </c>
      <c r="C131" s="925">
        <v>4900253201</v>
      </c>
      <c r="D131" s="926">
        <f t="shared" si="8"/>
        <v>470</v>
      </c>
      <c r="E131" s="926">
        <v>0</v>
      </c>
      <c r="F131" s="926">
        <v>470</v>
      </c>
      <c r="G131" s="926"/>
      <c r="H131" s="928">
        <v>0</v>
      </c>
      <c r="I131" s="926"/>
    </row>
    <row r="132" spans="1:9" ht="24" customHeight="1">
      <c r="A132" s="943">
        <v>42</v>
      </c>
      <c r="B132" s="929" t="s">
        <v>1375</v>
      </c>
      <c r="C132" s="925">
        <v>4900811985</v>
      </c>
      <c r="D132" s="926">
        <f t="shared" si="8"/>
        <v>1310</v>
      </c>
      <c r="E132" s="926">
        <v>110</v>
      </c>
      <c r="F132" s="926">
        <v>1200</v>
      </c>
      <c r="G132" s="926"/>
      <c r="H132" s="928">
        <v>0</v>
      </c>
      <c r="I132" s="926"/>
    </row>
    <row r="133" spans="1:9" ht="24" customHeight="1">
      <c r="A133" s="943">
        <v>43</v>
      </c>
      <c r="B133" s="929" t="s">
        <v>1376</v>
      </c>
      <c r="C133" s="925">
        <v>4900241083</v>
      </c>
      <c r="D133" s="926">
        <f t="shared" si="8"/>
        <v>1347.5</v>
      </c>
      <c r="E133" s="926">
        <v>0</v>
      </c>
      <c r="F133" s="926">
        <v>490</v>
      </c>
      <c r="G133" s="926"/>
      <c r="H133" s="928">
        <v>857.50000000000011</v>
      </c>
      <c r="I133" s="926"/>
    </row>
    <row r="134" spans="1:9" ht="24" customHeight="1">
      <c r="A134" s="943">
        <v>44</v>
      </c>
      <c r="B134" s="929" t="s">
        <v>1377</v>
      </c>
      <c r="C134" s="925">
        <v>4900142237</v>
      </c>
      <c r="D134" s="926">
        <f t="shared" si="8"/>
        <v>2045</v>
      </c>
      <c r="E134" s="946">
        <v>385</v>
      </c>
      <c r="F134" s="946">
        <v>1660</v>
      </c>
      <c r="G134" s="926"/>
      <c r="H134" s="928">
        <v>0</v>
      </c>
      <c r="I134" s="926"/>
    </row>
    <row r="135" spans="1:9" ht="24" customHeight="1">
      <c r="A135" s="943">
        <v>45</v>
      </c>
      <c r="B135" s="929" t="s">
        <v>1378</v>
      </c>
      <c r="C135" s="925">
        <v>4900225148</v>
      </c>
      <c r="D135" s="926">
        <f t="shared" si="8"/>
        <v>1846.9635368748052</v>
      </c>
      <c r="E135" s="926">
        <v>280.33653696571429</v>
      </c>
      <c r="F135" s="926">
        <v>1566.626999909091</v>
      </c>
      <c r="G135" s="926"/>
      <c r="H135" s="928">
        <v>0</v>
      </c>
      <c r="I135" s="926"/>
    </row>
    <row r="136" spans="1:9" ht="24" customHeight="1">
      <c r="A136" s="943">
        <v>46</v>
      </c>
      <c r="B136" s="929" t="s">
        <v>1379</v>
      </c>
      <c r="C136" s="925">
        <v>103648265</v>
      </c>
      <c r="D136" s="926">
        <f t="shared" si="8"/>
        <v>2415.8899931272726</v>
      </c>
      <c r="E136" s="926">
        <v>84.554152399999992</v>
      </c>
      <c r="F136" s="926">
        <v>423.04784072727267</v>
      </c>
      <c r="G136" s="926"/>
      <c r="H136" s="928">
        <v>1908.288</v>
      </c>
      <c r="I136" s="926"/>
    </row>
    <row r="137" spans="1:9" ht="24" customHeight="1">
      <c r="A137" s="943">
        <v>47</v>
      </c>
      <c r="B137" s="929" t="s">
        <v>1380</v>
      </c>
      <c r="C137" s="925">
        <v>4900762865</v>
      </c>
      <c r="D137" s="926">
        <f t="shared" si="8"/>
        <v>160</v>
      </c>
      <c r="E137" s="926">
        <v>0</v>
      </c>
      <c r="F137" s="926">
        <v>160</v>
      </c>
      <c r="G137" s="926"/>
      <c r="H137" s="928">
        <v>0</v>
      </c>
      <c r="I137" s="926"/>
    </row>
    <row r="138" spans="1:9" ht="24" customHeight="1">
      <c r="A138" s="943">
        <v>48</v>
      </c>
      <c r="B138" s="929" t="s">
        <v>1381</v>
      </c>
      <c r="C138" s="925">
        <v>4900792919</v>
      </c>
      <c r="D138" s="926">
        <f t="shared" si="8"/>
        <v>2388.2571665999999</v>
      </c>
      <c r="E138" s="926">
        <v>225.49329180000001</v>
      </c>
      <c r="F138" s="926">
        <v>2162.7638747999999</v>
      </c>
      <c r="G138" s="926"/>
      <c r="H138" s="928">
        <v>0</v>
      </c>
      <c r="I138" s="926"/>
    </row>
    <row r="139" spans="1:9" ht="24" customHeight="1">
      <c r="A139" s="943">
        <v>49</v>
      </c>
      <c r="B139" s="953" t="s">
        <v>1382</v>
      </c>
      <c r="C139" s="925">
        <v>4900100332</v>
      </c>
      <c r="D139" s="926">
        <f t="shared" si="8"/>
        <v>9700</v>
      </c>
      <c r="E139" s="926">
        <v>0</v>
      </c>
      <c r="F139" s="926">
        <v>4500</v>
      </c>
      <c r="G139" s="954">
        <v>0</v>
      </c>
      <c r="H139" s="928">
        <v>5200</v>
      </c>
      <c r="I139" s="926"/>
    </row>
    <row r="140" spans="1:9" ht="24" customHeight="1">
      <c r="A140" s="943">
        <v>50</v>
      </c>
      <c r="B140" s="953" t="s">
        <v>1383</v>
      </c>
      <c r="C140" s="925">
        <v>4900223951</v>
      </c>
      <c r="D140" s="926">
        <f t="shared" si="8"/>
        <v>6530</v>
      </c>
      <c r="E140" s="926">
        <v>0</v>
      </c>
      <c r="F140" s="926">
        <v>4500</v>
      </c>
      <c r="G140" s="954">
        <v>0</v>
      </c>
      <c r="H140" s="928">
        <v>2030</v>
      </c>
      <c r="I140" s="926"/>
    </row>
    <row r="141" spans="1:9" ht="24" customHeight="1">
      <c r="A141" s="943">
        <v>51</v>
      </c>
      <c r="B141" s="953" t="s">
        <v>1384</v>
      </c>
      <c r="C141" s="925">
        <v>4900102146</v>
      </c>
      <c r="D141" s="926">
        <f t="shared" si="8"/>
        <v>1732.9788727272726</v>
      </c>
      <c r="E141" s="926">
        <v>23.1</v>
      </c>
      <c r="F141" s="926">
        <v>816.05887272727273</v>
      </c>
      <c r="G141" s="954">
        <v>0</v>
      </c>
      <c r="H141" s="928">
        <v>893.81999999999994</v>
      </c>
      <c r="I141" s="926"/>
    </row>
    <row r="142" spans="1:9" ht="24" customHeight="1">
      <c r="A142" s="943">
        <v>52</v>
      </c>
      <c r="B142" s="953" t="s">
        <v>1385</v>
      </c>
      <c r="C142" s="925">
        <v>4900271987</v>
      </c>
      <c r="D142" s="926">
        <f t="shared" si="8"/>
        <v>691</v>
      </c>
      <c r="E142" s="926">
        <v>231</v>
      </c>
      <c r="F142" s="926">
        <v>460</v>
      </c>
      <c r="G142" s="926"/>
      <c r="H142" s="928">
        <v>0</v>
      </c>
      <c r="I142" s="926"/>
    </row>
    <row r="143" spans="1:9" ht="24" customHeight="1">
      <c r="A143" s="943">
        <v>53</v>
      </c>
      <c r="B143" s="953" t="s">
        <v>1386</v>
      </c>
      <c r="C143" s="925">
        <v>4900484488</v>
      </c>
      <c r="D143" s="926">
        <f t="shared" si="8"/>
        <v>190</v>
      </c>
      <c r="E143" s="926">
        <v>0</v>
      </c>
      <c r="F143" s="926">
        <v>190</v>
      </c>
      <c r="G143" s="926"/>
      <c r="H143" s="928">
        <v>0</v>
      </c>
      <c r="I143" s="926"/>
    </row>
    <row r="144" spans="1:9" ht="24" customHeight="1">
      <c r="A144" s="943">
        <v>54</v>
      </c>
      <c r="B144" s="955" t="s">
        <v>1270</v>
      </c>
      <c r="C144" s="956"/>
      <c r="D144" s="926">
        <f t="shared" si="8"/>
        <v>12172</v>
      </c>
      <c r="E144" s="926">
        <f>4584+242+462</f>
        <v>5288</v>
      </c>
      <c r="F144" s="926">
        <f>837-121</f>
        <v>716</v>
      </c>
      <c r="G144" s="926">
        <f>115-15</f>
        <v>100</v>
      </c>
      <c r="H144" s="926">
        <f>5933+15+120</f>
        <v>6068</v>
      </c>
      <c r="I144" s="957"/>
    </row>
  </sheetData>
  <mergeCells count="8">
    <mergeCell ref="A1:I1"/>
    <mergeCell ref="G3:I3"/>
    <mergeCell ref="A4:A5"/>
    <mergeCell ref="B4:B5"/>
    <mergeCell ref="C4:C5"/>
    <mergeCell ref="D4:D5"/>
    <mergeCell ref="E4:I4"/>
    <mergeCell ref="A2:I2"/>
  </mergeCells>
  <conditionalFormatting sqref="B115">
    <cfRule type="duplicateValues" dxfId="12" priority="10" stopIfTrue="1"/>
  </conditionalFormatting>
  <conditionalFormatting sqref="B116">
    <cfRule type="duplicateValues" dxfId="11" priority="6" stopIfTrue="1"/>
  </conditionalFormatting>
  <conditionalFormatting sqref="B117">
    <cfRule type="duplicateValues" dxfId="10" priority="3" stopIfTrue="1"/>
  </conditionalFormatting>
  <conditionalFormatting sqref="B117:B124">
    <cfRule type="duplicateValues" dxfId="9" priority="4" stopIfTrue="1"/>
  </conditionalFormatting>
  <conditionalFormatting sqref="B125:B128">
    <cfRule type="duplicateValues" dxfId="8" priority="5" stopIfTrue="1"/>
  </conditionalFormatting>
  <conditionalFormatting sqref="B128">
    <cfRule type="duplicateValues" dxfId="7" priority="2" stopIfTrue="1"/>
  </conditionalFormatting>
  <conditionalFormatting sqref="B129:B138">
    <cfRule type="duplicateValues" dxfId="6" priority="12" stopIfTrue="1"/>
  </conditionalFormatting>
  <conditionalFormatting sqref="B143">
    <cfRule type="duplicateValues" dxfId="5" priority="1" stopIfTrue="1"/>
  </conditionalFormatting>
  <conditionalFormatting sqref="C8">
    <cfRule type="duplicateValues" dxfId="4" priority="7" stopIfTrue="1"/>
    <cfRule type="duplicateValues" dxfId="3" priority="11" stopIfTrue="1"/>
  </conditionalFormatting>
  <conditionalFormatting sqref="C9">
    <cfRule type="duplicateValues" dxfId="2" priority="8" stopIfTrue="1"/>
    <cfRule type="duplicateValues" dxfId="1" priority="9" stopIfTrue="1"/>
  </conditionalFormatting>
  <conditionalFormatting sqref="C10:C143">
    <cfRule type="duplicateValues" dxfId="0" priority="13" stopIfTrue="1"/>
  </conditionalFormatting>
  <printOptions horizontalCentered="1"/>
  <pageMargins left="0.59055118110236227" right="0.19685039370078741" top="0.59055118110236227" bottom="0.59055118110236227" header="0.31496062992125984" footer="0.31496062992125984"/>
  <pageSetup paperSize="9" scale="75" orientation="landscape" r:id="rId1"/>
  <headerFooter>
    <oddFooter>&amp;C&amp;P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37"/>
  <sheetViews>
    <sheetView topLeftCell="C3" workbookViewId="0">
      <selection activeCell="F41" sqref="F41"/>
    </sheetView>
  </sheetViews>
  <sheetFormatPr defaultColWidth="8.75" defaultRowHeight="15"/>
  <cols>
    <col min="1" max="1" width="5" style="477" customWidth="1"/>
    <col min="2" max="2" width="33.875" style="477" customWidth="1"/>
    <col min="3" max="3" width="13.25" style="477" customWidth="1"/>
    <col min="4" max="4" width="11.875" style="477" customWidth="1"/>
    <col min="5" max="5" width="23.375" style="477" customWidth="1"/>
    <col min="6" max="6" width="10.125" style="477" customWidth="1"/>
    <col min="7" max="12" width="11.125" style="477" customWidth="1"/>
    <col min="13" max="14" width="11.125" style="486" customWidth="1"/>
    <col min="15" max="15" width="16.75" style="616" customWidth="1"/>
    <col min="16" max="16" width="10.125" style="477" customWidth="1"/>
    <col min="17" max="16384" width="8.75" style="477"/>
  </cols>
  <sheetData>
    <row r="1" spans="1:20" hidden="1">
      <c r="A1" s="1165"/>
      <c r="B1" s="1165"/>
      <c r="C1" s="1165"/>
      <c r="D1" s="1165"/>
      <c r="E1" s="1165"/>
      <c r="F1" s="1165"/>
      <c r="G1" s="1165"/>
      <c r="H1" s="1165"/>
      <c r="I1" s="1165"/>
      <c r="J1" s="1165"/>
      <c r="K1" s="1165"/>
      <c r="L1" s="1165"/>
      <c r="M1" s="1165"/>
      <c r="N1" s="1165"/>
      <c r="O1" s="1165"/>
      <c r="P1" s="1165"/>
    </row>
    <row r="2" spans="1:20" hidden="1">
      <c r="A2" s="1165"/>
      <c r="B2" s="1165"/>
      <c r="C2" s="1165"/>
      <c r="D2" s="1165"/>
      <c r="E2" s="1165"/>
      <c r="F2" s="1165"/>
      <c r="G2" s="1165"/>
      <c r="H2" s="1165"/>
      <c r="I2" s="1165"/>
      <c r="J2" s="1165"/>
      <c r="K2" s="1165"/>
      <c r="L2" s="1165"/>
      <c r="M2" s="1165"/>
      <c r="N2" s="1165"/>
      <c r="O2" s="1165"/>
      <c r="P2" s="1165"/>
    </row>
    <row r="3" spans="1:20" ht="18.75">
      <c r="A3" s="1166" t="s">
        <v>1477</v>
      </c>
      <c r="B3" s="1166"/>
      <c r="C3" s="1166"/>
      <c r="D3" s="1166"/>
      <c r="E3" s="1166"/>
      <c r="F3" s="1166"/>
      <c r="G3" s="1166"/>
      <c r="H3" s="1166"/>
      <c r="I3" s="1166"/>
      <c r="J3" s="1166"/>
      <c r="K3" s="1166"/>
      <c r="L3" s="1166"/>
      <c r="M3" s="1166"/>
      <c r="N3" s="1166"/>
      <c r="O3" s="1166"/>
      <c r="P3" s="1166"/>
    </row>
    <row r="4" spans="1:20" ht="18.75" hidden="1">
      <c r="A4" s="1167"/>
      <c r="B4" s="1167"/>
      <c r="C4" s="1167"/>
      <c r="D4" s="1167"/>
      <c r="E4" s="1167"/>
      <c r="F4" s="1167"/>
      <c r="G4" s="1167"/>
      <c r="H4" s="1167"/>
      <c r="I4" s="1167"/>
      <c r="J4" s="1167"/>
      <c r="K4" s="1167"/>
      <c r="L4" s="1167"/>
      <c r="M4" s="1167"/>
      <c r="N4" s="1167"/>
      <c r="O4" s="1167"/>
      <c r="P4" s="1167"/>
    </row>
    <row r="5" spans="1:20" s="609" customFormat="1" ht="17.25">
      <c r="A5" s="1168" t="str">
        <f>'B8'!A2:I2</f>
        <v>(Kèm theo Quyết định số: 2255/QĐ-UBND ngày 15 tháng 12 năm 2024 của UBND tỉnh Lạng Sơn)</v>
      </c>
      <c r="B5" s="1168"/>
      <c r="C5" s="1168"/>
      <c r="D5" s="1168"/>
      <c r="E5" s="1168"/>
      <c r="F5" s="1168"/>
      <c r="G5" s="1168"/>
      <c r="H5" s="1168"/>
      <c r="I5" s="1168"/>
      <c r="J5" s="1168"/>
      <c r="K5" s="1168"/>
      <c r="L5" s="1168"/>
      <c r="M5" s="1168"/>
      <c r="N5" s="1168"/>
      <c r="O5" s="1168"/>
      <c r="P5" s="1168"/>
    </row>
    <row r="6" spans="1:20" s="615" customFormat="1" ht="16.5">
      <c r="A6" s="610"/>
      <c r="B6" s="610"/>
      <c r="C6" s="610"/>
      <c r="D6" s="610"/>
      <c r="E6" s="610"/>
      <c r="F6" s="611"/>
      <c r="G6" s="612"/>
      <c r="H6" s="612"/>
      <c r="I6" s="612"/>
      <c r="J6" s="613"/>
      <c r="K6" s="613"/>
      <c r="L6" s="613"/>
      <c r="M6" s="614"/>
      <c r="N6" s="614"/>
      <c r="O6" s="1164" t="s">
        <v>269</v>
      </c>
      <c r="P6" s="1164"/>
    </row>
    <row r="7" spans="1:20" ht="48" customHeight="1">
      <c r="A7" s="1161" t="s">
        <v>1047</v>
      </c>
      <c r="B7" s="1158" t="s">
        <v>1046</v>
      </c>
      <c r="C7" s="1158" t="s">
        <v>1045</v>
      </c>
      <c r="D7" s="1158" t="s">
        <v>1044</v>
      </c>
      <c r="E7" s="1158" t="s">
        <v>1043</v>
      </c>
      <c r="F7" s="1158"/>
      <c r="G7" s="1162" t="s">
        <v>1403</v>
      </c>
      <c r="H7" s="1162" t="s">
        <v>1404</v>
      </c>
      <c r="I7" s="1162" t="s">
        <v>1405</v>
      </c>
      <c r="J7" s="1163" t="s">
        <v>1406</v>
      </c>
      <c r="K7" s="1162" t="s">
        <v>1407</v>
      </c>
      <c r="L7" s="1162" t="s">
        <v>1408</v>
      </c>
      <c r="M7" s="1157" t="s">
        <v>1409</v>
      </c>
      <c r="N7" s="1157" t="s">
        <v>1410</v>
      </c>
      <c r="O7" s="1158" t="s">
        <v>1024</v>
      </c>
      <c r="P7" s="1159" t="s">
        <v>245</v>
      </c>
    </row>
    <row r="8" spans="1:20" ht="48" customHeight="1">
      <c r="A8" s="1161"/>
      <c r="B8" s="1158"/>
      <c r="C8" s="1158"/>
      <c r="D8" s="1158"/>
      <c r="E8" s="478" t="s">
        <v>1023</v>
      </c>
      <c r="F8" s="479" t="s">
        <v>1411</v>
      </c>
      <c r="G8" s="1162"/>
      <c r="H8" s="1162"/>
      <c r="I8" s="1162"/>
      <c r="J8" s="1163"/>
      <c r="K8" s="1162"/>
      <c r="L8" s="1162"/>
      <c r="M8" s="1157"/>
      <c r="N8" s="1157"/>
      <c r="O8" s="1158"/>
      <c r="P8" s="1159"/>
    </row>
    <row r="9" spans="1:20">
      <c r="A9" s="490">
        <v>1</v>
      </c>
      <c r="B9" s="480" t="s">
        <v>1021</v>
      </c>
      <c r="C9" s="480" t="s">
        <v>507</v>
      </c>
      <c r="D9" s="490">
        <v>4</v>
      </c>
      <c r="E9" s="490">
        <v>5</v>
      </c>
      <c r="F9" s="490">
        <v>6</v>
      </c>
      <c r="G9" s="490">
        <v>7</v>
      </c>
      <c r="H9" s="490">
        <v>8</v>
      </c>
      <c r="I9" s="490">
        <v>9</v>
      </c>
      <c r="J9" s="490">
        <v>10</v>
      </c>
      <c r="K9" s="490">
        <v>11</v>
      </c>
      <c r="L9" s="490">
        <v>12</v>
      </c>
      <c r="M9" s="490">
        <v>13</v>
      </c>
      <c r="N9" s="490">
        <v>14</v>
      </c>
      <c r="O9" s="490">
        <v>15</v>
      </c>
      <c r="P9" s="490">
        <v>16</v>
      </c>
    </row>
    <row r="10" spans="1:20" ht="24" customHeight="1">
      <c r="A10" s="483"/>
      <c r="B10" s="478" t="s">
        <v>266</v>
      </c>
      <c r="C10" s="478"/>
      <c r="D10" s="478"/>
      <c r="E10" s="481"/>
      <c r="F10" s="482">
        <f>F11</f>
        <v>72380.225999999995</v>
      </c>
      <c r="G10" s="482">
        <f>G11</f>
        <v>7539.5329999999994</v>
      </c>
      <c r="H10" s="482">
        <f t="shared" ref="H10:N10" si="0">H11</f>
        <v>10769.676820000002</v>
      </c>
      <c r="I10" s="482">
        <f>I11</f>
        <v>52138.23</v>
      </c>
      <c r="J10" s="482">
        <f t="shared" si="0"/>
        <v>14491.9</v>
      </c>
      <c r="K10" s="482">
        <f>K11</f>
        <v>14301.611000000001</v>
      </c>
      <c r="L10" s="482">
        <f t="shared" si="0"/>
        <v>70595.886516841158</v>
      </c>
      <c r="M10" s="482">
        <f t="shared" si="0"/>
        <v>37985.085696841175</v>
      </c>
      <c r="N10" s="482">
        <f t="shared" si="0"/>
        <v>15000</v>
      </c>
      <c r="O10" s="481"/>
      <c r="P10" s="483"/>
    </row>
    <row r="11" spans="1:20" ht="24" customHeight="1">
      <c r="A11" s="483"/>
      <c r="B11" s="484" t="s">
        <v>978</v>
      </c>
      <c r="C11" s="478"/>
      <c r="D11" s="478"/>
      <c r="E11" s="481"/>
      <c r="F11" s="482">
        <f>SUM(F12:F37)</f>
        <v>72380.225999999995</v>
      </c>
      <c r="G11" s="482">
        <f t="shared" ref="G11:M11" si="1">SUM(G12:G37)</f>
        <v>7539.5329999999994</v>
      </c>
      <c r="H11" s="482">
        <f t="shared" si="1"/>
        <v>10769.676820000002</v>
      </c>
      <c r="I11" s="482">
        <f t="shared" si="1"/>
        <v>52138.23</v>
      </c>
      <c r="J11" s="482">
        <f t="shared" si="1"/>
        <v>14491.9</v>
      </c>
      <c r="K11" s="482">
        <f t="shared" si="1"/>
        <v>14301.611000000001</v>
      </c>
      <c r="L11" s="482">
        <f t="shared" si="1"/>
        <v>70595.886516841158</v>
      </c>
      <c r="M11" s="482">
        <f t="shared" si="1"/>
        <v>37985.085696841175</v>
      </c>
      <c r="N11" s="482">
        <f>SUM(N12:N37)</f>
        <v>15000</v>
      </c>
      <c r="O11" s="481"/>
      <c r="P11" s="483"/>
      <c r="S11" s="485"/>
      <c r="T11" s="486"/>
    </row>
    <row r="12" spans="1:20" s="491" customFormat="1" ht="51" customHeight="1">
      <c r="A12" s="490">
        <v>1</v>
      </c>
      <c r="B12" s="487" t="s">
        <v>1412</v>
      </c>
      <c r="C12" s="480" t="s">
        <v>252</v>
      </c>
      <c r="D12" s="480" t="s">
        <v>990</v>
      </c>
      <c r="E12" s="488" t="s">
        <v>1413</v>
      </c>
      <c r="F12" s="489">
        <v>3710</v>
      </c>
      <c r="G12" s="489">
        <f>600+516</f>
        <v>1116</v>
      </c>
      <c r="H12" s="489">
        <v>1000</v>
      </c>
      <c r="I12" s="489">
        <v>3469.48</v>
      </c>
      <c r="J12" s="489">
        <v>500</v>
      </c>
      <c r="K12" s="489">
        <f t="shared" ref="K12:K20" si="2">J12</f>
        <v>500</v>
      </c>
      <c r="L12" s="489">
        <f>I12</f>
        <v>3469.48</v>
      </c>
      <c r="M12" s="489">
        <v>853.5</v>
      </c>
      <c r="N12" s="489">
        <v>854</v>
      </c>
      <c r="O12" s="1160" t="s">
        <v>366</v>
      </c>
      <c r="P12" s="490" t="s">
        <v>1414</v>
      </c>
    </row>
    <row r="13" spans="1:20" s="491" customFormat="1" ht="83.25" customHeight="1">
      <c r="A13" s="490">
        <v>2</v>
      </c>
      <c r="B13" s="487" t="s">
        <v>1415</v>
      </c>
      <c r="C13" s="480" t="s">
        <v>960</v>
      </c>
      <c r="D13" s="480" t="s">
        <v>980</v>
      </c>
      <c r="E13" s="488" t="s">
        <v>1416</v>
      </c>
      <c r="F13" s="489">
        <v>6079.68</v>
      </c>
      <c r="G13" s="489">
        <f>25.89+500</f>
        <v>525.89</v>
      </c>
      <c r="H13" s="489">
        <v>1000</v>
      </c>
      <c r="I13" s="489">
        <v>6064.5</v>
      </c>
      <c r="J13" s="489">
        <v>800</v>
      </c>
      <c r="K13" s="489">
        <f t="shared" si="2"/>
        <v>800</v>
      </c>
      <c r="L13" s="489">
        <v>6064.5</v>
      </c>
      <c r="M13" s="489">
        <f t="shared" ref="M13:M34" si="3">L13-H13-G13-K13</f>
        <v>3738.6099999999997</v>
      </c>
      <c r="N13" s="489">
        <v>1200</v>
      </c>
      <c r="O13" s="1160"/>
      <c r="P13" s="490"/>
    </row>
    <row r="14" spans="1:20" s="491" customFormat="1" ht="51" customHeight="1">
      <c r="A14" s="490">
        <v>3</v>
      </c>
      <c r="B14" s="487" t="s">
        <v>1008</v>
      </c>
      <c r="C14" s="480" t="s">
        <v>251</v>
      </c>
      <c r="D14" s="480" t="s">
        <v>980</v>
      </c>
      <c r="E14" s="488" t="s">
        <v>1417</v>
      </c>
      <c r="F14" s="489">
        <v>4368</v>
      </c>
      <c r="G14" s="489">
        <f>60.85+500</f>
        <v>560.85</v>
      </c>
      <c r="H14" s="489">
        <v>1000</v>
      </c>
      <c r="I14" s="489">
        <v>4203.8</v>
      </c>
      <c r="J14" s="489">
        <v>800</v>
      </c>
      <c r="K14" s="489">
        <f t="shared" si="2"/>
        <v>800</v>
      </c>
      <c r="L14" s="489">
        <f>I14</f>
        <v>4203.8</v>
      </c>
      <c r="M14" s="489">
        <f t="shared" si="3"/>
        <v>1842.9500000000003</v>
      </c>
      <c r="N14" s="489">
        <v>539</v>
      </c>
      <c r="O14" s="1160"/>
      <c r="P14" s="490"/>
    </row>
    <row r="15" spans="1:20" s="491" customFormat="1" ht="83.25" customHeight="1">
      <c r="A15" s="490">
        <v>4</v>
      </c>
      <c r="B15" s="487" t="s">
        <v>1006</v>
      </c>
      <c r="C15" s="480" t="s">
        <v>253</v>
      </c>
      <c r="D15" s="480" t="s">
        <v>980</v>
      </c>
      <c r="E15" s="488" t="s">
        <v>1418</v>
      </c>
      <c r="F15" s="489">
        <v>4875.0789999999997</v>
      </c>
      <c r="G15" s="489">
        <f>38.58+400</f>
        <v>438.58</v>
      </c>
      <c r="H15" s="489">
        <v>1300</v>
      </c>
      <c r="I15" s="489">
        <v>4769.5</v>
      </c>
      <c r="J15" s="489">
        <v>800</v>
      </c>
      <c r="K15" s="489">
        <f t="shared" si="2"/>
        <v>800</v>
      </c>
      <c r="L15" s="489">
        <f>I15</f>
        <v>4769.5</v>
      </c>
      <c r="M15" s="489">
        <f t="shared" si="3"/>
        <v>2230.92</v>
      </c>
      <c r="N15" s="489">
        <v>800</v>
      </c>
      <c r="O15" s="1160"/>
      <c r="P15" s="490"/>
    </row>
    <row r="16" spans="1:20" s="491" customFormat="1" ht="97.5" customHeight="1">
      <c r="A16" s="490">
        <v>5</v>
      </c>
      <c r="B16" s="492" t="s">
        <v>1419</v>
      </c>
      <c r="C16" s="493" t="s">
        <v>251</v>
      </c>
      <c r="D16" s="493" t="s">
        <v>1003</v>
      </c>
      <c r="E16" s="488" t="s">
        <v>1420</v>
      </c>
      <c r="F16" s="489">
        <v>3282.56</v>
      </c>
      <c r="G16" s="489">
        <f>180.32+500</f>
        <v>680.31999999999994</v>
      </c>
      <c r="H16" s="489">
        <v>500</v>
      </c>
      <c r="I16" s="489">
        <v>3085.62</v>
      </c>
      <c r="J16" s="489">
        <v>1000</v>
      </c>
      <c r="K16" s="489">
        <f t="shared" si="2"/>
        <v>1000</v>
      </c>
      <c r="L16" s="489">
        <f>F16</f>
        <v>3282.56</v>
      </c>
      <c r="M16" s="489">
        <f t="shared" si="3"/>
        <v>1102.2399999999998</v>
      </c>
      <c r="N16" s="489">
        <v>400</v>
      </c>
      <c r="O16" s="1160"/>
      <c r="P16" s="490"/>
    </row>
    <row r="17" spans="1:16" s="491" customFormat="1" ht="51" customHeight="1">
      <c r="A17" s="490">
        <v>6</v>
      </c>
      <c r="B17" s="494" t="s">
        <v>1001</v>
      </c>
      <c r="C17" s="480" t="s">
        <v>1421</v>
      </c>
      <c r="D17" s="480" t="s">
        <v>1000</v>
      </c>
      <c r="E17" s="495" t="s">
        <v>1422</v>
      </c>
      <c r="F17" s="489">
        <v>3650.223</v>
      </c>
      <c r="G17" s="489">
        <f>120.32+400</f>
        <v>520.31999999999994</v>
      </c>
      <c r="H17" s="489">
        <v>500</v>
      </c>
      <c r="I17" s="489">
        <v>3650.22</v>
      </c>
      <c r="J17" s="489">
        <v>1711.9</v>
      </c>
      <c r="K17" s="489">
        <f t="shared" si="2"/>
        <v>1711.9</v>
      </c>
      <c r="L17" s="489">
        <f>F17</f>
        <v>3650.223</v>
      </c>
      <c r="M17" s="489">
        <f t="shared" si="3"/>
        <v>918.00300000000016</v>
      </c>
      <c r="N17" s="489">
        <v>918</v>
      </c>
      <c r="O17" s="1160"/>
      <c r="P17" s="490" t="s">
        <v>1414</v>
      </c>
    </row>
    <row r="18" spans="1:16" s="491" customFormat="1" ht="51" customHeight="1">
      <c r="A18" s="490">
        <v>7</v>
      </c>
      <c r="B18" s="608" t="s">
        <v>998</v>
      </c>
      <c r="C18" s="493" t="s">
        <v>1423</v>
      </c>
      <c r="D18" s="493" t="s">
        <v>980</v>
      </c>
      <c r="E18" s="496" t="s">
        <v>1424</v>
      </c>
      <c r="F18" s="502">
        <v>3697.5</v>
      </c>
      <c r="G18" s="489">
        <f>51.46+500</f>
        <v>551.46</v>
      </c>
      <c r="H18" s="489">
        <v>1000</v>
      </c>
      <c r="I18" s="489">
        <v>3125.4</v>
      </c>
      <c r="J18" s="489">
        <v>500</v>
      </c>
      <c r="K18" s="489">
        <f t="shared" si="2"/>
        <v>500</v>
      </c>
      <c r="L18" s="489">
        <f>I18</f>
        <v>3125.4</v>
      </c>
      <c r="M18" s="489">
        <f t="shared" si="3"/>
        <v>1073.94</v>
      </c>
      <c r="N18" s="489">
        <v>400</v>
      </c>
      <c r="O18" s="1160"/>
      <c r="P18" s="497" t="str">
        <f>P17</f>
        <v>Bố trí đủ</v>
      </c>
    </row>
    <row r="19" spans="1:16" s="491" customFormat="1" ht="60">
      <c r="A19" s="490">
        <v>8</v>
      </c>
      <c r="B19" s="487" t="s">
        <v>993</v>
      </c>
      <c r="C19" s="480" t="s">
        <v>960</v>
      </c>
      <c r="D19" s="480" t="s">
        <v>990</v>
      </c>
      <c r="E19" s="488" t="s">
        <v>1425</v>
      </c>
      <c r="F19" s="489">
        <v>5404.4</v>
      </c>
      <c r="G19" s="489">
        <f>569+1300</f>
        <v>1869</v>
      </c>
      <c r="H19" s="489">
        <v>800</v>
      </c>
      <c r="I19" s="489">
        <v>5959.25</v>
      </c>
      <c r="J19" s="489">
        <v>800</v>
      </c>
      <c r="K19" s="489">
        <f t="shared" si="2"/>
        <v>800</v>
      </c>
      <c r="L19" s="489">
        <f>F19</f>
        <v>5404.4</v>
      </c>
      <c r="M19" s="489">
        <f t="shared" si="3"/>
        <v>1935.3999999999996</v>
      </c>
      <c r="N19" s="489">
        <v>800</v>
      </c>
      <c r="O19" s="1160"/>
      <c r="P19" s="490"/>
    </row>
    <row r="20" spans="1:16" s="491" customFormat="1" ht="51" customHeight="1">
      <c r="A20" s="490">
        <v>9</v>
      </c>
      <c r="B20" s="487" t="s">
        <v>991</v>
      </c>
      <c r="C20" s="480" t="s">
        <v>1058</v>
      </c>
      <c r="D20" s="480" t="s">
        <v>990</v>
      </c>
      <c r="E20" s="488" t="s">
        <v>1426</v>
      </c>
      <c r="F20" s="489">
        <v>2431.4</v>
      </c>
      <c r="G20" s="489">
        <f>222+300</f>
        <v>522</v>
      </c>
      <c r="H20" s="489">
        <v>900</v>
      </c>
      <c r="I20" s="489">
        <v>2165.6999999999998</v>
      </c>
      <c r="J20" s="489">
        <v>700</v>
      </c>
      <c r="K20" s="489">
        <f t="shared" si="2"/>
        <v>700</v>
      </c>
      <c r="L20" s="489">
        <f>I20</f>
        <v>2165.6999999999998</v>
      </c>
      <c r="M20" s="489">
        <f t="shared" si="3"/>
        <v>43.699999999999818</v>
      </c>
      <c r="N20" s="489">
        <v>44</v>
      </c>
      <c r="O20" s="1160"/>
      <c r="P20" s="490" t="s">
        <v>1414</v>
      </c>
    </row>
    <row r="21" spans="1:16" s="491" customFormat="1" ht="38.25" customHeight="1">
      <c r="A21" s="490">
        <v>10</v>
      </c>
      <c r="B21" s="498" t="s">
        <v>1427</v>
      </c>
      <c r="C21" s="499" t="s">
        <v>1428</v>
      </c>
      <c r="D21" s="499" t="s">
        <v>924</v>
      </c>
      <c r="E21" s="495" t="s">
        <v>1429</v>
      </c>
      <c r="F21" s="489">
        <v>1901.25</v>
      </c>
      <c r="G21" s="489"/>
      <c r="H21" s="489">
        <v>158</v>
      </c>
      <c r="I21" s="489">
        <v>0</v>
      </c>
      <c r="J21" s="489">
        <v>200</v>
      </c>
      <c r="K21" s="489">
        <f>J21</f>
        <v>200</v>
      </c>
      <c r="L21" s="489">
        <v>1831</v>
      </c>
      <c r="M21" s="489">
        <f t="shared" si="3"/>
        <v>1473</v>
      </c>
      <c r="N21" s="489">
        <v>500</v>
      </c>
      <c r="O21" s="500" t="s">
        <v>927</v>
      </c>
      <c r="P21" s="500"/>
    </row>
    <row r="22" spans="1:16" s="491" customFormat="1" ht="67.5" customHeight="1">
      <c r="A22" s="490">
        <v>11</v>
      </c>
      <c r="B22" s="501" t="s">
        <v>1430</v>
      </c>
      <c r="C22" s="499" t="s">
        <v>960</v>
      </c>
      <c r="D22" s="480" t="s">
        <v>1431</v>
      </c>
      <c r="E22" s="495" t="s">
        <v>1432</v>
      </c>
      <c r="F22" s="489">
        <f>3386002000/1000000</f>
        <v>3386.002</v>
      </c>
      <c r="G22" s="489"/>
      <c r="H22" s="502">
        <v>0</v>
      </c>
      <c r="I22" s="489"/>
      <c r="J22" s="489">
        <v>300</v>
      </c>
      <c r="K22" s="489">
        <v>109.711</v>
      </c>
      <c r="L22" s="489">
        <f>F22</f>
        <v>3386.002</v>
      </c>
      <c r="M22" s="489">
        <f t="shared" si="3"/>
        <v>3276.2910000000002</v>
      </c>
      <c r="N22" s="489">
        <v>1000</v>
      </c>
      <c r="O22" s="500" t="s">
        <v>1433</v>
      </c>
      <c r="P22" s="500"/>
    </row>
    <row r="23" spans="1:16" s="491" customFormat="1" ht="51" customHeight="1">
      <c r="A23" s="490">
        <v>12</v>
      </c>
      <c r="B23" s="501" t="s">
        <v>1434</v>
      </c>
      <c r="C23" s="499" t="s">
        <v>272</v>
      </c>
      <c r="D23" s="480" t="s">
        <v>1435</v>
      </c>
      <c r="E23" s="495" t="s">
        <v>1436</v>
      </c>
      <c r="F23" s="489">
        <v>3984</v>
      </c>
      <c r="G23" s="489">
        <f>147.113</f>
        <v>147.113</v>
      </c>
      <c r="H23" s="502">
        <v>300</v>
      </c>
      <c r="I23" s="489">
        <v>2788.48</v>
      </c>
      <c r="J23" s="489">
        <v>500</v>
      </c>
      <c r="K23" s="489">
        <f>J23</f>
        <v>500</v>
      </c>
      <c r="L23" s="489">
        <v>3983.54</v>
      </c>
      <c r="M23" s="489">
        <f t="shared" si="3"/>
        <v>3036.4270000000001</v>
      </c>
      <c r="N23" s="489">
        <v>1000</v>
      </c>
      <c r="O23" s="1156" t="s">
        <v>364</v>
      </c>
      <c r="P23" s="500"/>
    </row>
    <row r="24" spans="1:16" s="491" customFormat="1" ht="67.5" customHeight="1">
      <c r="A24" s="490">
        <v>13</v>
      </c>
      <c r="B24" s="501" t="s">
        <v>1437</v>
      </c>
      <c r="C24" s="499" t="s">
        <v>251</v>
      </c>
      <c r="D24" s="480" t="s">
        <v>1435</v>
      </c>
      <c r="E24" s="495" t="s">
        <v>1438</v>
      </c>
      <c r="F24" s="489">
        <v>2025</v>
      </c>
      <c r="G24" s="489">
        <v>150</v>
      </c>
      <c r="H24" s="502">
        <v>150</v>
      </c>
      <c r="I24" s="489">
        <v>607.44000000000005</v>
      </c>
      <c r="J24" s="489">
        <v>500</v>
      </c>
      <c r="K24" s="489">
        <f>J24</f>
        <v>500</v>
      </c>
      <c r="L24" s="489">
        <f>F24</f>
        <v>2025</v>
      </c>
      <c r="M24" s="489">
        <f t="shared" si="3"/>
        <v>1225</v>
      </c>
      <c r="N24" s="489">
        <v>400</v>
      </c>
      <c r="O24" s="1156"/>
      <c r="P24" s="500"/>
    </row>
    <row r="25" spans="1:16" s="491" customFormat="1" ht="51" customHeight="1">
      <c r="A25" s="490">
        <v>14</v>
      </c>
      <c r="B25" s="487" t="s">
        <v>974</v>
      </c>
      <c r="C25" s="480" t="s">
        <v>1054</v>
      </c>
      <c r="D25" s="480" t="s">
        <v>980</v>
      </c>
      <c r="E25" s="488" t="s">
        <v>1439</v>
      </c>
      <c r="F25" s="489">
        <v>1825</v>
      </c>
      <c r="G25" s="489"/>
      <c r="H25" s="489">
        <v>324.61099999999999</v>
      </c>
      <c r="I25" s="489">
        <f>F25</f>
        <v>1825</v>
      </c>
      <c r="J25" s="489">
        <v>800</v>
      </c>
      <c r="K25" s="489">
        <f t="shared" ref="K25:K32" si="4">J25</f>
        <v>800</v>
      </c>
      <c r="L25" s="489">
        <v>1755.7404160133999</v>
      </c>
      <c r="M25" s="489">
        <f>L25-G25-H25-K25</f>
        <v>631.1294160133998</v>
      </c>
      <c r="N25" s="489">
        <v>631</v>
      </c>
      <c r="O25" s="1156" t="s">
        <v>1476</v>
      </c>
      <c r="P25" s="490" t="s">
        <v>1414</v>
      </c>
    </row>
    <row r="26" spans="1:16" s="491" customFormat="1" ht="67.5" customHeight="1">
      <c r="A26" s="490">
        <v>15</v>
      </c>
      <c r="B26" s="501" t="s">
        <v>1440</v>
      </c>
      <c r="C26" s="499" t="s">
        <v>1441</v>
      </c>
      <c r="D26" s="480" t="s">
        <v>952</v>
      </c>
      <c r="E26" s="495" t="s">
        <v>1442</v>
      </c>
      <c r="F26" s="489">
        <v>1873</v>
      </c>
      <c r="G26" s="489">
        <v>0</v>
      </c>
      <c r="H26" s="502">
        <v>300</v>
      </c>
      <c r="I26" s="489">
        <v>1581</v>
      </c>
      <c r="J26" s="489">
        <f>1111.9-311.9</f>
        <v>800.00000000000011</v>
      </c>
      <c r="K26" s="489">
        <f t="shared" si="4"/>
        <v>800.00000000000011</v>
      </c>
      <c r="L26" s="489">
        <v>1498.9391008277701</v>
      </c>
      <c r="M26" s="489">
        <f t="shared" si="3"/>
        <v>398.93910082776995</v>
      </c>
      <c r="N26" s="489">
        <v>399</v>
      </c>
      <c r="O26" s="1156"/>
      <c r="P26" s="490" t="s">
        <v>1414</v>
      </c>
    </row>
    <row r="27" spans="1:16" s="491" customFormat="1" ht="51" customHeight="1">
      <c r="A27" s="490">
        <v>16</v>
      </c>
      <c r="B27" s="501" t="s">
        <v>1443</v>
      </c>
      <c r="C27" s="499" t="s">
        <v>251</v>
      </c>
      <c r="D27" s="480" t="s">
        <v>952</v>
      </c>
      <c r="E27" s="495" t="s">
        <v>1444</v>
      </c>
      <c r="F27" s="489">
        <v>1931.84</v>
      </c>
      <c r="G27" s="489">
        <v>120</v>
      </c>
      <c r="H27" s="502">
        <v>200</v>
      </c>
      <c r="I27" s="489">
        <v>1931.84</v>
      </c>
      <c r="J27" s="489">
        <v>200</v>
      </c>
      <c r="K27" s="489">
        <f t="shared" si="4"/>
        <v>200</v>
      </c>
      <c r="L27" s="489">
        <v>2024.81</v>
      </c>
      <c r="M27" s="489">
        <f t="shared" si="3"/>
        <v>1504.81</v>
      </c>
      <c r="N27" s="489">
        <v>500</v>
      </c>
      <c r="O27" s="500" t="s">
        <v>941</v>
      </c>
      <c r="P27" s="500"/>
    </row>
    <row r="28" spans="1:16" s="491" customFormat="1" ht="51" customHeight="1">
      <c r="A28" s="490">
        <v>17</v>
      </c>
      <c r="B28" s="501" t="s">
        <v>1445</v>
      </c>
      <c r="C28" s="499" t="s">
        <v>272</v>
      </c>
      <c r="D28" s="480" t="s">
        <v>1446</v>
      </c>
      <c r="E28" s="495" t="s">
        <v>1447</v>
      </c>
      <c r="F28" s="489">
        <v>524.5</v>
      </c>
      <c r="G28" s="489">
        <v>0</v>
      </c>
      <c r="H28" s="502">
        <v>120</v>
      </c>
      <c r="I28" s="489">
        <v>472</v>
      </c>
      <c r="J28" s="489">
        <v>280</v>
      </c>
      <c r="K28" s="489">
        <f t="shared" si="4"/>
        <v>280</v>
      </c>
      <c r="L28" s="489">
        <f t="shared" ref="L28:L36" si="5">F28</f>
        <v>524.5</v>
      </c>
      <c r="M28" s="489">
        <f t="shared" si="3"/>
        <v>124.5</v>
      </c>
      <c r="N28" s="489">
        <v>125</v>
      </c>
      <c r="O28" s="1156" t="s">
        <v>931</v>
      </c>
      <c r="P28" s="500" t="str">
        <f>P26</f>
        <v>Bố trí đủ</v>
      </c>
    </row>
    <row r="29" spans="1:16" s="491" customFormat="1" ht="51" customHeight="1">
      <c r="A29" s="490">
        <v>18</v>
      </c>
      <c r="B29" s="501" t="s">
        <v>1448</v>
      </c>
      <c r="C29" s="499" t="s">
        <v>272</v>
      </c>
      <c r="D29" s="480" t="s">
        <v>1446</v>
      </c>
      <c r="E29" s="495" t="s">
        <v>1449</v>
      </c>
      <c r="F29" s="489">
        <f>2128576000/1000000</f>
        <v>2128.576</v>
      </c>
      <c r="G29" s="489">
        <v>0</v>
      </c>
      <c r="H29" s="502">
        <v>84.61</v>
      </c>
      <c r="I29" s="489">
        <v>645</v>
      </c>
      <c r="J29" s="489">
        <v>200</v>
      </c>
      <c r="K29" s="489">
        <f t="shared" si="4"/>
        <v>200</v>
      </c>
      <c r="L29" s="489">
        <f t="shared" si="5"/>
        <v>2128.576</v>
      </c>
      <c r="M29" s="489">
        <f>L29-H29-G29-K29</f>
        <v>1843.9660000000001</v>
      </c>
      <c r="N29" s="489">
        <v>600</v>
      </c>
      <c r="O29" s="1156"/>
      <c r="P29" s="500"/>
    </row>
    <row r="30" spans="1:16" s="491" customFormat="1" ht="38.25" customHeight="1">
      <c r="A30" s="490">
        <v>19</v>
      </c>
      <c r="B30" s="501" t="s">
        <v>964</v>
      </c>
      <c r="C30" s="499" t="s">
        <v>1450</v>
      </c>
      <c r="D30" s="480" t="s">
        <v>952</v>
      </c>
      <c r="E30" s="495" t="s">
        <v>1451</v>
      </c>
      <c r="F30" s="489">
        <v>2098.2600000000002</v>
      </c>
      <c r="G30" s="489">
        <v>38</v>
      </c>
      <c r="H30" s="502">
        <v>200</v>
      </c>
      <c r="I30" s="489">
        <v>238</v>
      </c>
      <c r="J30" s="489">
        <v>200</v>
      </c>
      <c r="K30" s="489">
        <f t="shared" si="4"/>
        <v>200</v>
      </c>
      <c r="L30" s="489">
        <f t="shared" si="5"/>
        <v>2098.2600000000002</v>
      </c>
      <c r="M30" s="489">
        <f t="shared" si="3"/>
        <v>1660.2600000000002</v>
      </c>
      <c r="N30" s="489">
        <v>500</v>
      </c>
      <c r="O30" s="500" t="s">
        <v>939</v>
      </c>
      <c r="P30" s="500"/>
    </row>
    <row r="31" spans="1:16" s="491" customFormat="1" ht="38.25" customHeight="1">
      <c r="A31" s="490">
        <v>20</v>
      </c>
      <c r="B31" s="501" t="s">
        <v>947</v>
      </c>
      <c r="C31" s="499" t="s">
        <v>1054</v>
      </c>
      <c r="D31" s="480" t="s">
        <v>1435</v>
      </c>
      <c r="E31" s="495" t="s">
        <v>1452</v>
      </c>
      <c r="F31" s="489">
        <f>2424369000/1000000</f>
        <v>2424.3690000000001</v>
      </c>
      <c r="G31" s="489">
        <v>0</v>
      </c>
      <c r="H31" s="502">
        <v>93.737819999999999</v>
      </c>
      <c r="I31" s="489">
        <v>460</v>
      </c>
      <c r="J31" s="489">
        <v>200</v>
      </c>
      <c r="K31" s="489">
        <f t="shared" si="4"/>
        <v>200</v>
      </c>
      <c r="L31" s="489">
        <f t="shared" si="5"/>
        <v>2424.3690000000001</v>
      </c>
      <c r="M31" s="489">
        <f t="shared" si="3"/>
        <v>2130.6311800000003</v>
      </c>
      <c r="N31" s="489">
        <v>700</v>
      </c>
      <c r="O31" s="1156" t="s">
        <v>933</v>
      </c>
      <c r="P31" s="500"/>
    </row>
    <row r="32" spans="1:16" s="491" customFormat="1" ht="51" customHeight="1">
      <c r="A32" s="490">
        <v>21</v>
      </c>
      <c r="B32" s="501" t="s">
        <v>1453</v>
      </c>
      <c r="C32" s="499" t="s">
        <v>1054</v>
      </c>
      <c r="D32" s="480" t="s">
        <v>924</v>
      </c>
      <c r="E32" s="495" t="s">
        <v>1454</v>
      </c>
      <c r="F32" s="489">
        <v>373</v>
      </c>
      <c r="G32" s="489">
        <v>0</v>
      </c>
      <c r="H32" s="502">
        <v>120</v>
      </c>
      <c r="I32" s="489">
        <v>373</v>
      </c>
      <c r="J32" s="489">
        <v>200</v>
      </c>
      <c r="K32" s="489">
        <f t="shared" si="4"/>
        <v>200</v>
      </c>
      <c r="L32" s="489">
        <f t="shared" si="5"/>
        <v>373</v>
      </c>
      <c r="M32" s="489">
        <f t="shared" si="3"/>
        <v>53</v>
      </c>
      <c r="N32" s="489">
        <v>53</v>
      </c>
      <c r="O32" s="1156"/>
      <c r="P32" s="500" t="str">
        <f>P28</f>
        <v>Bố trí đủ</v>
      </c>
    </row>
    <row r="33" spans="1:16" s="491" customFormat="1" ht="38.25" customHeight="1">
      <c r="A33" s="490">
        <v>22</v>
      </c>
      <c r="B33" s="501" t="s">
        <v>967</v>
      </c>
      <c r="C33" s="499" t="s">
        <v>250</v>
      </c>
      <c r="D33" s="480" t="s">
        <v>952</v>
      </c>
      <c r="E33" s="495" t="s">
        <v>1455</v>
      </c>
      <c r="F33" s="489">
        <v>2803.3</v>
      </c>
      <c r="G33" s="489">
        <v>130</v>
      </c>
      <c r="H33" s="502">
        <v>200</v>
      </c>
      <c r="I33" s="489">
        <v>2523</v>
      </c>
      <c r="J33" s="489">
        <v>1000</v>
      </c>
      <c r="K33" s="489">
        <f>J33</f>
        <v>1000</v>
      </c>
      <c r="L33" s="489">
        <f t="shared" si="5"/>
        <v>2803.3</v>
      </c>
      <c r="M33" s="489">
        <f t="shared" si="3"/>
        <v>1473.3000000000002</v>
      </c>
      <c r="N33" s="489">
        <v>500</v>
      </c>
      <c r="O33" s="500" t="s">
        <v>926</v>
      </c>
      <c r="P33" s="500"/>
    </row>
    <row r="34" spans="1:16" s="491" customFormat="1" ht="38.25" customHeight="1">
      <c r="A34" s="490">
        <v>23</v>
      </c>
      <c r="B34" s="501" t="s">
        <v>944</v>
      </c>
      <c r="C34" s="499" t="s">
        <v>1058</v>
      </c>
      <c r="D34" s="480" t="s">
        <v>952</v>
      </c>
      <c r="E34" s="495" t="s">
        <v>1456</v>
      </c>
      <c r="F34" s="489">
        <f>1927842000/1000000</f>
        <v>1927.8420000000001</v>
      </c>
      <c r="G34" s="489">
        <v>0</v>
      </c>
      <c r="H34" s="502">
        <v>118.718</v>
      </c>
      <c r="I34" s="489">
        <v>0</v>
      </c>
      <c r="J34" s="489">
        <v>200</v>
      </c>
      <c r="K34" s="489">
        <f t="shared" ref="K34:K35" si="6">J34</f>
        <v>200</v>
      </c>
      <c r="L34" s="489">
        <f>F34</f>
        <v>1927.8420000000001</v>
      </c>
      <c r="M34" s="489">
        <f t="shared" si="3"/>
        <v>1609.124</v>
      </c>
      <c r="N34" s="489">
        <v>500</v>
      </c>
      <c r="O34" s="500" t="s">
        <v>929</v>
      </c>
      <c r="P34" s="500"/>
    </row>
    <row r="35" spans="1:16" s="491" customFormat="1" ht="67.5" customHeight="1">
      <c r="A35" s="490">
        <v>24</v>
      </c>
      <c r="B35" s="501" t="s">
        <v>1457</v>
      </c>
      <c r="C35" s="499" t="s">
        <v>1061</v>
      </c>
      <c r="D35" s="480" t="s">
        <v>952</v>
      </c>
      <c r="E35" s="495" t="s">
        <v>1458</v>
      </c>
      <c r="F35" s="489">
        <f>2436758000/1000000</f>
        <v>2436.7579999999998</v>
      </c>
      <c r="G35" s="489">
        <v>40</v>
      </c>
      <c r="H35" s="502">
        <v>200</v>
      </c>
      <c r="I35" s="489">
        <v>2200</v>
      </c>
      <c r="J35" s="489">
        <v>1000</v>
      </c>
      <c r="K35" s="489">
        <f t="shared" si="6"/>
        <v>1000</v>
      </c>
      <c r="L35" s="489">
        <f t="shared" si="5"/>
        <v>2436.7579999999998</v>
      </c>
      <c r="M35" s="489">
        <f>L35-H35-G35-K35</f>
        <v>1196.7579999999998</v>
      </c>
      <c r="N35" s="489">
        <v>400</v>
      </c>
      <c r="O35" s="500" t="s">
        <v>935</v>
      </c>
      <c r="P35" s="500"/>
    </row>
    <row r="36" spans="1:16" s="491" customFormat="1" ht="67.5" customHeight="1">
      <c r="A36" s="490">
        <v>25</v>
      </c>
      <c r="B36" s="501" t="s">
        <v>1459</v>
      </c>
      <c r="C36" s="499" t="s">
        <v>960</v>
      </c>
      <c r="D36" s="480" t="s">
        <v>1460</v>
      </c>
      <c r="E36" s="495" t="s">
        <v>1461</v>
      </c>
      <c r="F36" s="489">
        <f>2501897000/1000000</f>
        <v>2501.8969999999999</v>
      </c>
      <c r="G36" s="489">
        <v>130</v>
      </c>
      <c r="H36" s="502">
        <v>200</v>
      </c>
      <c r="I36" s="489">
        <v>0</v>
      </c>
      <c r="J36" s="489">
        <v>200</v>
      </c>
      <c r="K36" s="489">
        <f>J36</f>
        <v>200</v>
      </c>
      <c r="L36" s="489">
        <f t="shared" si="5"/>
        <v>2501.8969999999999</v>
      </c>
      <c r="M36" s="489">
        <f t="shared" ref="M36" si="7">L36-H36-G36-K36</f>
        <v>1971.8969999999999</v>
      </c>
      <c r="N36" s="489">
        <v>600</v>
      </c>
      <c r="O36" s="500" t="s">
        <v>968</v>
      </c>
      <c r="P36" s="500"/>
    </row>
    <row r="37" spans="1:16" ht="51" customHeight="1">
      <c r="A37" s="490">
        <v>26</v>
      </c>
      <c r="B37" s="501" t="s">
        <v>1462</v>
      </c>
      <c r="C37" s="499" t="s">
        <v>962</v>
      </c>
      <c r="D37" s="480" t="s">
        <v>924</v>
      </c>
      <c r="E37" s="495" t="s">
        <v>1463</v>
      </c>
      <c r="F37" s="489">
        <v>736.79</v>
      </c>
      <c r="G37" s="489">
        <v>0</v>
      </c>
      <c r="H37" s="502"/>
      <c r="I37" s="489">
        <v>0</v>
      </c>
      <c r="J37" s="489">
        <v>100</v>
      </c>
      <c r="K37" s="489">
        <f>J37</f>
        <v>100</v>
      </c>
      <c r="L37" s="489">
        <f>F37</f>
        <v>736.79</v>
      </c>
      <c r="M37" s="489">
        <f>L37-H37-G37-K37</f>
        <v>636.79</v>
      </c>
      <c r="N37" s="489">
        <v>637</v>
      </c>
      <c r="O37" s="500" t="s">
        <v>300</v>
      </c>
      <c r="P37" s="500" t="str">
        <f>P32</f>
        <v>Bố trí đủ</v>
      </c>
    </row>
  </sheetData>
  <mergeCells count="26">
    <mergeCell ref="O6:P6"/>
    <mergeCell ref="A1:P1"/>
    <mergeCell ref="A2:P2"/>
    <mergeCell ref="A3:P3"/>
    <mergeCell ref="A4:P4"/>
    <mergeCell ref="A5:P5"/>
    <mergeCell ref="M7:M8"/>
    <mergeCell ref="A7:A8"/>
    <mergeCell ref="B7:B8"/>
    <mergeCell ref="C7:C8"/>
    <mergeCell ref="D7:D8"/>
    <mergeCell ref="E7:F7"/>
    <mergeCell ref="G7:G8"/>
    <mergeCell ref="H7:H8"/>
    <mergeCell ref="I7:I8"/>
    <mergeCell ref="J7:J8"/>
    <mergeCell ref="K7:K8"/>
    <mergeCell ref="L7:L8"/>
    <mergeCell ref="O28:O29"/>
    <mergeCell ref="O31:O32"/>
    <mergeCell ref="N7:N8"/>
    <mergeCell ref="O7:O8"/>
    <mergeCell ref="P7:P8"/>
    <mergeCell ref="O12:O20"/>
    <mergeCell ref="O23:O24"/>
    <mergeCell ref="O25:O26"/>
  </mergeCells>
  <printOptions horizontalCentered="1"/>
  <pageMargins left="0.59055118110236227" right="0.19685039370078741" top="0.59055118110236227" bottom="0.59055118110236227" header="0.31496062992125984" footer="0.31496062992125984"/>
  <pageSetup paperSize="9" scale="65" orientation="landscape" r:id="rId1"/>
  <headerFooter>
    <oddFooter>&amp;C&amp;P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Z90"/>
  <sheetViews>
    <sheetView topLeftCell="A42" zoomScale="70" zoomScaleNormal="70" workbookViewId="0">
      <selection activeCell="B24" sqref="B24"/>
    </sheetView>
  </sheetViews>
  <sheetFormatPr defaultColWidth="9.125" defaultRowHeight="18.75"/>
  <cols>
    <col min="1" max="1" width="5" style="218" bestFit="1" customWidth="1"/>
    <col min="2" max="2" width="51.125" style="218" customWidth="1"/>
    <col min="3" max="3" width="22.875" style="218" customWidth="1"/>
    <col min="4" max="4" width="17.625" style="218" bestFit="1" customWidth="1"/>
    <col min="5" max="5" width="25.375" style="218" customWidth="1"/>
    <col min="6" max="6" width="17.125" style="218" bestFit="1" customWidth="1"/>
    <col min="7" max="7" width="19.875" style="218" hidden="1" customWidth="1"/>
    <col min="8" max="8" width="14.125" style="218" hidden="1" customWidth="1"/>
    <col min="9" max="9" width="28.125" style="218" hidden="1" customWidth="1"/>
    <col min="10" max="10" width="27.125" style="218" hidden="1" customWidth="1"/>
    <col min="11" max="11" width="19.875" style="218" hidden="1" customWidth="1"/>
    <col min="12" max="13" width="14.125" style="218" hidden="1" customWidth="1"/>
    <col min="14" max="14" width="35.625" style="218" hidden="1" customWidth="1"/>
    <col min="15" max="15" width="28.125" style="218" hidden="1" customWidth="1"/>
    <col min="16" max="16" width="18.125" style="218" hidden="1" customWidth="1"/>
    <col min="17" max="17" width="12" style="218" hidden="1" customWidth="1"/>
    <col min="18" max="18" width="19.875" style="218" bestFit="1" customWidth="1"/>
    <col min="19" max="19" width="15.875" style="218" bestFit="1" customWidth="1"/>
    <col min="20" max="20" width="19.875" style="218" hidden="1" customWidth="1"/>
    <col min="21" max="21" width="21" style="218" customWidth="1"/>
    <col min="22" max="22" width="15.875" style="218" bestFit="1" customWidth="1"/>
    <col min="23" max="23" width="19.125" style="218" hidden="1" customWidth="1"/>
    <col min="24" max="24" width="21.125" style="218" hidden="1" customWidth="1"/>
    <col min="25" max="25" width="23.375" style="218" customWidth="1"/>
    <col min="26" max="26" width="13" style="218" customWidth="1"/>
    <col min="27" max="16384" width="9.125" style="218"/>
  </cols>
  <sheetData>
    <row r="1" spans="1:26">
      <c r="A1" s="1172" t="s">
        <v>1048</v>
      </c>
      <c r="B1" s="1172"/>
      <c r="C1" s="1172"/>
      <c r="D1" s="1172"/>
      <c r="E1" s="1172"/>
      <c r="F1" s="1172"/>
      <c r="G1" s="1172"/>
      <c r="H1" s="1172"/>
      <c r="I1" s="1172"/>
      <c r="J1" s="1172"/>
      <c r="K1" s="1172"/>
      <c r="L1" s="1172"/>
      <c r="M1" s="1172"/>
      <c r="N1" s="1172"/>
      <c r="O1" s="1172"/>
      <c r="P1" s="1172"/>
      <c r="Q1" s="1172"/>
      <c r="R1" s="1172"/>
      <c r="S1" s="1172"/>
      <c r="T1" s="1172"/>
      <c r="U1" s="1172"/>
      <c r="V1" s="1172"/>
      <c r="W1" s="1172"/>
      <c r="X1" s="1172"/>
      <c r="Y1" s="1172"/>
      <c r="Z1" s="1172"/>
    </row>
    <row r="2" spans="1:26">
      <c r="A2" s="1173" t="str">
        <f>'B8'!A2:I2</f>
        <v>(Kèm theo Quyết định số: 2255/QĐ-UBND ngày 15 tháng 12 năm 2024 của UBND tỉnh Lạng Sơn)</v>
      </c>
      <c r="B2" s="1173"/>
      <c r="C2" s="1173"/>
      <c r="D2" s="1173"/>
      <c r="E2" s="1173"/>
      <c r="F2" s="1173"/>
      <c r="G2" s="1173"/>
      <c r="H2" s="1173"/>
      <c r="I2" s="1173"/>
      <c r="J2" s="1173"/>
      <c r="K2" s="1173"/>
      <c r="L2" s="1173"/>
      <c r="M2" s="1173"/>
      <c r="N2" s="1173"/>
      <c r="O2" s="1173"/>
      <c r="P2" s="1173"/>
      <c r="Q2" s="1173"/>
      <c r="R2" s="1173"/>
      <c r="S2" s="1173"/>
      <c r="T2" s="1173"/>
      <c r="U2" s="1173"/>
      <c r="V2" s="1173"/>
      <c r="W2" s="1173"/>
      <c r="X2" s="1173"/>
      <c r="Y2" s="1173"/>
      <c r="Z2" s="1173"/>
    </row>
    <row r="3" spans="1:26">
      <c r="A3" s="217"/>
      <c r="B3" s="217"/>
      <c r="C3" s="217"/>
      <c r="D3" s="217"/>
      <c r="E3" s="217"/>
      <c r="F3" s="216"/>
      <c r="G3" s="1174" t="s">
        <v>269</v>
      </c>
      <c r="H3" s="1174"/>
      <c r="I3" s="1174"/>
      <c r="J3" s="1174"/>
      <c r="K3" s="1174"/>
      <c r="L3" s="1174"/>
      <c r="M3" s="1174"/>
      <c r="N3" s="1174"/>
      <c r="O3" s="1174"/>
      <c r="P3" s="1174"/>
      <c r="Q3" s="1174"/>
      <c r="R3" s="1174"/>
      <c r="S3" s="1174"/>
      <c r="T3" s="1174"/>
      <c r="U3" s="1174"/>
      <c r="V3" s="1174"/>
      <c r="W3" s="1174"/>
      <c r="X3" s="1174"/>
      <c r="Y3" s="1174"/>
      <c r="Z3" s="1174"/>
    </row>
    <row r="4" spans="1:26" ht="26.25" customHeight="1">
      <c r="A4" s="1175" t="s">
        <v>1047</v>
      </c>
      <c r="B4" s="1176" t="s">
        <v>1046</v>
      </c>
      <c r="C4" s="1176" t="s">
        <v>1045</v>
      </c>
      <c r="D4" s="1176" t="s">
        <v>1044</v>
      </c>
      <c r="E4" s="1176" t="s">
        <v>1043</v>
      </c>
      <c r="F4" s="1176"/>
      <c r="G4" s="1169" t="s">
        <v>1042</v>
      </c>
      <c r="H4" s="1169" t="s">
        <v>1041</v>
      </c>
      <c r="I4" s="1170" t="s">
        <v>1040</v>
      </c>
      <c r="J4" s="1169" t="s">
        <v>1039</v>
      </c>
      <c r="K4" s="1169" t="s">
        <v>1038</v>
      </c>
      <c r="L4" s="1170" t="s">
        <v>1037</v>
      </c>
      <c r="M4" s="1170" t="s">
        <v>1036</v>
      </c>
      <c r="N4" s="1170" t="s">
        <v>1035</v>
      </c>
      <c r="O4" s="1170" t="s">
        <v>1034</v>
      </c>
      <c r="P4" s="1169" t="s">
        <v>1033</v>
      </c>
      <c r="Q4" s="1170" t="s">
        <v>1032</v>
      </c>
      <c r="R4" s="1169" t="s">
        <v>1031</v>
      </c>
      <c r="S4" s="1170" t="s">
        <v>1030</v>
      </c>
      <c r="T4" s="1169" t="s">
        <v>1029</v>
      </c>
      <c r="U4" s="1170" t="s">
        <v>1028</v>
      </c>
      <c r="V4" s="1170" t="s">
        <v>1027</v>
      </c>
      <c r="W4" s="1170" t="s">
        <v>1026</v>
      </c>
      <c r="X4" s="1170" t="s">
        <v>1025</v>
      </c>
      <c r="Y4" s="1176" t="s">
        <v>1024</v>
      </c>
      <c r="Z4" s="1177" t="s">
        <v>245</v>
      </c>
    </row>
    <row r="5" spans="1:26" ht="48" customHeight="1">
      <c r="A5" s="1175"/>
      <c r="B5" s="1176"/>
      <c r="C5" s="1176"/>
      <c r="D5" s="1176"/>
      <c r="E5" s="214" t="s">
        <v>1023</v>
      </c>
      <c r="F5" s="215" t="s">
        <v>1052</v>
      </c>
      <c r="G5" s="1169"/>
      <c r="H5" s="1169"/>
      <c r="I5" s="1171"/>
      <c r="J5" s="1169"/>
      <c r="K5" s="1169"/>
      <c r="L5" s="1171"/>
      <c r="M5" s="1171"/>
      <c r="N5" s="1171"/>
      <c r="O5" s="1171"/>
      <c r="P5" s="1169"/>
      <c r="Q5" s="1171"/>
      <c r="R5" s="1169"/>
      <c r="S5" s="1171"/>
      <c r="T5" s="1169"/>
      <c r="U5" s="1171"/>
      <c r="V5" s="1171"/>
      <c r="W5" s="1171"/>
      <c r="X5" s="1171"/>
      <c r="Y5" s="1176" t="s">
        <v>1022</v>
      </c>
      <c r="Z5" s="1178"/>
    </row>
    <row r="6" spans="1:26">
      <c r="A6" s="212">
        <v>1</v>
      </c>
      <c r="B6" s="213" t="s">
        <v>1021</v>
      </c>
      <c r="C6" s="213" t="s">
        <v>507</v>
      </c>
      <c r="D6" s="212">
        <v>4</v>
      </c>
      <c r="E6" s="212">
        <v>5</v>
      </c>
      <c r="F6" s="212">
        <v>6</v>
      </c>
      <c r="G6" s="212">
        <v>7</v>
      </c>
      <c r="H6" s="212">
        <v>8</v>
      </c>
      <c r="I6" s="212">
        <v>9</v>
      </c>
      <c r="J6" s="212">
        <v>10</v>
      </c>
      <c r="K6" s="212"/>
      <c r="L6" s="212"/>
      <c r="M6" s="212"/>
      <c r="N6" s="212"/>
      <c r="O6" s="212"/>
      <c r="P6" s="212">
        <v>16</v>
      </c>
      <c r="Q6" s="212">
        <v>17</v>
      </c>
      <c r="R6" s="212">
        <v>7</v>
      </c>
      <c r="S6" s="212">
        <v>8</v>
      </c>
      <c r="T6" s="212"/>
      <c r="U6" s="212">
        <v>9</v>
      </c>
      <c r="V6" s="212">
        <v>10</v>
      </c>
      <c r="W6" s="212"/>
      <c r="X6" s="212"/>
      <c r="Y6" s="212">
        <v>11</v>
      </c>
      <c r="Z6" s="212">
        <v>12</v>
      </c>
    </row>
    <row r="7" spans="1:26" ht="25.5" customHeight="1">
      <c r="A7" s="219"/>
      <c r="B7" s="220" t="s">
        <v>266</v>
      </c>
      <c r="C7" s="220"/>
      <c r="D7" s="220"/>
      <c r="E7" s="221"/>
      <c r="F7" s="222">
        <f t="shared" ref="F7:W7" si="0">F8+F51+F70</f>
        <v>117937.08900000001</v>
      </c>
      <c r="G7" s="222">
        <f t="shared" si="0"/>
        <v>233.2</v>
      </c>
      <c r="H7" s="222">
        <f t="shared" si="0"/>
        <v>3349.5</v>
      </c>
      <c r="I7" s="222">
        <f t="shared" si="0"/>
        <v>9997.2999999999993</v>
      </c>
      <c r="J7" s="222">
        <f t="shared" si="0"/>
        <v>3652.3</v>
      </c>
      <c r="K7" s="222">
        <f t="shared" si="0"/>
        <v>4340.0860000000002</v>
      </c>
      <c r="L7" s="222">
        <f t="shared" si="0"/>
        <v>4700</v>
      </c>
      <c r="M7" s="222">
        <f t="shared" si="0"/>
        <v>5418.79</v>
      </c>
      <c r="N7" s="222">
        <f t="shared" si="0"/>
        <v>14619.3</v>
      </c>
      <c r="O7" s="222">
        <f t="shared" si="0"/>
        <v>17672.085999999999</v>
      </c>
      <c r="P7" s="222">
        <f t="shared" si="0"/>
        <v>36066.6</v>
      </c>
      <c r="Q7" s="222">
        <f t="shared" si="0"/>
        <v>727.9</v>
      </c>
      <c r="R7" s="222">
        <f t="shared" si="0"/>
        <v>9758.8760000000002</v>
      </c>
      <c r="S7" s="222">
        <f t="shared" si="0"/>
        <v>13129.939999999999</v>
      </c>
      <c r="T7" s="222">
        <f t="shared" si="0"/>
        <v>22888.815999999995</v>
      </c>
      <c r="U7" s="222">
        <f t="shared" si="0"/>
        <v>57767.64</v>
      </c>
      <c r="V7" s="222">
        <f t="shared" si="0"/>
        <v>15000</v>
      </c>
      <c r="W7" s="222">
        <f t="shared" si="0"/>
        <v>35708.833999999995</v>
      </c>
      <c r="X7" s="222"/>
      <c r="Y7" s="221"/>
      <c r="Z7" s="219"/>
    </row>
    <row r="8" spans="1:26" ht="26.25" customHeight="1">
      <c r="A8" s="223" t="s">
        <v>1</v>
      </c>
      <c r="B8" s="224" t="s">
        <v>1020</v>
      </c>
      <c r="C8" s="225"/>
      <c r="D8" s="225"/>
      <c r="E8" s="226"/>
      <c r="F8" s="227">
        <f t="shared" ref="F8:W8" si="1">SUM(F9:F50)</f>
        <v>63335.489000000001</v>
      </c>
      <c r="G8" s="227">
        <f t="shared" si="1"/>
        <v>233.2</v>
      </c>
      <c r="H8" s="227">
        <f t="shared" si="1"/>
        <v>3349.5</v>
      </c>
      <c r="I8" s="227">
        <f t="shared" si="1"/>
        <v>9997.2999999999993</v>
      </c>
      <c r="J8" s="227">
        <f t="shared" si="1"/>
        <v>3652.3</v>
      </c>
      <c r="K8" s="227">
        <f t="shared" si="1"/>
        <v>4340.0860000000002</v>
      </c>
      <c r="L8" s="227">
        <f t="shared" si="1"/>
        <v>4500</v>
      </c>
      <c r="M8" s="227">
        <f t="shared" si="1"/>
        <v>5218.79</v>
      </c>
      <c r="N8" s="227">
        <f t="shared" si="1"/>
        <v>14619.3</v>
      </c>
      <c r="O8" s="227">
        <f t="shared" si="1"/>
        <v>17272.085999999999</v>
      </c>
      <c r="P8" s="227">
        <f t="shared" si="1"/>
        <v>21496</v>
      </c>
      <c r="Q8" s="227">
        <f t="shared" si="1"/>
        <v>727.9</v>
      </c>
      <c r="R8" s="227">
        <f t="shared" si="1"/>
        <v>9558.8760000000002</v>
      </c>
      <c r="S8" s="227">
        <f t="shared" si="1"/>
        <v>10756.3</v>
      </c>
      <c r="T8" s="227">
        <f t="shared" si="1"/>
        <v>20315.175999999996</v>
      </c>
      <c r="U8" s="227">
        <f t="shared" si="1"/>
        <v>54378.93</v>
      </c>
      <c r="V8" s="227">
        <f t="shared" si="1"/>
        <v>10194</v>
      </c>
      <c r="W8" s="227">
        <f t="shared" si="1"/>
        <v>32863.763999999996</v>
      </c>
      <c r="X8" s="227"/>
      <c r="Y8" s="226"/>
      <c r="Z8" s="223"/>
    </row>
    <row r="9" spans="1:26" hidden="1">
      <c r="A9" s="228"/>
      <c r="B9" s="229"/>
      <c r="C9" s="230"/>
      <c r="D9" s="230"/>
      <c r="E9" s="231"/>
      <c r="F9" s="232"/>
      <c r="G9" s="232"/>
      <c r="H9" s="232"/>
      <c r="I9" s="232"/>
      <c r="J9" s="232"/>
      <c r="K9" s="232"/>
      <c r="L9" s="232"/>
      <c r="M9" s="232"/>
      <c r="N9" s="232"/>
      <c r="O9" s="232"/>
      <c r="P9" s="232"/>
      <c r="Q9" s="232"/>
      <c r="R9" s="232"/>
      <c r="S9" s="232"/>
      <c r="T9" s="232">
        <f>K9+M9+S9</f>
        <v>0</v>
      </c>
      <c r="U9" s="232"/>
      <c r="V9" s="232"/>
      <c r="W9" s="232"/>
      <c r="X9" s="232"/>
      <c r="Y9" s="231"/>
      <c r="Z9" s="233"/>
    </row>
    <row r="10" spans="1:26" hidden="1">
      <c r="A10" s="228"/>
      <c r="B10" s="234"/>
      <c r="C10" s="235"/>
      <c r="D10" s="235"/>
      <c r="E10" s="235"/>
      <c r="F10" s="232"/>
      <c r="G10" s="232"/>
      <c r="H10" s="232"/>
      <c r="I10" s="232"/>
      <c r="J10" s="232"/>
      <c r="K10" s="232"/>
      <c r="L10" s="232"/>
      <c r="M10" s="232"/>
      <c r="N10" s="232"/>
      <c r="O10" s="232"/>
      <c r="P10" s="232"/>
      <c r="Q10" s="232"/>
      <c r="R10" s="232"/>
      <c r="S10" s="232"/>
      <c r="T10" s="232">
        <f>K10+M10+S10</f>
        <v>0</v>
      </c>
      <c r="U10" s="232"/>
      <c r="V10" s="232"/>
      <c r="W10" s="232"/>
      <c r="X10" s="232"/>
      <c r="Y10" s="231"/>
      <c r="Z10" s="233"/>
    </row>
    <row r="11" spans="1:26" hidden="1">
      <c r="A11" s="228"/>
      <c r="B11" s="234"/>
      <c r="C11" s="235"/>
      <c r="D11" s="235"/>
      <c r="E11" s="235"/>
      <c r="F11" s="232"/>
      <c r="G11" s="232"/>
      <c r="H11" s="232"/>
      <c r="I11" s="232"/>
      <c r="J11" s="232"/>
      <c r="K11" s="232"/>
      <c r="L11" s="232"/>
      <c r="M11" s="232"/>
      <c r="N11" s="232"/>
      <c r="O11" s="232"/>
      <c r="P11" s="232"/>
      <c r="Q11" s="232"/>
      <c r="R11" s="232"/>
      <c r="S11" s="232"/>
      <c r="T11" s="232"/>
      <c r="U11" s="232"/>
      <c r="V11" s="232"/>
      <c r="W11" s="232"/>
      <c r="X11" s="232"/>
      <c r="Y11" s="236"/>
      <c r="Z11" s="233"/>
    </row>
    <row r="12" spans="1:26" hidden="1">
      <c r="A12" s="228"/>
      <c r="B12" s="234"/>
      <c r="C12" s="235"/>
      <c r="D12" s="235"/>
      <c r="E12" s="235"/>
      <c r="F12" s="232"/>
      <c r="G12" s="232"/>
      <c r="H12" s="232"/>
      <c r="I12" s="232"/>
      <c r="J12" s="232"/>
      <c r="K12" s="232"/>
      <c r="L12" s="232"/>
      <c r="M12" s="232"/>
      <c r="N12" s="232"/>
      <c r="O12" s="232"/>
      <c r="P12" s="232"/>
      <c r="Q12" s="232"/>
      <c r="R12" s="232"/>
      <c r="S12" s="232"/>
      <c r="T12" s="232"/>
      <c r="U12" s="232"/>
      <c r="V12" s="232"/>
      <c r="W12" s="232"/>
      <c r="X12" s="232"/>
      <c r="Y12" s="236"/>
      <c r="Z12" s="237"/>
    </row>
    <row r="13" spans="1:26" hidden="1">
      <c r="A13" s="228"/>
      <c r="B13" s="234"/>
      <c r="C13" s="235"/>
      <c r="D13" s="235"/>
      <c r="E13" s="235"/>
      <c r="F13" s="232"/>
      <c r="G13" s="232"/>
      <c r="H13" s="232"/>
      <c r="I13" s="232"/>
      <c r="J13" s="232"/>
      <c r="K13" s="232"/>
      <c r="L13" s="232"/>
      <c r="M13" s="232"/>
      <c r="N13" s="232"/>
      <c r="O13" s="232"/>
      <c r="P13" s="232"/>
      <c r="Q13" s="232"/>
      <c r="R13" s="232"/>
      <c r="S13" s="232"/>
      <c r="T13" s="232"/>
      <c r="U13" s="232"/>
      <c r="V13" s="232"/>
      <c r="W13" s="232"/>
      <c r="X13" s="232"/>
      <c r="Y13" s="236"/>
      <c r="Z13" s="233"/>
    </row>
    <row r="14" spans="1:26" hidden="1">
      <c r="A14" s="228"/>
      <c r="B14" s="234"/>
      <c r="C14" s="235"/>
      <c r="D14" s="235"/>
      <c r="E14" s="231"/>
      <c r="F14" s="232"/>
      <c r="G14" s="232"/>
      <c r="H14" s="232"/>
      <c r="I14" s="232"/>
      <c r="J14" s="232"/>
      <c r="K14" s="232"/>
      <c r="L14" s="232"/>
      <c r="M14" s="232"/>
      <c r="N14" s="232"/>
      <c r="O14" s="232"/>
      <c r="P14" s="232"/>
      <c r="Q14" s="232"/>
      <c r="R14" s="232"/>
      <c r="S14" s="232"/>
      <c r="T14" s="232"/>
      <c r="U14" s="232"/>
      <c r="V14" s="232"/>
      <c r="W14" s="232"/>
      <c r="X14" s="232"/>
      <c r="Y14" s="231"/>
      <c r="Z14" s="233"/>
    </row>
    <row r="15" spans="1:26" hidden="1">
      <c r="A15" s="228"/>
      <c r="B15" s="234"/>
      <c r="C15" s="235"/>
      <c r="D15" s="235"/>
      <c r="E15" s="231"/>
      <c r="F15" s="232"/>
      <c r="G15" s="232"/>
      <c r="H15" s="232"/>
      <c r="I15" s="232"/>
      <c r="J15" s="232"/>
      <c r="K15" s="232"/>
      <c r="L15" s="232"/>
      <c r="M15" s="232"/>
      <c r="N15" s="232"/>
      <c r="O15" s="232"/>
      <c r="P15" s="232"/>
      <c r="Q15" s="232"/>
      <c r="R15" s="232"/>
      <c r="S15" s="232"/>
      <c r="T15" s="232"/>
      <c r="U15" s="232"/>
      <c r="V15" s="232"/>
      <c r="W15" s="232"/>
      <c r="X15" s="232"/>
      <c r="Y15" s="231"/>
      <c r="Z15" s="233"/>
    </row>
    <row r="16" spans="1:26" hidden="1">
      <c r="A16" s="228"/>
      <c r="B16" s="234"/>
      <c r="C16" s="235"/>
      <c r="D16" s="235"/>
      <c r="E16" s="231"/>
      <c r="F16" s="232"/>
      <c r="G16" s="232"/>
      <c r="H16" s="232"/>
      <c r="I16" s="232"/>
      <c r="J16" s="232"/>
      <c r="K16" s="232"/>
      <c r="L16" s="232"/>
      <c r="M16" s="232"/>
      <c r="N16" s="232"/>
      <c r="O16" s="232"/>
      <c r="P16" s="232"/>
      <c r="Q16" s="232"/>
      <c r="R16" s="232"/>
      <c r="S16" s="232"/>
      <c r="T16" s="232"/>
      <c r="U16" s="232"/>
      <c r="V16" s="232"/>
      <c r="W16" s="232"/>
      <c r="X16" s="232"/>
      <c r="Y16" s="231"/>
      <c r="Z16" s="233"/>
    </row>
    <row r="17" spans="1:26" hidden="1">
      <c r="A17" s="228"/>
      <c r="B17" s="234"/>
      <c r="C17" s="235"/>
      <c r="D17" s="235"/>
      <c r="E17" s="231"/>
      <c r="F17" s="232"/>
      <c r="G17" s="232"/>
      <c r="H17" s="232"/>
      <c r="I17" s="232"/>
      <c r="J17" s="232"/>
      <c r="K17" s="232"/>
      <c r="L17" s="232"/>
      <c r="M17" s="232"/>
      <c r="N17" s="232"/>
      <c r="O17" s="232"/>
      <c r="P17" s="232"/>
      <c r="Q17" s="232"/>
      <c r="R17" s="232"/>
      <c r="S17" s="232"/>
      <c r="T17" s="232"/>
      <c r="U17" s="232"/>
      <c r="V17" s="232"/>
      <c r="W17" s="232"/>
      <c r="X17" s="232"/>
      <c r="Y17" s="231"/>
      <c r="Z17" s="233"/>
    </row>
    <row r="18" spans="1:26" hidden="1">
      <c r="A18" s="228"/>
      <c r="B18" s="234"/>
      <c r="C18" s="235"/>
      <c r="D18" s="235"/>
      <c r="E18" s="231"/>
      <c r="F18" s="232"/>
      <c r="G18" s="232"/>
      <c r="H18" s="232"/>
      <c r="I18" s="232"/>
      <c r="J18" s="232"/>
      <c r="K18" s="232"/>
      <c r="L18" s="232"/>
      <c r="M18" s="232"/>
      <c r="N18" s="232"/>
      <c r="O18" s="232"/>
      <c r="P18" s="232"/>
      <c r="Q18" s="232"/>
      <c r="R18" s="232"/>
      <c r="S18" s="232"/>
      <c r="T18" s="232"/>
      <c r="U18" s="232"/>
      <c r="V18" s="232"/>
      <c r="W18" s="232"/>
      <c r="X18" s="232"/>
      <c r="Y18" s="231"/>
      <c r="Z18" s="233"/>
    </row>
    <row r="19" spans="1:26" hidden="1">
      <c r="A19" s="228"/>
      <c r="B19" s="238"/>
      <c r="C19" s="236"/>
      <c r="D19" s="236"/>
      <c r="E19" s="231"/>
      <c r="F19" s="232"/>
      <c r="G19" s="232"/>
      <c r="H19" s="232"/>
      <c r="I19" s="232"/>
      <c r="J19" s="232"/>
      <c r="K19" s="232"/>
      <c r="L19" s="232"/>
      <c r="M19" s="232"/>
      <c r="N19" s="232"/>
      <c r="O19" s="232"/>
      <c r="P19" s="232"/>
      <c r="Q19" s="232"/>
      <c r="R19" s="232">
        <f>K19+M19</f>
        <v>0</v>
      </c>
      <c r="S19" s="232"/>
      <c r="T19" s="232"/>
      <c r="U19" s="232"/>
      <c r="V19" s="232"/>
      <c r="W19" s="232">
        <f>IF(U19-S19-R19&gt;0,U19-S19-R19,0)</f>
        <v>0</v>
      </c>
      <c r="X19" s="232">
        <f>IF((R19+S19)&lt;U19,(R19+S19+V19)/U19*100,100)</f>
        <v>100</v>
      </c>
      <c r="Y19" s="231"/>
      <c r="Z19" s="233"/>
    </row>
    <row r="20" spans="1:26" hidden="1">
      <c r="A20" s="228"/>
      <c r="B20" s="238"/>
      <c r="C20" s="236"/>
      <c r="D20" s="236"/>
      <c r="E20" s="231"/>
      <c r="F20" s="232"/>
      <c r="G20" s="232"/>
      <c r="H20" s="232"/>
      <c r="I20" s="232"/>
      <c r="J20" s="232"/>
      <c r="K20" s="232"/>
      <c r="L20" s="232"/>
      <c r="M20" s="232"/>
      <c r="N20" s="232"/>
      <c r="O20" s="232"/>
      <c r="P20" s="232"/>
      <c r="Q20" s="232"/>
      <c r="R20" s="232"/>
      <c r="S20" s="232"/>
      <c r="T20" s="232"/>
      <c r="U20" s="232"/>
      <c r="V20" s="232"/>
      <c r="W20" s="232"/>
      <c r="X20" s="232"/>
      <c r="Y20" s="231"/>
      <c r="Z20" s="233"/>
    </row>
    <row r="21" spans="1:26" ht="33">
      <c r="A21" s="228">
        <v>1</v>
      </c>
      <c r="B21" s="234" t="s">
        <v>1019</v>
      </c>
      <c r="C21" s="235" t="s">
        <v>252</v>
      </c>
      <c r="D21" s="235" t="s">
        <v>1018</v>
      </c>
      <c r="E21" s="235" t="s">
        <v>1017</v>
      </c>
      <c r="F21" s="232">
        <v>3855</v>
      </c>
      <c r="G21" s="232">
        <v>125</v>
      </c>
      <c r="H21" s="232">
        <v>500</v>
      </c>
      <c r="I21" s="232">
        <v>2300</v>
      </c>
      <c r="J21" s="232">
        <v>625</v>
      </c>
      <c r="K21" s="232">
        <f>J21</f>
        <v>625</v>
      </c>
      <c r="L21" s="232">
        <v>500</v>
      </c>
      <c r="M21" s="232">
        <v>1000</v>
      </c>
      <c r="N21" s="232">
        <v>3855</v>
      </c>
      <c r="O21" s="232">
        <v>3855</v>
      </c>
      <c r="P21" s="232">
        <v>1586</v>
      </c>
      <c r="Q21" s="232"/>
      <c r="R21" s="232">
        <f>K21+M21</f>
        <v>1625</v>
      </c>
      <c r="S21" s="232">
        <v>2000</v>
      </c>
      <c r="T21" s="232">
        <f>K21+M21+S21</f>
        <v>3625</v>
      </c>
      <c r="U21" s="232">
        <v>3838.7</v>
      </c>
      <c r="V21" s="232">
        <v>214</v>
      </c>
      <c r="W21" s="232">
        <f>IF(U21-S21-R21&gt;0,U21-S21-R21,0)</f>
        <v>213.69999999999982</v>
      </c>
      <c r="X21" s="232">
        <f>IF((R21+S21)&lt;U21,(R21+S21+V21)/U21*100,100)</f>
        <v>100.00781514575247</v>
      </c>
      <c r="Y21" s="231" t="s">
        <v>366</v>
      </c>
      <c r="Z21" s="239"/>
    </row>
    <row r="22" spans="1:26" hidden="1">
      <c r="A22" s="228"/>
      <c r="B22" s="229"/>
      <c r="C22" s="235"/>
      <c r="D22" s="235"/>
      <c r="E22" s="235"/>
      <c r="F22" s="232"/>
      <c r="G22" s="232"/>
      <c r="H22" s="232"/>
      <c r="I22" s="232"/>
      <c r="J22" s="232"/>
      <c r="K22" s="232"/>
      <c r="L22" s="232"/>
      <c r="M22" s="232"/>
      <c r="N22" s="232"/>
      <c r="O22" s="232"/>
      <c r="P22" s="232"/>
      <c r="Q22" s="232"/>
      <c r="R22" s="232"/>
      <c r="S22" s="232"/>
      <c r="T22" s="232"/>
      <c r="U22" s="232"/>
      <c r="V22" s="232"/>
      <c r="W22" s="232"/>
      <c r="X22" s="232"/>
      <c r="Y22" s="231"/>
      <c r="Z22" s="240"/>
    </row>
    <row r="23" spans="1:26" hidden="1">
      <c r="A23" s="228"/>
      <c r="B23" s="234"/>
      <c r="C23" s="235"/>
      <c r="D23" s="241"/>
      <c r="E23" s="231"/>
      <c r="F23" s="232"/>
      <c r="G23" s="232"/>
      <c r="H23" s="232"/>
      <c r="I23" s="232"/>
      <c r="J23" s="232"/>
      <c r="K23" s="232"/>
      <c r="L23" s="232"/>
      <c r="M23" s="232"/>
      <c r="N23" s="232"/>
      <c r="O23" s="232"/>
      <c r="P23" s="232"/>
      <c r="Q23" s="232"/>
      <c r="R23" s="232"/>
      <c r="S23" s="232"/>
      <c r="T23" s="232"/>
      <c r="U23" s="232"/>
      <c r="V23" s="232"/>
      <c r="W23" s="232"/>
      <c r="X23" s="232"/>
      <c r="Y23" s="231"/>
      <c r="Z23" s="239"/>
    </row>
    <row r="24" spans="1:26" ht="33">
      <c r="A24" s="242">
        <v>2</v>
      </c>
      <c r="B24" s="243" t="s">
        <v>1016</v>
      </c>
      <c r="C24" s="241" t="s">
        <v>1054</v>
      </c>
      <c r="D24" s="241" t="s">
        <v>990</v>
      </c>
      <c r="E24" s="231" t="s">
        <v>1015</v>
      </c>
      <c r="F24" s="232">
        <v>4805.66</v>
      </c>
      <c r="G24" s="232">
        <v>0</v>
      </c>
      <c r="H24" s="232">
        <f>238+300-69.6</f>
        <v>468.4</v>
      </c>
      <c r="I24" s="232">
        <v>650</v>
      </c>
      <c r="J24" s="232">
        <v>538</v>
      </c>
      <c r="K24" s="232">
        <v>738</v>
      </c>
      <c r="L24" s="232">
        <v>400</v>
      </c>
      <c r="M24" s="232">
        <f>L24+541</f>
        <v>941</v>
      </c>
      <c r="N24" s="232">
        <v>3380</v>
      </c>
      <c r="O24" s="232">
        <v>3380</v>
      </c>
      <c r="P24" s="232">
        <v>2242</v>
      </c>
      <c r="Q24" s="232"/>
      <c r="R24" s="232">
        <f>K24+M24</f>
        <v>1679</v>
      </c>
      <c r="S24" s="232">
        <v>1400</v>
      </c>
      <c r="T24" s="232">
        <f>K24+M24+S24</f>
        <v>3079</v>
      </c>
      <c r="U24" s="232">
        <v>4771.26</v>
      </c>
      <c r="V24" s="232">
        <v>700</v>
      </c>
      <c r="W24" s="232">
        <f>IF(U24-S24-R24&gt;0,U24-S24-R24,0)</f>
        <v>1692.2600000000002</v>
      </c>
      <c r="X24" s="232">
        <f>IF((R24+S24)&lt;U24,(R24+S24+V24)/U24*100,100)</f>
        <v>79.203397006241545</v>
      </c>
      <c r="Y24" s="231" t="s">
        <v>366</v>
      </c>
      <c r="Z24" s="239"/>
    </row>
    <row r="25" spans="1:26" ht="33">
      <c r="A25" s="228">
        <v>3</v>
      </c>
      <c r="B25" s="244" t="s">
        <v>1014</v>
      </c>
      <c r="C25" s="241" t="s">
        <v>252</v>
      </c>
      <c r="D25" s="241" t="s">
        <v>990</v>
      </c>
      <c r="E25" s="231" t="s">
        <v>1013</v>
      </c>
      <c r="F25" s="232">
        <v>3710</v>
      </c>
      <c r="G25" s="232">
        <v>0</v>
      </c>
      <c r="H25" s="232">
        <v>200</v>
      </c>
      <c r="I25" s="232">
        <v>500</v>
      </c>
      <c r="J25" s="232">
        <v>200</v>
      </c>
      <c r="K25" s="232">
        <v>200</v>
      </c>
      <c r="L25" s="232">
        <v>400</v>
      </c>
      <c r="M25" s="232">
        <f>L25-Q25</f>
        <v>400</v>
      </c>
      <c r="N25" s="232">
        <v>1116</v>
      </c>
      <c r="O25" s="232">
        <v>1116</v>
      </c>
      <c r="P25" s="232">
        <v>516</v>
      </c>
      <c r="Q25" s="232"/>
      <c r="R25" s="232">
        <f>K25+M25</f>
        <v>600</v>
      </c>
      <c r="S25" s="232">
        <v>516</v>
      </c>
      <c r="T25" s="232">
        <f>K25+M25+S25</f>
        <v>1116</v>
      </c>
      <c r="U25" s="232">
        <v>3469.44</v>
      </c>
      <c r="V25" s="232">
        <v>1000</v>
      </c>
      <c r="W25" s="232">
        <f>IF(U25-S25-R25&gt;0,U25-S25-R25,0)</f>
        <v>2353.44</v>
      </c>
      <c r="X25" s="232">
        <f>IF((R25+S25)&lt;U25,(R25+S25+V25)/U25*100,100)</f>
        <v>60.989669802619439</v>
      </c>
      <c r="Y25" s="231" t="s">
        <v>366</v>
      </c>
      <c r="Z25" s="239"/>
    </row>
    <row r="26" spans="1:26" ht="33">
      <c r="A26" s="242">
        <v>4</v>
      </c>
      <c r="B26" s="243" t="s">
        <v>1012</v>
      </c>
      <c r="C26" s="241" t="s">
        <v>272</v>
      </c>
      <c r="D26" s="241" t="s">
        <v>990</v>
      </c>
      <c r="E26" s="231" t="s">
        <v>1011</v>
      </c>
      <c r="F26" s="232">
        <v>3896.63</v>
      </c>
      <c r="G26" s="232">
        <v>0</v>
      </c>
      <c r="H26" s="232">
        <f>250+400</f>
        <v>650</v>
      </c>
      <c r="I26" s="232">
        <v>750</v>
      </c>
      <c r="J26" s="232">
        <v>650</v>
      </c>
      <c r="K26" s="232">
        <v>750</v>
      </c>
      <c r="L26" s="232">
        <v>400</v>
      </c>
      <c r="M26" s="232">
        <f>400+500</f>
        <v>900</v>
      </c>
      <c r="N26" s="232">
        <v>2347</v>
      </c>
      <c r="O26" s="232">
        <v>2347</v>
      </c>
      <c r="P26" s="232">
        <v>1197</v>
      </c>
      <c r="Q26" s="232"/>
      <c r="R26" s="232">
        <f>K26+M26</f>
        <v>1650</v>
      </c>
      <c r="S26" s="232">
        <v>500</v>
      </c>
      <c r="T26" s="232">
        <f>K26+M26+S26</f>
        <v>2150</v>
      </c>
      <c r="U26" s="232">
        <v>3879.3</v>
      </c>
      <c r="V26" s="232">
        <v>700</v>
      </c>
      <c r="W26" s="232">
        <f>IF(U26-S26-R26&gt;0,U26-S26-R26,0)</f>
        <v>1729.3000000000002</v>
      </c>
      <c r="X26" s="232">
        <f>IF((R26+S26)&lt;U26,(R26+S26+V26)/U26*100,100)</f>
        <v>73.466862578300208</v>
      </c>
      <c r="Y26" s="231" t="s">
        <v>366</v>
      </c>
      <c r="Z26" s="239"/>
    </row>
    <row r="27" spans="1:26" hidden="1">
      <c r="A27" s="228"/>
      <c r="B27" s="244"/>
      <c r="C27" s="241"/>
      <c r="D27" s="245"/>
      <c r="E27" s="235"/>
      <c r="F27" s="232"/>
      <c r="G27" s="232"/>
      <c r="H27" s="232"/>
      <c r="I27" s="232"/>
      <c r="J27" s="232"/>
      <c r="K27" s="232"/>
      <c r="L27" s="232"/>
      <c r="M27" s="232"/>
      <c r="N27" s="232"/>
      <c r="O27" s="232"/>
      <c r="P27" s="232"/>
      <c r="Q27" s="232"/>
      <c r="R27" s="232"/>
      <c r="S27" s="232"/>
      <c r="T27" s="232"/>
      <c r="U27" s="232"/>
      <c r="V27" s="232"/>
      <c r="W27" s="232"/>
      <c r="X27" s="232"/>
      <c r="Y27" s="231"/>
      <c r="Z27" s="240"/>
    </row>
    <row r="28" spans="1:26" hidden="1">
      <c r="A28" s="228"/>
      <c r="B28" s="244"/>
      <c r="C28" s="241"/>
      <c r="D28" s="245"/>
      <c r="E28" s="231"/>
      <c r="F28" s="232"/>
      <c r="G28" s="232"/>
      <c r="H28" s="232"/>
      <c r="I28" s="232"/>
      <c r="J28" s="232"/>
      <c r="K28" s="232"/>
      <c r="L28" s="232"/>
      <c r="M28" s="232"/>
      <c r="N28" s="232"/>
      <c r="O28" s="232"/>
      <c r="P28" s="232"/>
      <c r="Q28" s="232"/>
      <c r="R28" s="232"/>
      <c r="S28" s="232"/>
      <c r="T28" s="232"/>
      <c r="U28" s="232"/>
      <c r="V28" s="232"/>
      <c r="W28" s="232"/>
      <c r="X28" s="232"/>
      <c r="Y28" s="231"/>
      <c r="Z28" s="239"/>
    </row>
    <row r="29" spans="1:26" hidden="1">
      <c r="A29" s="228"/>
      <c r="B29" s="244"/>
      <c r="C29" s="241"/>
      <c r="D29" s="241"/>
      <c r="E29" s="231"/>
      <c r="F29" s="232"/>
      <c r="G29" s="232"/>
      <c r="H29" s="232"/>
      <c r="I29" s="232"/>
      <c r="J29" s="232"/>
      <c r="K29" s="232"/>
      <c r="L29" s="232"/>
      <c r="M29" s="232"/>
      <c r="N29" s="232"/>
      <c r="O29" s="232"/>
      <c r="P29" s="232"/>
      <c r="Q29" s="232"/>
      <c r="R29" s="232"/>
      <c r="S29" s="232"/>
      <c r="T29" s="232"/>
      <c r="U29" s="232"/>
      <c r="V29" s="232"/>
      <c r="W29" s="232"/>
      <c r="X29" s="232"/>
      <c r="Y29" s="231"/>
      <c r="Z29" s="240"/>
    </row>
    <row r="30" spans="1:26" hidden="1">
      <c r="A30" s="228"/>
      <c r="B30" s="244"/>
      <c r="C30" s="241"/>
      <c r="D30" s="241"/>
      <c r="E30" s="231"/>
      <c r="F30" s="232"/>
      <c r="G30" s="232"/>
      <c r="H30" s="232"/>
      <c r="I30" s="232"/>
      <c r="J30" s="232"/>
      <c r="K30" s="232"/>
      <c r="L30" s="232"/>
      <c r="M30" s="232"/>
      <c r="N30" s="232"/>
      <c r="O30" s="232"/>
      <c r="P30" s="232"/>
      <c r="Q30" s="232"/>
      <c r="R30" s="232"/>
      <c r="S30" s="232"/>
      <c r="T30" s="232"/>
      <c r="U30" s="232"/>
      <c r="V30" s="232"/>
      <c r="W30" s="232"/>
      <c r="X30" s="232"/>
      <c r="Y30" s="231"/>
      <c r="Z30" s="239"/>
    </row>
    <row r="31" spans="1:26" hidden="1">
      <c r="A31" s="223"/>
      <c r="B31" s="225"/>
      <c r="C31" s="225"/>
      <c r="D31" s="225"/>
      <c r="E31" s="226"/>
      <c r="F31" s="227"/>
      <c r="G31" s="227"/>
      <c r="H31" s="227"/>
      <c r="I31" s="227"/>
      <c r="J31" s="227"/>
      <c r="K31" s="227"/>
      <c r="L31" s="227"/>
      <c r="M31" s="227"/>
      <c r="N31" s="227"/>
      <c r="O31" s="227"/>
      <c r="P31" s="227"/>
      <c r="Q31" s="227"/>
      <c r="R31" s="227"/>
      <c r="S31" s="227"/>
      <c r="T31" s="227"/>
      <c r="U31" s="227"/>
      <c r="V31" s="227"/>
      <c r="W31" s="227"/>
      <c r="X31" s="232"/>
      <c r="Y31" s="226"/>
      <c r="Z31" s="246"/>
    </row>
    <row r="32" spans="1:26" ht="33">
      <c r="A32" s="228">
        <v>5</v>
      </c>
      <c r="B32" s="244" t="s">
        <v>1010</v>
      </c>
      <c r="C32" s="241" t="s">
        <v>960</v>
      </c>
      <c r="D32" s="241" t="s">
        <v>980</v>
      </c>
      <c r="E32" s="231" t="s">
        <v>1009</v>
      </c>
      <c r="F32" s="232">
        <v>4157.3</v>
      </c>
      <c r="G32" s="232"/>
      <c r="H32" s="232"/>
      <c r="I32" s="232"/>
      <c r="J32" s="232">
        <v>0</v>
      </c>
      <c r="K32" s="232">
        <v>0</v>
      </c>
      <c r="L32" s="232">
        <v>200</v>
      </c>
      <c r="M32" s="232">
        <v>25.89</v>
      </c>
      <c r="N32" s="232">
        <v>0</v>
      </c>
      <c r="O32" s="232">
        <v>65</v>
      </c>
      <c r="P32" s="232">
        <v>1500</v>
      </c>
      <c r="Q32" s="232">
        <v>135</v>
      </c>
      <c r="R32" s="232">
        <f>K32+M32</f>
        <v>25.89</v>
      </c>
      <c r="S32" s="232">
        <v>500</v>
      </c>
      <c r="T32" s="232">
        <f>K32+M32+S32</f>
        <v>525.89</v>
      </c>
      <c r="U32" s="232">
        <v>4157.3</v>
      </c>
      <c r="V32" s="232">
        <v>1000</v>
      </c>
      <c r="W32" s="232">
        <f>IF(U32-S32-R32&gt;0,U32-S32-R32,0)</f>
        <v>3631.4100000000003</v>
      </c>
      <c r="X32" s="232">
        <f>IF((R32+S32)&lt;U32,(R32+S32+V32)/U32*100,100)</f>
        <v>36.703870300435376</v>
      </c>
      <c r="Y32" s="231" t="s">
        <v>366</v>
      </c>
      <c r="Z32" s="239"/>
    </row>
    <row r="33" spans="1:26" hidden="1">
      <c r="A33" s="228"/>
      <c r="B33" s="244"/>
      <c r="C33" s="241"/>
      <c r="D33" s="241"/>
      <c r="E33" s="231"/>
      <c r="F33" s="232"/>
      <c r="G33" s="232"/>
      <c r="H33" s="232"/>
      <c r="I33" s="232"/>
      <c r="J33" s="232"/>
      <c r="K33" s="232"/>
      <c r="L33" s="232"/>
      <c r="M33" s="232"/>
      <c r="N33" s="232"/>
      <c r="O33" s="232"/>
      <c r="P33" s="232"/>
      <c r="Q33" s="232"/>
      <c r="R33" s="232"/>
      <c r="S33" s="232"/>
      <c r="T33" s="232"/>
      <c r="U33" s="232"/>
      <c r="V33" s="232"/>
      <c r="W33" s="232"/>
      <c r="X33" s="232"/>
      <c r="Y33" s="231"/>
      <c r="Z33" s="239"/>
    </row>
    <row r="34" spans="1:26" ht="33">
      <c r="A34" s="228">
        <v>6</v>
      </c>
      <c r="B34" s="244" t="s">
        <v>1008</v>
      </c>
      <c r="C34" s="241" t="s">
        <v>251</v>
      </c>
      <c r="D34" s="241" t="s">
        <v>980</v>
      </c>
      <c r="E34" s="231" t="s">
        <v>1007</v>
      </c>
      <c r="F34" s="232">
        <v>4368</v>
      </c>
      <c r="G34" s="232"/>
      <c r="H34" s="232"/>
      <c r="I34" s="232"/>
      <c r="J34" s="232">
        <v>0</v>
      </c>
      <c r="K34" s="232">
        <v>0</v>
      </c>
      <c r="L34" s="232">
        <v>200</v>
      </c>
      <c r="M34" s="232">
        <f>L34-Q34</f>
        <v>61</v>
      </c>
      <c r="N34" s="232">
        <v>0</v>
      </c>
      <c r="O34" s="232">
        <v>61</v>
      </c>
      <c r="P34" s="232">
        <v>1500</v>
      </c>
      <c r="Q34" s="232">
        <v>139</v>
      </c>
      <c r="R34" s="232">
        <f>K34+M34</f>
        <v>61</v>
      </c>
      <c r="S34" s="232">
        <v>500</v>
      </c>
      <c r="T34" s="232">
        <f>K34+M34+S34</f>
        <v>561</v>
      </c>
      <c r="U34" s="232">
        <v>4368</v>
      </c>
      <c r="V34" s="232">
        <v>1000</v>
      </c>
      <c r="W34" s="232">
        <f>IF(U34-S34-R34&gt;0,U34-S34-R34,0)</f>
        <v>3807</v>
      </c>
      <c r="X34" s="232">
        <f>IF((R34+S34)&lt;U34,(R34+S34+V34)/U34*100,100)</f>
        <v>35.737179487179489</v>
      </c>
      <c r="Y34" s="231" t="s">
        <v>366</v>
      </c>
      <c r="Z34" s="239"/>
    </row>
    <row r="35" spans="1:26" ht="45" customHeight="1">
      <c r="A35" s="242">
        <v>7</v>
      </c>
      <c r="B35" s="243" t="s">
        <v>1006</v>
      </c>
      <c r="C35" s="241" t="s">
        <v>253</v>
      </c>
      <c r="D35" s="241" t="s">
        <v>980</v>
      </c>
      <c r="E35" s="231" t="s">
        <v>1005</v>
      </c>
      <c r="F35" s="232">
        <v>4875.08</v>
      </c>
      <c r="G35" s="232"/>
      <c r="H35" s="232"/>
      <c r="I35" s="232"/>
      <c r="J35" s="232">
        <v>0</v>
      </c>
      <c r="K35" s="232">
        <v>0</v>
      </c>
      <c r="L35" s="232">
        <v>200</v>
      </c>
      <c r="M35" s="232">
        <v>38.58</v>
      </c>
      <c r="N35" s="232">
        <v>0</v>
      </c>
      <c r="O35" s="232">
        <v>60</v>
      </c>
      <c r="P35" s="232">
        <v>1500</v>
      </c>
      <c r="Q35" s="232">
        <v>140</v>
      </c>
      <c r="R35" s="232">
        <f>K35+M35</f>
        <v>38.58</v>
      </c>
      <c r="S35" s="232">
        <v>400</v>
      </c>
      <c r="T35" s="232">
        <f>K35+M35+S35</f>
        <v>438.58</v>
      </c>
      <c r="U35" s="232">
        <v>4875.08</v>
      </c>
      <c r="V35" s="232">
        <v>1300</v>
      </c>
      <c r="W35" s="232">
        <f>IF(U35-S35-R35&gt;0,U35-S35-R35,0)</f>
        <v>4436.5</v>
      </c>
      <c r="X35" s="232">
        <f>IF((R35+S35)&lt;U35,(R35+S35+V35)/U35*100,100)</f>
        <v>35.662594254863514</v>
      </c>
      <c r="Y35" s="231" t="s">
        <v>366</v>
      </c>
      <c r="Z35" s="239"/>
    </row>
    <row r="36" spans="1:26" ht="77.25" customHeight="1">
      <c r="A36" s="228">
        <v>8</v>
      </c>
      <c r="B36" s="229" t="s">
        <v>1004</v>
      </c>
      <c r="C36" s="235" t="s">
        <v>251</v>
      </c>
      <c r="D36" s="235" t="s">
        <v>1003</v>
      </c>
      <c r="E36" s="231" t="s">
        <v>1002</v>
      </c>
      <c r="F36" s="232">
        <v>3282.56</v>
      </c>
      <c r="G36" s="232">
        <v>108.2</v>
      </c>
      <c r="H36" s="232">
        <f>400-363.9</f>
        <v>36.100000000000023</v>
      </c>
      <c r="I36" s="232">
        <v>144.30000000000001</v>
      </c>
      <c r="J36" s="232">
        <v>144.30000000000001</v>
      </c>
      <c r="K36" s="232">
        <v>114.3</v>
      </c>
      <c r="L36" s="232">
        <v>300</v>
      </c>
      <c r="M36" s="232">
        <v>37</v>
      </c>
      <c r="N36" s="232">
        <v>180.3</v>
      </c>
      <c r="O36" s="232">
        <v>180.3</v>
      </c>
      <c r="P36" s="232">
        <v>800</v>
      </c>
      <c r="Q36" s="232">
        <v>263.89999999999998</v>
      </c>
      <c r="R36" s="232">
        <f>K36+M36</f>
        <v>151.30000000000001</v>
      </c>
      <c r="S36" s="232">
        <v>500</v>
      </c>
      <c r="T36" s="232">
        <f>K36+M36+S36</f>
        <v>651.29999999999995</v>
      </c>
      <c r="U36" s="232">
        <v>1830.23</v>
      </c>
      <c r="V36" s="232">
        <v>500</v>
      </c>
      <c r="W36" s="232">
        <f>IF(U36-S36-R36&gt;0,U36-S36-R36,0)</f>
        <v>1178.93</v>
      </c>
      <c r="X36" s="232">
        <f>IF((R36+S36)&lt;U36,(R36+S36+V36)/U36*100,100)</f>
        <v>62.904662255563501</v>
      </c>
      <c r="Y36" s="231" t="s">
        <v>366</v>
      </c>
      <c r="Z36" s="239"/>
    </row>
    <row r="37" spans="1:26" hidden="1">
      <c r="A37" s="228"/>
      <c r="B37" s="244"/>
      <c r="C37" s="241"/>
      <c r="D37" s="241"/>
      <c r="E37" s="231"/>
      <c r="F37" s="232"/>
      <c r="G37" s="232"/>
      <c r="H37" s="232"/>
      <c r="I37" s="232"/>
      <c r="J37" s="232"/>
      <c r="K37" s="232"/>
      <c r="L37" s="232"/>
      <c r="M37" s="232"/>
      <c r="N37" s="232"/>
      <c r="O37" s="232"/>
      <c r="P37" s="232"/>
      <c r="Q37" s="232"/>
      <c r="R37" s="232"/>
      <c r="S37" s="232"/>
      <c r="T37" s="232"/>
      <c r="U37" s="232"/>
      <c r="V37" s="232"/>
      <c r="W37" s="232"/>
      <c r="X37" s="232"/>
      <c r="Y37" s="231"/>
      <c r="Z37" s="239"/>
    </row>
    <row r="38" spans="1:26" hidden="1">
      <c r="A38" s="228"/>
      <c r="B38" s="244"/>
      <c r="C38" s="241"/>
      <c r="D38" s="241"/>
      <c r="E38" s="231"/>
      <c r="F38" s="232"/>
      <c r="G38" s="232"/>
      <c r="H38" s="232"/>
      <c r="I38" s="232"/>
      <c r="J38" s="232"/>
      <c r="K38" s="232"/>
      <c r="L38" s="232"/>
      <c r="M38" s="232"/>
      <c r="N38" s="232"/>
      <c r="O38" s="232"/>
      <c r="P38" s="232"/>
      <c r="Q38" s="232"/>
      <c r="R38" s="232"/>
      <c r="S38" s="232"/>
      <c r="T38" s="232"/>
      <c r="U38" s="232"/>
      <c r="V38" s="232"/>
      <c r="W38" s="232"/>
      <c r="X38" s="232"/>
      <c r="Y38" s="231"/>
      <c r="Z38" s="239"/>
    </row>
    <row r="39" spans="1:26" hidden="1">
      <c r="A39" s="228"/>
      <c r="B39" s="244"/>
      <c r="C39" s="241"/>
      <c r="D39" s="241"/>
      <c r="E39" s="231"/>
      <c r="F39" s="232"/>
      <c r="G39" s="232"/>
      <c r="H39" s="232"/>
      <c r="I39" s="232"/>
      <c r="J39" s="232"/>
      <c r="K39" s="232"/>
      <c r="L39" s="232"/>
      <c r="M39" s="232"/>
      <c r="N39" s="232"/>
      <c r="O39" s="232"/>
      <c r="P39" s="232"/>
      <c r="Q39" s="232"/>
      <c r="R39" s="232"/>
      <c r="S39" s="232"/>
      <c r="T39" s="232"/>
      <c r="U39" s="232"/>
      <c r="V39" s="232"/>
      <c r="W39" s="232"/>
      <c r="X39" s="232"/>
      <c r="Y39" s="231"/>
      <c r="Z39" s="239"/>
    </row>
    <row r="40" spans="1:26" ht="33">
      <c r="A40" s="228">
        <v>9</v>
      </c>
      <c r="B40" s="247" t="s">
        <v>1001</v>
      </c>
      <c r="C40" s="241" t="s">
        <v>1055</v>
      </c>
      <c r="D40" s="241" t="s">
        <v>1000</v>
      </c>
      <c r="E40" s="231" t="s">
        <v>999</v>
      </c>
      <c r="F40" s="232">
        <v>2800</v>
      </c>
      <c r="G40" s="232"/>
      <c r="H40" s="232"/>
      <c r="I40" s="232"/>
      <c r="J40" s="232">
        <v>0</v>
      </c>
      <c r="K40" s="232">
        <v>0</v>
      </c>
      <c r="L40" s="232">
        <v>200</v>
      </c>
      <c r="M40" s="232">
        <v>120.32</v>
      </c>
      <c r="N40" s="232">
        <v>0</v>
      </c>
      <c r="O40" s="232">
        <v>150</v>
      </c>
      <c r="P40" s="232">
        <v>2800</v>
      </c>
      <c r="Q40" s="232">
        <v>50</v>
      </c>
      <c r="R40" s="232">
        <f>K40+M40</f>
        <v>120.32</v>
      </c>
      <c r="S40" s="232">
        <v>400</v>
      </c>
      <c r="T40" s="232">
        <f>K40+M40+S40</f>
        <v>520.31999999999994</v>
      </c>
      <c r="U40" s="232">
        <v>1549.14</v>
      </c>
      <c r="V40" s="232">
        <v>500</v>
      </c>
      <c r="W40" s="232">
        <f>IF(U40-S40-R40&gt;0,U40-S40-R40,0)</f>
        <v>1028.8200000000002</v>
      </c>
      <c r="X40" s="232">
        <f>IF((R40+S40)&lt;U40,(R40+S40+V40)/U40*100,100)</f>
        <v>65.8636404714874</v>
      </c>
      <c r="Y40" s="231" t="s">
        <v>366</v>
      </c>
      <c r="Z40" s="239"/>
    </row>
    <row r="41" spans="1:26" ht="33">
      <c r="A41" s="228">
        <v>10</v>
      </c>
      <c r="B41" s="248" t="s">
        <v>998</v>
      </c>
      <c r="C41" s="235" t="s">
        <v>1056</v>
      </c>
      <c r="D41" s="235" t="s">
        <v>980</v>
      </c>
      <c r="E41" s="230" t="s">
        <v>997</v>
      </c>
      <c r="F41" s="249">
        <v>3697.5</v>
      </c>
      <c r="G41" s="232"/>
      <c r="H41" s="232"/>
      <c r="I41" s="232"/>
      <c r="J41" s="232">
        <v>0</v>
      </c>
      <c r="K41" s="232">
        <v>0</v>
      </c>
      <c r="L41" s="232">
        <v>200</v>
      </c>
      <c r="M41" s="232">
        <v>52</v>
      </c>
      <c r="N41" s="232">
        <v>0</v>
      </c>
      <c r="O41" s="232">
        <f>200-148</f>
        <v>52</v>
      </c>
      <c r="P41" s="232">
        <v>1800</v>
      </c>
      <c r="Q41" s="232"/>
      <c r="R41" s="232">
        <f>K41+M41</f>
        <v>52</v>
      </c>
      <c r="S41" s="232">
        <v>500</v>
      </c>
      <c r="T41" s="232">
        <f>K41+M41+S41</f>
        <v>552</v>
      </c>
      <c r="U41" s="232">
        <v>3697.5</v>
      </c>
      <c r="V41" s="232">
        <v>1000</v>
      </c>
      <c r="W41" s="232">
        <f>IF(U41-S41-R41&gt;0,U41-S41-R41,0)</f>
        <v>3145.5</v>
      </c>
      <c r="X41" s="232">
        <f>IF((R41+S41)&lt;U41,(R41+S41+V41)/U41*100,100)</f>
        <v>41.974306964164974</v>
      </c>
      <c r="Y41" s="231" t="s">
        <v>366</v>
      </c>
      <c r="Z41" s="239"/>
    </row>
    <row r="42" spans="1:26" ht="33">
      <c r="A42" s="228">
        <v>11</v>
      </c>
      <c r="B42" s="248" t="s">
        <v>996</v>
      </c>
      <c r="C42" s="235" t="s">
        <v>1057</v>
      </c>
      <c r="D42" s="235" t="s">
        <v>980</v>
      </c>
      <c r="E42" s="230" t="s">
        <v>995</v>
      </c>
      <c r="F42" s="249">
        <v>3453</v>
      </c>
      <c r="G42" s="232"/>
      <c r="H42" s="232"/>
      <c r="I42" s="232"/>
      <c r="J42" s="232">
        <v>0</v>
      </c>
      <c r="K42" s="232">
        <v>0</v>
      </c>
      <c r="L42" s="232">
        <v>200</v>
      </c>
      <c r="M42" s="232">
        <f>L42-Q42</f>
        <v>200</v>
      </c>
      <c r="N42" s="232">
        <v>50</v>
      </c>
      <c r="O42" s="232">
        <v>50</v>
      </c>
      <c r="P42" s="232">
        <v>1500</v>
      </c>
      <c r="Q42" s="232"/>
      <c r="R42" s="232">
        <f>K42+M42</f>
        <v>200</v>
      </c>
      <c r="S42" s="232">
        <v>500</v>
      </c>
      <c r="T42" s="232">
        <f>K42+M42+S42</f>
        <v>700</v>
      </c>
      <c r="U42" s="232">
        <f>F42*0.7</f>
        <v>2417.1</v>
      </c>
      <c r="V42" s="232">
        <v>100</v>
      </c>
      <c r="W42" s="232">
        <f>IF(U42-S42-R42&gt;0,U42-S42-R42,0)</f>
        <v>1717.1</v>
      </c>
      <c r="X42" s="232">
        <f>IF((R42+S42)&lt;U42,(R42+S42+V42)/U42*100,100)</f>
        <v>33.097513549294611</v>
      </c>
      <c r="Y42" s="231" t="s">
        <v>994</v>
      </c>
      <c r="Z42" s="239"/>
    </row>
    <row r="43" spans="1:26" hidden="1">
      <c r="A43" s="228"/>
      <c r="B43" s="234"/>
      <c r="C43" s="235"/>
      <c r="D43" s="235"/>
      <c r="E43" s="231"/>
      <c r="F43" s="232"/>
      <c r="G43" s="232"/>
      <c r="H43" s="232"/>
      <c r="I43" s="232"/>
      <c r="J43" s="232"/>
      <c r="K43" s="232"/>
      <c r="L43" s="232"/>
      <c r="M43" s="232"/>
      <c r="N43" s="232"/>
      <c r="O43" s="232"/>
      <c r="P43" s="232"/>
      <c r="Q43" s="232"/>
      <c r="R43" s="232"/>
      <c r="S43" s="232"/>
      <c r="T43" s="232"/>
      <c r="U43" s="232"/>
      <c r="V43" s="232"/>
      <c r="W43" s="232"/>
      <c r="X43" s="232"/>
      <c r="Y43" s="231"/>
      <c r="Z43" s="240"/>
    </row>
    <row r="44" spans="1:26" hidden="1">
      <c r="A44" s="228"/>
      <c r="B44" s="234"/>
      <c r="C44" s="235"/>
      <c r="D44" s="235"/>
      <c r="E44" s="231"/>
      <c r="F44" s="232"/>
      <c r="G44" s="232"/>
      <c r="H44" s="232"/>
      <c r="I44" s="232"/>
      <c r="J44" s="232"/>
      <c r="K44" s="232"/>
      <c r="L44" s="232"/>
      <c r="M44" s="232"/>
      <c r="N44" s="232"/>
      <c r="O44" s="232"/>
      <c r="P44" s="232"/>
      <c r="Q44" s="232"/>
      <c r="R44" s="232"/>
      <c r="S44" s="232"/>
      <c r="T44" s="232"/>
      <c r="U44" s="232"/>
      <c r="V44" s="232"/>
      <c r="W44" s="232"/>
      <c r="X44" s="232"/>
      <c r="Y44" s="231"/>
      <c r="Z44" s="240"/>
    </row>
    <row r="45" spans="1:26" ht="33">
      <c r="A45" s="228">
        <v>12</v>
      </c>
      <c r="B45" s="244" t="s">
        <v>993</v>
      </c>
      <c r="C45" s="241" t="s">
        <v>960</v>
      </c>
      <c r="D45" s="241" t="s">
        <v>990</v>
      </c>
      <c r="E45" s="231" t="s">
        <v>992</v>
      </c>
      <c r="F45" s="232">
        <v>6649.1930000000002</v>
      </c>
      <c r="G45" s="232">
        <v>0</v>
      </c>
      <c r="H45" s="232">
        <f>200-174</f>
        <v>26</v>
      </c>
      <c r="I45" s="232">
        <v>26</v>
      </c>
      <c r="J45" s="232">
        <v>26</v>
      </c>
      <c r="K45" s="232">
        <v>26</v>
      </c>
      <c r="L45" s="232">
        <v>200</v>
      </c>
      <c r="M45" s="232">
        <f>L45+343</f>
        <v>543</v>
      </c>
      <c r="N45" s="232">
        <v>2806</v>
      </c>
      <c r="O45" s="232">
        <v>2806</v>
      </c>
      <c r="P45" s="232">
        <v>2209</v>
      </c>
      <c r="Q45" s="232"/>
      <c r="R45" s="232">
        <f>K45+M45</f>
        <v>569</v>
      </c>
      <c r="S45" s="232">
        <v>1300</v>
      </c>
      <c r="T45" s="232">
        <f>K45+M45+S45</f>
        <v>1869</v>
      </c>
      <c r="U45" s="232">
        <v>6649.19</v>
      </c>
      <c r="V45" s="232">
        <v>800</v>
      </c>
      <c r="W45" s="232">
        <f>IF(U45-S45-R45&gt;0,U45-S45-R45,0)</f>
        <v>4780.1899999999996</v>
      </c>
      <c r="X45" s="232">
        <f>IF((R45+S45)&lt;U45,(R45+S45+V45)/U45*100,100)</f>
        <v>40.140227606670891</v>
      </c>
      <c r="Y45" s="231" t="s">
        <v>366</v>
      </c>
      <c r="Z45" s="239"/>
    </row>
    <row r="46" spans="1:26" ht="33">
      <c r="A46" s="228">
        <v>13</v>
      </c>
      <c r="B46" s="244" t="s">
        <v>991</v>
      </c>
      <c r="C46" s="241" t="s">
        <v>1058</v>
      </c>
      <c r="D46" s="241" t="s">
        <v>990</v>
      </c>
      <c r="E46" s="231" t="s">
        <v>989</v>
      </c>
      <c r="F46" s="232">
        <v>2431.4</v>
      </c>
      <c r="G46" s="232">
        <v>0</v>
      </c>
      <c r="H46" s="232">
        <f>200-178</f>
        <v>22</v>
      </c>
      <c r="I46" s="232">
        <v>22</v>
      </c>
      <c r="J46" s="232">
        <v>22</v>
      </c>
      <c r="K46" s="232">
        <v>22</v>
      </c>
      <c r="L46" s="232">
        <v>200</v>
      </c>
      <c r="M46" s="232">
        <f>L46-Q46</f>
        <v>200</v>
      </c>
      <c r="N46" s="232">
        <v>585</v>
      </c>
      <c r="O46" s="232">
        <v>585</v>
      </c>
      <c r="P46" s="232">
        <v>363</v>
      </c>
      <c r="Q46" s="232"/>
      <c r="R46" s="232">
        <f>K46+M46</f>
        <v>222</v>
      </c>
      <c r="S46" s="232">
        <v>300</v>
      </c>
      <c r="T46" s="232">
        <f>K46+M46+S46</f>
        <v>522</v>
      </c>
      <c r="U46" s="232">
        <v>2431.4</v>
      </c>
      <c r="V46" s="232">
        <v>900</v>
      </c>
      <c r="W46" s="232">
        <f>IF(U46-S46-R46&gt;0,U46-S46-R46,0)</f>
        <v>1909.4</v>
      </c>
      <c r="X46" s="232">
        <f>IF((R46+S46)&lt;U46,(R46+S46+V46)/U46*100,100)</f>
        <v>58.484823558443686</v>
      </c>
      <c r="Y46" s="231" t="s">
        <v>366</v>
      </c>
      <c r="Z46" s="239"/>
    </row>
    <row r="47" spans="1:26" ht="33">
      <c r="A47" s="228">
        <v>14</v>
      </c>
      <c r="B47" s="244" t="s">
        <v>988</v>
      </c>
      <c r="C47" s="241" t="s">
        <v>1059</v>
      </c>
      <c r="D47" s="241" t="s">
        <v>987</v>
      </c>
      <c r="E47" s="231" t="s">
        <v>986</v>
      </c>
      <c r="F47" s="232">
        <v>5644.8850000000002</v>
      </c>
      <c r="G47" s="232"/>
      <c r="H47" s="232">
        <v>1447</v>
      </c>
      <c r="I47" s="232">
        <v>5605</v>
      </c>
      <c r="J47" s="232">
        <v>1447</v>
      </c>
      <c r="K47" s="232">
        <f>1447.255+417.531</f>
        <v>1864.7860000000001</v>
      </c>
      <c r="L47" s="232">
        <f>400</f>
        <v>400</v>
      </c>
      <c r="M47" s="232">
        <f>L47-Q47</f>
        <v>400</v>
      </c>
      <c r="N47" s="232"/>
      <c r="O47" s="232">
        <f>K47+L47</f>
        <v>2264.7860000000001</v>
      </c>
      <c r="P47" s="232">
        <v>1983</v>
      </c>
      <c r="Q47" s="232"/>
      <c r="R47" s="232">
        <f>K47+M47</f>
        <v>2264.7860000000001</v>
      </c>
      <c r="S47" s="232">
        <v>600</v>
      </c>
      <c r="T47" s="232">
        <f>K47+M47+S47</f>
        <v>2864.7860000000001</v>
      </c>
      <c r="U47" s="232">
        <v>5605</v>
      </c>
      <c r="V47" s="232">
        <v>180</v>
      </c>
      <c r="W47" s="232">
        <f>IF(U47-S47-R47&gt;0,U47-S47-R47,0)-1500</f>
        <v>1240.2139999999999</v>
      </c>
      <c r="X47" s="232">
        <f>IF((R47+S47)&lt;U47,(R47+S47+V47)/U47*100,100)</f>
        <v>54.322676181980377</v>
      </c>
      <c r="Y47" s="231" t="s">
        <v>985</v>
      </c>
      <c r="Z47" s="239"/>
    </row>
    <row r="48" spans="1:26" hidden="1">
      <c r="A48" s="228"/>
      <c r="B48" s="250"/>
      <c r="C48" s="251"/>
      <c r="D48" s="252"/>
      <c r="E48" s="251"/>
      <c r="F48" s="232"/>
      <c r="G48" s="253"/>
      <c r="H48" s="232"/>
      <c r="I48" s="232"/>
      <c r="J48" s="232"/>
      <c r="K48" s="232"/>
      <c r="L48" s="232"/>
      <c r="M48" s="232"/>
      <c r="N48" s="232"/>
      <c r="O48" s="232"/>
      <c r="P48" s="232"/>
      <c r="Q48" s="232"/>
      <c r="R48" s="232"/>
      <c r="S48" s="232"/>
      <c r="T48" s="232"/>
      <c r="U48" s="232"/>
      <c r="V48" s="232"/>
      <c r="W48" s="232"/>
      <c r="X48" s="232"/>
      <c r="Y48" s="254"/>
      <c r="Z48" s="244"/>
    </row>
    <row r="49" spans="1:26" ht="63" customHeight="1">
      <c r="A49" s="228">
        <v>15</v>
      </c>
      <c r="B49" s="250" t="s">
        <v>984</v>
      </c>
      <c r="C49" s="251" t="s">
        <v>981</v>
      </c>
      <c r="D49" s="252" t="s">
        <v>980</v>
      </c>
      <c r="E49" s="251" t="s">
        <v>983</v>
      </c>
      <c r="F49" s="232">
        <v>3377</v>
      </c>
      <c r="G49" s="253"/>
      <c r="H49" s="232"/>
      <c r="I49" s="232"/>
      <c r="J49" s="232"/>
      <c r="K49" s="232">
        <v>0</v>
      </c>
      <c r="L49" s="232">
        <v>200</v>
      </c>
      <c r="M49" s="232">
        <v>0</v>
      </c>
      <c r="N49" s="232"/>
      <c r="O49" s="232">
        <v>0</v>
      </c>
      <c r="P49" s="232"/>
      <c r="Q49" s="232"/>
      <c r="R49" s="232">
        <f>K49+M49</f>
        <v>0</v>
      </c>
      <c r="S49" s="232">
        <f>100+740.3</f>
        <v>840.3</v>
      </c>
      <c r="T49" s="232">
        <f>K49+M49+S49</f>
        <v>840.3</v>
      </c>
      <c r="U49" s="232">
        <v>840.29</v>
      </c>
      <c r="V49" s="232">
        <v>300</v>
      </c>
      <c r="W49" s="232">
        <f>IF(U49-S49-R49&gt;0,U49-S49-R49,0)</f>
        <v>0</v>
      </c>
      <c r="X49" s="232">
        <f>IF((R49+S49)&lt;U49,(R49+S49+V49)/U49*100,100)</f>
        <v>100</v>
      </c>
      <c r="Y49" s="254" t="s">
        <v>1049</v>
      </c>
      <c r="Z49" s="244"/>
    </row>
    <row r="50" spans="1:26" ht="33">
      <c r="A50" s="228">
        <v>16</v>
      </c>
      <c r="B50" s="250" t="s">
        <v>982</v>
      </c>
      <c r="C50" s="251" t="s">
        <v>981</v>
      </c>
      <c r="D50" s="252" t="s">
        <v>980</v>
      </c>
      <c r="E50" s="251" t="s">
        <v>979</v>
      </c>
      <c r="F50" s="232">
        <v>2332.2809999999999</v>
      </c>
      <c r="G50" s="253"/>
      <c r="H50" s="232"/>
      <c r="I50" s="232"/>
      <c r="J50" s="232">
        <v>0</v>
      </c>
      <c r="K50" s="232">
        <v>0</v>
      </c>
      <c r="L50" s="232">
        <v>300</v>
      </c>
      <c r="M50" s="232">
        <f>L50-Q50</f>
        <v>300</v>
      </c>
      <c r="N50" s="232">
        <v>300</v>
      </c>
      <c r="O50" s="232">
        <v>300</v>
      </c>
      <c r="P50" s="232"/>
      <c r="Q50" s="232"/>
      <c r="R50" s="232">
        <f>K50+M50</f>
        <v>300</v>
      </c>
      <c r="S50" s="232">
        <v>0</v>
      </c>
      <c r="T50" s="232">
        <f>K50+M50+S50</f>
        <v>300</v>
      </c>
      <c r="U50" s="232"/>
      <c r="V50" s="232">
        <v>0</v>
      </c>
      <c r="W50" s="232">
        <f>IF(U50-S50-R50&gt;0,U50-S50-R50,0)</f>
        <v>0</v>
      </c>
      <c r="X50" s="232">
        <f>IF((R50+S50)&lt;U50,(R50+S50+V50)/U50*100,100)</f>
        <v>100</v>
      </c>
      <c r="Y50" s="254" t="s">
        <v>948</v>
      </c>
      <c r="Z50" s="244"/>
    </row>
    <row r="51" spans="1:26" ht="28.5" customHeight="1">
      <c r="A51" s="223" t="s">
        <v>2</v>
      </c>
      <c r="B51" s="224" t="s">
        <v>978</v>
      </c>
      <c r="C51" s="225"/>
      <c r="D51" s="225"/>
      <c r="E51" s="226"/>
      <c r="F51" s="227">
        <f t="shared" ref="F51:V51" si="2">SUM(F52:F69)</f>
        <v>31551.599999999999</v>
      </c>
      <c r="G51" s="227">
        <f t="shared" si="2"/>
        <v>0</v>
      </c>
      <c r="H51" s="227">
        <f t="shared" si="2"/>
        <v>0</v>
      </c>
      <c r="I51" s="227">
        <f t="shared" si="2"/>
        <v>0</v>
      </c>
      <c r="J51" s="227">
        <f t="shared" si="2"/>
        <v>0</v>
      </c>
      <c r="K51" s="227">
        <f t="shared" si="2"/>
        <v>0</v>
      </c>
      <c r="L51" s="227">
        <f t="shared" si="2"/>
        <v>200</v>
      </c>
      <c r="M51" s="227">
        <f t="shared" si="2"/>
        <v>200</v>
      </c>
      <c r="N51" s="227">
        <f t="shared" si="2"/>
        <v>0</v>
      </c>
      <c r="O51" s="227">
        <f t="shared" si="2"/>
        <v>400</v>
      </c>
      <c r="P51" s="227">
        <f t="shared" si="2"/>
        <v>14570.6</v>
      </c>
      <c r="Q51" s="227">
        <f t="shared" si="2"/>
        <v>0</v>
      </c>
      <c r="R51" s="227">
        <f t="shared" si="2"/>
        <v>200</v>
      </c>
      <c r="S51" s="227">
        <f t="shared" si="2"/>
        <v>2373.64</v>
      </c>
      <c r="T51" s="227">
        <f t="shared" si="2"/>
        <v>2573.64</v>
      </c>
      <c r="U51" s="227">
        <f t="shared" si="2"/>
        <v>3388.71</v>
      </c>
      <c r="V51" s="227">
        <f t="shared" si="2"/>
        <v>2766</v>
      </c>
      <c r="W51" s="227">
        <f>SUM(W53:W69)</f>
        <v>1165.07</v>
      </c>
      <c r="X51" s="232"/>
      <c r="Y51" s="226"/>
      <c r="Z51" s="246"/>
    </row>
    <row r="52" spans="1:26" ht="33">
      <c r="A52" s="228">
        <v>1</v>
      </c>
      <c r="B52" s="250" t="s">
        <v>977</v>
      </c>
      <c r="C52" s="241"/>
      <c r="D52" s="241" t="s">
        <v>976</v>
      </c>
      <c r="E52" s="231"/>
      <c r="F52" s="232">
        <v>2200</v>
      </c>
      <c r="G52" s="232"/>
      <c r="H52" s="232"/>
      <c r="I52" s="232"/>
      <c r="J52" s="232">
        <v>0</v>
      </c>
      <c r="K52" s="232">
        <v>0</v>
      </c>
      <c r="L52" s="232">
        <v>200</v>
      </c>
      <c r="M52" s="232">
        <f>L52-Q52</f>
        <v>200</v>
      </c>
      <c r="N52" s="232">
        <v>0</v>
      </c>
      <c r="O52" s="232">
        <v>400</v>
      </c>
      <c r="P52" s="232">
        <v>2000</v>
      </c>
      <c r="Q52" s="232"/>
      <c r="R52" s="232">
        <f>K52+M52</f>
        <v>200</v>
      </c>
      <c r="S52" s="232">
        <v>500</v>
      </c>
      <c r="T52" s="232">
        <f>K52+M52+S52</f>
        <v>700</v>
      </c>
      <c r="U52" s="232">
        <v>500</v>
      </c>
      <c r="V52" s="232">
        <v>300</v>
      </c>
      <c r="W52" s="232">
        <f>IF(U52-S52-R52&gt;0,U52-S52-R52,0)</f>
        <v>0</v>
      </c>
      <c r="X52" s="232">
        <f t="shared" ref="X52:X69" si="3">IF((R52+S52)&lt;U52,(R52+S52+V52)/U52*100,100)</f>
        <v>100</v>
      </c>
      <c r="Y52" s="231" t="s">
        <v>975</v>
      </c>
      <c r="Z52" s="239"/>
    </row>
    <row r="53" spans="1:26" ht="42.75" customHeight="1">
      <c r="A53" s="228">
        <v>2</v>
      </c>
      <c r="B53" s="255" t="s">
        <v>974</v>
      </c>
      <c r="C53" s="241" t="s">
        <v>1054</v>
      </c>
      <c r="D53" s="241" t="s">
        <v>952</v>
      </c>
      <c r="E53" s="251"/>
      <c r="F53" s="232">
        <v>1300</v>
      </c>
      <c r="G53" s="232"/>
      <c r="H53" s="232"/>
      <c r="I53" s="232"/>
      <c r="J53" s="232"/>
      <c r="K53" s="232"/>
      <c r="L53" s="232"/>
      <c r="M53" s="232"/>
      <c r="N53" s="232"/>
      <c r="O53" s="232"/>
      <c r="P53" s="232">
        <v>300</v>
      </c>
      <c r="Q53" s="232"/>
      <c r="R53" s="232">
        <f>K53+M53</f>
        <v>0</v>
      </c>
      <c r="S53" s="232">
        <v>150</v>
      </c>
      <c r="T53" s="232">
        <f>K53+M53+S53</f>
        <v>150</v>
      </c>
      <c r="U53" s="232">
        <v>1000</v>
      </c>
      <c r="V53" s="232">
        <v>250</v>
      </c>
      <c r="W53" s="232">
        <f>IF(U53-S53-R53&gt;0,U53-S53-R53,0)</f>
        <v>850</v>
      </c>
      <c r="X53" s="232">
        <f t="shared" si="3"/>
        <v>40</v>
      </c>
      <c r="Y53" s="231" t="s">
        <v>901</v>
      </c>
      <c r="Z53" s="239"/>
    </row>
    <row r="54" spans="1:26" ht="33">
      <c r="A54" s="228">
        <v>3</v>
      </c>
      <c r="B54" s="255" t="s">
        <v>973</v>
      </c>
      <c r="C54" s="241" t="s">
        <v>972</v>
      </c>
      <c r="D54" s="241" t="s">
        <v>952</v>
      </c>
      <c r="E54" s="251"/>
      <c r="F54" s="232">
        <v>1700</v>
      </c>
      <c r="G54" s="232"/>
      <c r="H54" s="232"/>
      <c r="I54" s="232"/>
      <c r="J54" s="232"/>
      <c r="K54" s="232"/>
      <c r="L54" s="232"/>
      <c r="M54" s="232"/>
      <c r="N54" s="232"/>
      <c r="O54" s="232"/>
      <c r="P54" s="232">
        <v>300</v>
      </c>
      <c r="Q54" s="232"/>
      <c r="R54" s="232">
        <f>K54+M54</f>
        <v>0</v>
      </c>
      <c r="S54" s="232">
        <v>550.94000000000005</v>
      </c>
      <c r="T54" s="232">
        <f>K54+M54+S54</f>
        <v>550.94000000000005</v>
      </c>
      <c r="U54" s="232">
        <v>600</v>
      </c>
      <c r="V54" s="232">
        <v>300</v>
      </c>
      <c r="W54" s="232">
        <f>IF(U54-S54-R54&gt;0,U54-S54-R54,0)</f>
        <v>49.059999999999945</v>
      </c>
      <c r="X54" s="232">
        <f t="shared" si="3"/>
        <v>141.82333333333335</v>
      </c>
      <c r="Y54" s="231" t="s">
        <v>901</v>
      </c>
      <c r="Z54" s="239"/>
    </row>
    <row r="55" spans="1:26" hidden="1">
      <c r="A55" s="228">
        <v>4</v>
      </c>
      <c r="B55" s="255"/>
      <c r="C55" s="252"/>
      <c r="D55" s="252"/>
      <c r="E55" s="256"/>
      <c r="F55" s="232"/>
      <c r="G55" s="232"/>
      <c r="H55" s="232"/>
      <c r="I55" s="232"/>
      <c r="J55" s="232"/>
      <c r="K55" s="232"/>
      <c r="L55" s="232"/>
      <c r="M55" s="232"/>
      <c r="N55" s="232"/>
      <c r="O55" s="232"/>
      <c r="P55" s="232"/>
      <c r="Q55" s="232"/>
      <c r="R55" s="232"/>
      <c r="S55" s="232"/>
      <c r="T55" s="232"/>
      <c r="U55" s="232"/>
      <c r="V55" s="232"/>
      <c r="W55" s="232"/>
      <c r="X55" s="232">
        <f t="shared" si="3"/>
        <v>100</v>
      </c>
      <c r="Y55" s="257"/>
      <c r="Z55" s="258"/>
    </row>
    <row r="56" spans="1:26" hidden="1">
      <c r="A56" s="228">
        <v>5</v>
      </c>
      <c r="B56" s="255"/>
      <c r="C56" s="252"/>
      <c r="D56" s="252"/>
      <c r="E56" s="256"/>
      <c r="F56" s="232"/>
      <c r="G56" s="232"/>
      <c r="H56" s="232"/>
      <c r="I56" s="232"/>
      <c r="J56" s="232"/>
      <c r="K56" s="232"/>
      <c r="L56" s="232"/>
      <c r="M56" s="232"/>
      <c r="N56" s="232"/>
      <c r="O56" s="232"/>
      <c r="P56" s="232"/>
      <c r="Q56" s="232"/>
      <c r="R56" s="232"/>
      <c r="S56" s="232"/>
      <c r="T56" s="232"/>
      <c r="U56" s="232"/>
      <c r="V56" s="232"/>
      <c r="W56" s="232"/>
      <c r="X56" s="232">
        <f t="shared" si="3"/>
        <v>100</v>
      </c>
      <c r="Y56" s="257"/>
      <c r="Z56" s="258"/>
    </row>
    <row r="57" spans="1:26" ht="49.5">
      <c r="A57" s="228">
        <v>4</v>
      </c>
      <c r="B57" s="255" t="s">
        <v>971</v>
      </c>
      <c r="C57" s="252" t="s">
        <v>1060</v>
      </c>
      <c r="D57" s="252" t="s">
        <v>267</v>
      </c>
      <c r="E57" s="256"/>
      <c r="F57" s="232">
        <v>2600</v>
      </c>
      <c r="G57" s="232"/>
      <c r="H57" s="232"/>
      <c r="I57" s="232"/>
      <c r="J57" s="232"/>
      <c r="K57" s="232"/>
      <c r="L57" s="232"/>
      <c r="M57" s="232"/>
      <c r="N57" s="232"/>
      <c r="O57" s="232"/>
      <c r="P57" s="232">
        <v>150</v>
      </c>
      <c r="Q57" s="232"/>
      <c r="R57" s="232">
        <f t="shared" ref="R57:R67" si="4">K57+M57</f>
        <v>0</v>
      </c>
      <c r="S57" s="232">
        <v>150</v>
      </c>
      <c r="T57" s="232">
        <f t="shared" ref="T57:T69" si="5">K57+M57+S57</f>
        <v>150</v>
      </c>
      <c r="U57" s="232">
        <v>200</v>
      </c>
      <c r="V57" s="232">
        <v>150</v>
      </c>
      <c r="W57" s="232">
        <f t="shared" ref="W57:W69" si="6">IF(U57-S57-R57&gt;0,U57-S57-R57,0)</f>
        <v>50</v>
      </c>
      <c r="X57" s="232">
        <f t="shared" si="3"/>
        <v>150</v>
      </c>
      <c r="Y57" s="257" t="s">
        <v>364</v>
      </c>
      <c r="Z57" s="258"/>
    </row>
    <row r="58" spans="1:26">
      <c r="A58" s="228">
        <v>5</v>
      </c>
      <c r="B58" s="255" t="s">
        <v>970</v>
      </c>
      <c r="C58" s="252" t="s">
        <v>1061</v>
      </c>
      <c r="D58" s="252" t="s">
        <v>952</v>
      </c>
      <c r="E58" s="256"/>
      <c r="F58" s="232">
        <v>2250</v>
      </c>
      <c r="G58" s="232"/>
      <c r="H58" s="232"/>
      <c r="I58" s="232"/>
      <c r="J58" s="232"/>
      <c r="K58" s="232"/>
      <c r="L58" s="232"/>
      <c r="M58" s="232"/>
      <c r="N58" s="232"/>
      <c r="O58" s="232"/>
      <c r="P58" s="232">
        <v>133</v>
      </c>
      <c r="Q58" s="232"/>
      <c r="R58" s="232">
        <f t="shared" si="4"/>
        <v>0</v>
      </c>
      <c r="S58" s="232">
        <v>133</v>
      </c>
      <c r="T58" s="232">
        <f t="shared" si="5"/>
        <v>133</v>
      </c>
      <c r="U58" s="232">
        <v>133</v>
      </c>
      <c r="V58" s="232">
        <v>200</v>
      </c>
      <c r="W58" s="232">
        <f t="shared" si="6"/>
        <v>0</v>
      </c>
      <c r="X58" s="232">
        <f t="shared" si="3"/>
        <v>100</v>
      </c>
      <c r="Y58" s="257" t="s">
        <v>935</v>
      </c>
      <c r="Z58" s="258"/>
    </row>
    <row r="59" spans="1:26" ht="33">
      <c r="A59" s="228">
        <v>6</v>
      </c>
      <c r="B59" s="255" t="s">
        <v>969</v>
      </c>
      <c r="C59" s="252" t="s">
        <v>960</v>
      </c>
      <c r="D59" s="252" t="s">
        <v>952</v>
      </c>
      <c r="E59" s="256"/>
      <c r="F59" s="232">
        <v>2200</v>
      </c>
      <c r="G59" s="232"/>
      <c r="H59" s="232"/>
      <c r="I59" s="232"/>
      <c r="J59" s="232"/>
      <c r="K59" s="232"/>
      <c r="L59" s="232"/>
      <c r="M59" s="232"/>
      <c r="N59" s="232"/>
      <c r="O59" s="232"/>
      <c r="P59" s="232">
        <v>130</v>
      </c>
      <c r="Q59" s="232"/>
      <c r="R59" s="232">
        <f t="shared" si="4"/>
        <v>0</v>
      </c>
      <c r="S59" s="232">
        <v>130</v>
      </c>
      <c r="T59" s="232">
        <f t="shared" si="5"/>
        <v>130</v>
      </c>
      <c r="U59" s="232">
        <v>130</v>
      </c>
      <c r="V59" s="232">
        <v>200</v>
      </c>
      <c r="W59" s="232">
        <f t="shared" si="6"/>
        <v>0</v>
      </c>
      <c r="X59" s="232">
        <f t="shared" si="3"/>
        <v>100</v>
      </c>
      <c r="Y59" s="257" t="s">
        <v>968</v>
      </c>
      <c r="Z59" s="258"/>
    </row>
    <row r="60" spans="1:26" ht="33">
      <c r="A60" s="228">
        <v>7</v>
      </c>
      <c r="B60" s="255" t="s">
        <v>967</v>
      </c>
      <c r="C60" s="252" t="s">
        <v>250</v>
      </c>
      <c r="D60" s="252" t="s">
        <v>952</v>
      </c>
      <c r="E60" s="256"/>
      <c r="F60" s="232">
        <v>2050</v>
      </c>
      <c r="G60" s="232"/>
      <c r="H60" s="232"/>
      <c r="I60" s="232"/>
      <c r="J60" s="232"/>
      <c r="K60" s="232"/>
      <c r="L60" s="232"/>
      <c r="M60" s="232"/>
      <c r="N60" s="232"/>
      <c r="O60" s="232"/>
      <c r="P60" s="232">
        <v>130</v>
      </c>
      <c r="Q60" s="232"/>
      <c r="R60" s="232">
        <f t="shared" si="4"/>
        <v>0</v>
      </c>
      <c r="S60" s="232">
        <v>130</v>
      </c>
      <c r="T60" s="232">
        <f t="shared" si="5"/>
        <v>130</v>
      </c>
      <c r="U60" s="232">
        <v>130</v>
      </c>
      <c r="V60" s="232">
        <v>200</v>
      </c>
      <c r="W60" s="232">
        <f t="shared" si="6"/>
        <v>0</v>
      </c>
      <c r="X60" s="232">
        <f t="shared" si="3"/>
        <v>100</v>
      </c>
      <c r="Y60" s="257" t="s">
        <v>926</v>
      </c>
      <c r="Z60" s="258"/>
    </row>
    <row r="61" spans="1:26">
      <c r="A61" s="228">
        <v>8</v>
      </c>
      <c r="B61" s="255" t="s">
        <v>966</v>
      </c>
      <c r="C61" s="252" t="s">
        <v>251</v>
      </c>
      <c r="D61" s="252" t="s">
        <v>952</v>
      </c>
      <c r="E61" s="256"/>
      <c r="F61" s="232">
        <v>1950</v>
      </c>
      <c r="G61" s="232"/>
      <c r="H61" s="232"/>
      <c r="I61" s="232"/>
      <c r="J61" s="232"/>
      <c r="K61" s="232"/>
      <c r="L61" s="232"/>
      <c r="M61" s="232"/>
      <c r="N61" s="232"/>
      <c r="O61" s="232"/>
      <c r="P61" s="232">
        <v>120</v>
      </c>
      <c r="Q61" s="232"/>
      <c r="R61" s="232">
        <f t="shared" si="4"/>
        <v>0</v>
      </c>
      <c r="S61" s="232">
        <v>120</v>
      </c>
      <c r="T61" s="232">
        <f t="shared" si="5"/>
        <v>120</v>
      </c>
      <c r="U61" s="232">
        <v>120</v>
      </c>
      <c r="V61" s="232">
        <v>200</v>
      </c>
      <c r="W61" s="232">
        <f t="shared" si="6"/>
        <v>0</v>
      </c>
      <c r="X61" s="232">
        <f t="shared" si="3"/>
        <v>100</v>
      </c>
      <c r="Y61" s="257" t="s">
        <v>941</v>
      </c>
      <c r="Z61" s="258"/>
    </row>
    <row r="62" spans="1:26" ht="33">
      <c r="A62" s="228">
        <v>9</v>
      </c>
      <c r="B62" s="255" t="s">
        <v>965</v>
      </c>
      <c r="C62" s="252" t="s">
        <v>252</v>
      </c>
      <c r="D62" s="252" t="s">
        <v>952</v>
      </c>
      <c r="E62" s="256"/>
      <c r="F62" s="232">
        <v>1750</v>
      </c>
      <c r="G62" s="232"/>
      <c r="H62" s="232"/>
      <c r="I62" s="232"/>
      <c r="J62" s="232"/>
      <c r="K62" s="232"/>
      <c r="L62" s="232"/>
      <c r="M62" s="232"/>
      <c r="N62" s="232"/>
      <c r="O62" s="232"/>
      <c r="P62" s="232">
        <v>120</v>
      </c>
      <c r="Q62" s="232"/>
      <c r="R62" s="232">
        <f t="shared" si="4"/>
        <v>0</v>
      </c>
      <c r="S62" s="232">
        <v>120</v>
      </c>
      <c r="T62" s="232">
        <f t="shared" si="5"/>
        <v>120</v>
      </c>
      <c r="U62" s="232">
        <v>120</v>
      </c>
      <c r="V62" s="232">
        <v>200</v>
      </c>
      <c r="W62" s="232">
        <f t="shared" si="6"/>
        <v>0</v>
      </c>
      <c r="X62" s="232">
        <f t="shared" si="3"/>
        <v>100</v>
      </c>
      <c r="Y62" s="257" t="s">
        <v>927</v>
      </c>
      <c r="Z62" s="258"/>
    </row>
    <row r="63" spans="1:26" ht="33">
      <c r="A63" s="228">
        <v>10</v>
      </c>
      <c r="B63" s="255" t="s">
        <v>964</v>
      </c>
      <c r="C63" s="252" t="s">
        <v>1062</v>
      </c>
      <c r="D63" s="252" t="s">
        <v>952</v>
      </c>
      <c r="E63" s="256"/>
      <c r="F63" s="232">
        <v>2200</v>
      </c>
      <c r="G63" s="232"/>
      <c r="H63" s="232"/>
      <c r="I63" s="232"/>
      <c r="J63" s="232"/>
      <c r="K63" s="232"/>
      <c r="L63" s="232"/>
      <c r="M63" s="232"/>
      <c r="N63" s="232"/>
      <c r="O63" s="232"/>
      <c r="P63" s="232">
        <v>130</v>
      </c>
      <c r="Q63" s="232"/>
      <c r="R63" s="232">
        <f t="shared" si="4"/>
        <v>0</v>
      </c>
      <c r="S63" s="232">
        <v>130</v>
      </c>
      <c r="T63" s="232">
        <f t="shared" si="5"/>
        <v>130</v>
      </c>
      <c r="U63" s="232">
        <v>130</v>
      </c>
      <c r="V63" s="232">
        <v>200</v>
      </c>
      <c r="W63" s="232">
        <f t="shared" si="6"/>
        <v>0</v>
      </c>
      <c r="X63" s="232">
        <f t="shared" si="3"/>
        <v>100</v>
      </c>
      <c r="Y63" s="257" t="s">
        <v>939</v>
      </c>
      <c r="Z63" s="258"/>
    </row>
    <row r="64" spans="1:26" ht="33">
      <c r="A64" s="228">
        <v>11</v>
      </c>
      <c r="B64" s="255" t="s">
        <v>963</v>
      </c>
      <c r="C64" s="251" t="s">
        <v>962</v>
      </c>
      <c r="D64" s="252" t="s">
        <v>952</v>
      </c>
      <c r="E64" s="251" t="s">
        <v>961</v>
      </c>
      <c r="F64" s="232">
        <v>4000</v>
      </c>
      <c r="G64" s="232"/>
      <c r="H64" s="232"/>
      <c r="I64" s="232"/>
      <c r="J64" s="232"/>
      <c r="K64" s="232"/>
      <c r="L64" s="232"/>
      <c r="M64" s="232"/>
      <c r="N64" s="232"/>
      <c r="O64" s="232"/>
      <c r="P64" s="232">
        <v>4000</v>
      </c>
      <c r="Q64" s="232"/>
      <c r="R64" s="232">
        <f t="shared" si="4"/>
        <v>0</v>
      </c>
      <c r="S64" s="232">
        <f>200-200</f>
        <v>0</v>
      </c>
      <c r="T64" s="232">
        <f t="shared" si="5"/>
        <v>0</v>
      </c>
      <c r="U64" s="232"/>
      <c r="V64" s="232">
        <v>0</v>
      </c>
      <c r="W64" s="232">
        <f t="shared" si="6"/>
        <v>0</v>
      </c>
      <c r="X64" s="232">
        <f t="shared" si="3"/>
        <v>100</v>
      </c>
      <c r="Y64" s="231" t="s">
        <v>948</v>
      </c>
      <c r="Z64" s="244"/>
    </row>
    <row r="65" spans="1:26" ht="56.25" customHeight="1">
      <c r="A65" s="228">
        <v>12</v>
      </c>
      <c r="B65" s="255" t="s">
        <v>1053</v>
      </c>
      <c r="C65" s="251" t="s">
        <v>960</v>
      </c>
      <c r="D65" s="252" t="s">
        <v>952</v>
      </c>
      <c r="E65" s="251" t="s">
        <v>959</v>
      </c>
      <c r="F65" s="232">
        <v>3578</v>
      </c>
      <c r="G65" s="232"/>
      <c r="H65" s="232"/>
      <c r="I65" s="232"/>
      <c r="J65" s="232"/>
      <c r="K65" s="232"/>
      <c r="L65" s="232"/>
      <c r="M65" s="232"/>
      <c r="N65" s="232"/>
      <c r="O65" s="232"/>
      <c r="P65" s="232">
        <v>3500</v>
      </c>
      <c r="Q65" s="232"/>
      <c r="R65" s="232">
        <f t="shared" si="4"/>
        <v>0</v>
      </c>
      <c r="S65" s="232">
        <f>200-90.3</f>
        <v>109.7</v>
      </c>
      <c r="T65" s="232">
        <f t="shared" si="5"/>
        <v>109.7</v>
      </c>
      <c r="U65" s="232">
        <v>109.71</v>
      </c>
      <c r="V65" s="232">
        <v>200</v>
      </c>
      <c r="W65" s="232">
        <f t="shared" si="6"/>
        <v>9.9999999999909051E-3</v>
      </c>
      <c r="X65" s="232">
        <f t="shared" si="3"/>
        <v>282.28967277367605</v>
      </c>
      <c r="Y65" s="231" t="s">
        <v>948</v>
      </c>
      <c r="Z65" s="244"/>
    </row>
    <row r="66" spans="1:26" ht="33">
      <c r="A66" s="228">
        <v>13</v>
      </c>
      <c r="B66" s="255" t="s">
        <v>958</v>
      </c>
      <c r="C66" s="251" t="s">
        <v>253</v>
      </c>
      <c r="D66" s="252" t="s">
        <v>952</v>
      </c>
      <c r="E66" s="251" t="s">
        <v>957</v>
      </c>
      <c r="F66" s="232">
        <v>1300</v>
      </c>
      <c r="G66" s="232"/>
      <c r="H66" s="232"/>
      <c r="I66" s="232"/>
      <c r="J66" s="232"/>
      <c r="K66" s="232"/>
      <c r="L66" s="232"/>
      <c r="M66" s="232"/>
      <c r="N66" s="232"/>
      <c r="O66" s="232"/>
      <c r="P66" s="232">
        <v>1300</v>
      </c>
      <c r="Q66" s="232"/>
      <c r="R66" s="232">
        <f t="shared" si="4"/>
        <v>0</v>
      </c>
      <c r="S66" s="232">
        <v>150</v>
      </c>
      <c r="T66" s="232">
        <f t="shared" si="5"/>
        <v>150</v>
      </c>
      <c r="U66" s="232"/>
      <c r="V66" s="232">
        <v>150</v>
      </c>
      <c r="W66" s="232">
        <f t="shared" si="6"/>
        <v>0</v>
      </c>
      <c r="X66" s="232">
        <f t="shared" si="3"/>
        <v>100</v>
      </c>
      <c r="Y66" s="231" t="s">
        <v>948</v>
      </c>
      <c r="Z66" s="244"/>
    </row>
    <row r="67" spans="1:26" ht="49.5">
      <c r="A67" s="228">
        <v>14</v>
      </c>
      <c r="B67" s="255" t="s">
        <v>956</v>
      </c>
      <c r="C67" s="251" t="s">
        <v>252</v>
      </c>
      <c r="D67" s="252" t="s">
        <v>267</v>
      </c>
      <c r="E67" s="251" t="s">
        <v>955</v>
      </c>
      <c r="F67" s="232">
        <v>2257.6</v>
      </c>
      <c r="G67" s="232"/>
      <c r="H67" s="232"/>
      <c r="I67" s="232"/>
      <c r="J67" s="232"/>
      <c r="K67" s="232"/>
      <c r="L67" s="232"/>
      <c r="M67" s="232"/>
      <c r="N67" s="232"/>
      <c r="O67" s="232"/>
      <c r="P67" s="232">
        <v>2257.6</v>
      </c>
      <c r="Q67" s="232"/>
      <c r="R67" s="232">
        <f t="shared" si="4"/>
        <v>0</v>
      </c>
      <c r="S67" s="232">
        <f>150-150</f>
        <v>0</v>
      </c>
      <c r="T67" s="232">
        <f t="shared" si="5"/>
        <v>0</v>
      </c>
      <c r="U67" s="232"/>
      <c r="V67" s="232">
        <v>0</v>
      </c>
      <c r="W67" s="232">
        <f t="shared" si="6"/>
        <v>0</v>
      </c>
      <c r="X67" s="232">
        <f t="shared" si="3"/>
        <v>100</v>
      </c>
      <c r="Y67" s="231" t="s">
        <v>948</v>
      </c>
      <c r="Z67" s="244"/>
    </row>
    <row r="68" spans="1:26" ht="49.5" customHeight="1">
      <c r="A68" s="228">
        <v>15</v>
      </c>
      <c r="B68" s="255" t="s">
        <v>1077</v>
      </c>
      <c r="C68" s="251" t="s">
        <v>1063</v>
      </c>
      <c r="D68" s="252" t="s">
        <v>952</v>
      </c>
      <c r="E68" s="251" t="s">
        <v>954</v>
      </c>
      <c r="F68" s="232">
        <v>85.5</v>
      </c>
      <c r="G68" s="232"/>
      <c r="H68" s="232"/>
      <c r="I68" s="232"/>
      <c r="J68" s="232"/>
      <c r="K68" s="232"/>
      <c r="L68" s="232"/>
      <c r="M68" s="232"/>
      <c r="N68" s="232"/>
      <c r="O68" s="232"/>
      <c r="P68" s="232"/>
      <c r="Q68" s="232"/>
      <c r="R68" s="232"/>
      <c r="S68" s="232"/>
      <c r="T68" s="232">
        <f t="shared" si="5"/>
        <v>0</v>
      </c>
      <c r="U68" s="232">
        <v>85.5</v>
      </c>
      <c r="V68" s="232">
        <v>85.5</v>
      </c>
      <c r="W68" s="232">
        <f t="shared" si="6"/>
        <v>85.5</v>
      </c>
      <c r="X68" s="232">
        <f t="shared" si="3"/>
        <v>100</v>
      </c>
      <c r="Y68" s="231" t="s">
        <v>366</v>
      </c>
      <c r="Z68" s="244"/>
    </row>
    <row r="69" spans="1:26" ht="66">
      <c r="A69" s="228">
        <v>16</v>
      </c>
      <c r="B69" s="255" t="s">
        <v>953</v>
      </c>
      <c r="C69" s="251" t="s">
        <v>1064</v>
      </c>
      <c r="D69" s="252" t="s">
        <v>952</v>
      </c>
      <c r="E69" s="251" t="s">
        <v>951</v>
      </c>
      <c r="F69" s="232">
        <v>130.5</v>
      </c>
      <c r="G69" s="232"/>
      <c r="H69" s="232"/>
      <c r="I69" s="232"/>
      <c r="J69" s="232"/>
      <c r="K69" s="232"/>
      <c r="L69" s="232"/>
      <c r="M69" s="232"/>
      <c r="N69" s="232"/>
      <c r="O69" s="232"/>
      <c r="P69" s="232"/>
      <c r="Q69" s="232"/>
      <c r="R69" s="232"/>
      <c r="S69" s="232"/>
      <c r="T69" s="232">
        <f t="shared" si="5"/>
        <v>0</v>
      </c>
      <c r="U69" s="232">
        <v>130.5</v>
      </c>
      <c r="V69" s="232">
        <v>130.5</v>
      </c>
      <c r="W69" s="232">
        <f t="shared" si="6"/>
        <v>130.5</v>
      </c>
      <c r="X69" s="232">
        <f t="shared" si="3"/>
        <v>100</v>
      </c>
      <c r="Y69" s="231" t="s">
        <v>366</v>
      </c>
      <c r="Z69" s="244"/>
    </row>
    <row r="70" spans="1:26" ht="25.5" customHeight="1">
      <c r="A70" s="223" t="s">
        <v>4</v>
      </c>
      <c r="B70" s="224" t="s">
        <v>950</v>
      </c>
      <c r="C70" s="225"/>
      <c r="D70" s="225"/>
      <c r="E70" s="226"/>
      <c r="F70" s="227">
        <f t="shared" ref="F70:V70" si="7">SUM(F71:F87)</f>
        <v>23050</v>
      </c>
      <c r="G70" s="227">
        <f t="shared" si="7"/>
        <v>0</v>
      </c>
      <c r="H70" s="227">
        <f t="shared" si="7"/>
        <v>0</v>
      </c>
      <c r="I70" s="227">
        <f t="shared" si="7"/>
        <v>0</v>
      </c>
      <c r="J70" s="227">
        <f t="shared" si="7"/>
        <v>0</v>
      </c>
      <c r="K70" s="227">
        <f t="shared" si="7"/>
        <v>0</v>
      </c>
      <c r="L70" s="227">
        <f t="shared" si="7"/>
        <v>0</v>
      </c>
      <c r="M70" s="227">
        <f t="shared" si="7"/>
        <v>0</v>
      </c>
      <c r="N70" s="227">
        <f t="shared" si="7"/>
        <v>0</v>
      </c>
      <c r="O70" s="227">
        <f t="shared" si="7"/>
        <v>0</v>
      </c>
      <c r="P70" s="227">
        <f t="shared" si="7"/>
        <v>0</v>
      </c>
      <c r="Q70" s="227">
        <f t="shared" si="7"/>
        <v>0</v>
      </c>
      <c r="R70" s="227">
        <f t="shared" si="7"/>
        <v>0</v>
      </c>
      <c r="S70" s="227">
        <f t="shared" si="7"/>
        <v>0</v>
      </c>
      <c r="T70" s="227">
        <f t="shared" si="7"/>
        <v>0</v>
      </c>
      <c r="U70" s="227">
        <f t="shared" si="7"/>
        <v>0</v>
      </c>
      <c r="V70" s="227">
        <f t="shared" si="7"/>
        <v>2040</v>
      </c>
      <c r="W70" s="227">
        <f>SUM(W71:W85)</f>
        <v>1680</v>
      </c>
      <c r="X70" s="227"/>
      <c r="Y70" s="226"/>
      <c r="Z70" s="246"/>
    </row>
    <row r="71" spans="1:26" ht="49.5">
      <c r="A71" s="259">
        <v>1</v>
      </c>
      <c r="B71" s="255" t="s">
        <v>949</v>
      </c>
      <c r="C71" s="251" t="s">
        <v>1065</v>
      </c>
      <c r="D71" s="252" t="s">
        <v>924</v>
      </c>
      <c r="E71" s="251"/>
      <c r="F71" s="232">
        <v>4500</v>
      </c>
      <c r="G71" s="232"/>
      <c r="H71" s="232"/>
      <c r="I71" s="232"/>
      <c r="J71" s="232"/>
      <c r="K71" s="232"/>
      <c r="L71" s="232"/>
      <c r="M71" s="232"/>
      <c r="N71" s="232"/>
      <c r="O71" s="232"/>
      <c r="P71" s="232"/>
      <c r="Q71" s="232"/>
      <c r="R71" s="232"/>
      <c r="S71" s="232"/>
      <c r="T71" s="232">
        <f>K71+M71+S71</f>
        <v>0</v>
      </c>
      <c r="U71" s="232"/>
      <c r="V71" s="232">
        <v>160</v>
      </c>
      <c r="W71" s="232">
        <v>50</v>
      </c>
      <c r="X71" s="232"/>
      <c r="Y71" s="231" t="s">
        <v>948</v>
      </c>
      <c r="Z71" s="244"/>
    </row>
    <row r="72" spans="1:26" ht="33">
      <c r="A72" s="259">
        <v>2</v>
      </c>
      <c r="B72" s="255" t="s">
        <v>1050</v>
      </c>
      <c r="C72" s="251"/>
      <c r="D72" s="252" t="s">
        <v>924</v>
      </c>
      <c r="E72" s="251"/>
      <c r="F72" s="232"/>
      <c r="G72" s="232"/>
      <c r="H72" s="232"/>
      <c r="I72" s="232"/>
      <c r="J72" s="232"/>
      <c r="K72" s="232"/>
      <c r="L72" s="232"/>
      <c r="M72" s="232"/>
      <c r="N72" s="232"/>
      <c r="O72" s="232"/>
      <c r="P72" s="232"/>
      <c r="Q72" s="232"/>
      <c r="R72" s="232"/>
      <c r="S72" s="232"/>
      <c r="T72" s="232">
        <f>K72+M72+S72</f>
        <v>0</v>
      </c>
      <c r="U72" s="232"/>
      <c r="V72" s="232">
        <v>50</v>
      </c>
      <c r="W72" s="232">
        <v>50</v>
      </c>
      <c r="X72" s="232"/>
      <c r="Y72" s="231" t="s">
        <v>300</v>
      </c>
      <c r="Z72" s="244"/>
    </row>
    <row r="73" spans="1:26" ht="33">
      <c r="A73" s="259">
        <v>3</v>
      </c>
      <c r="B73" s="255" t="s">
        <v>947</v>
      </c>
      <c r="C73" s="251" t="s">
        <v>1054</v>
      </c>
      <c r="D73" s="260">
        <v>2023</v>
      </c>
      <c r="E73" s="251"/>
      <c r="F73" s="232">
        <v>2300</v>
      </c>
      <c r="G73" s="232"/>
      <c r="H73" s="232"/>
      <c r="I73" s="232"/>
      <c r="J73" s="232"/>
      <c r="K73" s="232"/>
      <c r="L73" s="232"/>
      <c r="M73" s="232"/>
      <c r="N73" s="232"/>
      <c r="O73" s="232"/>
      <c r="P73" s="232"/>
      <c r="Q73" s="232"/>
      <c r="R73" s="232"/>
      <c r="S73" s="232"/>
      <c r="T73" s="232"/>
      <c r="U73" s="232"/>
      <c r="V73" s="232">
        <v>130</v>
      </c>
      <c r="W73" s="232">
        <v>130</v>
      </c>
      <c r="X73" s="232"/>
      <c r="Y73" s="231" t="s">
        <v>946</v>
      </c>
      <c r="Z73" s="244"/>
    </row>
    <row r="74" spans="1:26" ht="36.75" customHeight="1">
      <c r="A74" s="259">
        <v>4</v>
      </c>
      <c r="B74" s="255" t="s">
        <v>945</v>
      </c>
      <c r="C74" s="251" t="s">
        <v>272</v>
      </c>
      <c r="D74" s="260">
        <v>2023</v>
      </c>
      <c r="E74" s="251"/>
      <c r="F74" s="232">
        <v>2100</v>
      </c>
      <c r="G74" s="232"/>
      <c r="H74" s="232"/>
      <c r="I74" s="232"/>
      <c r="J74" s="232"/>
      <c r="K74" s="232"/>
      <c r="L74" s="232"/>
      <c r="M74" s="232"/>
      <c r="N74" s="232"/>
      <c r="O74" s="232"/>
      <c r="P74" s="232"/>
      <c r="Q74" s="232"/>
      <c r="R74" s="232"/>
      <c r="S74" s="232"/>
      <c r="T74" s="232"/>
      <c r="U74" s="232"/>
      <c r="V74" s="232">
        <v>130</v>
      </c>
      <c r="W74" s="232">
        <v>130</v>
      </c>
      <c r="X74" s="232"/>
      <c r="Y74" s="231" t="s">
        <v>931</v>
      </c>
      <c r="Z74" s="244"/>
    </row>
    <row r="75" spans="1:26" ht="33">
      <c r="A75" s="259">
        <v>5</v>
      </c>
      <c r="B75" s="255" t="s">
        <v>944</v>
      </c>
      <c r="C75" s="251" t="s">
        <v>1058</v>
      </c>
      <c r="D75" s="260">
        <v>2023</v>
      </c>
      <c r="E75" s="251"/>
      <c r="F75" s="232">
        <v>1850</v>
      </c>
      <c r="G75" s="232"/>
      <c r="H75" s="232"/>
      <c r="I75" s="232"/>
      <c r="J75" s="232"/>
      <c r="K75" s="232"/>
      <c r="L75" s="232"/>
      <c r="M75" s="232"/>
      <c r="N75" s="232"/>
      <c r="O75" s="232"/>
      <c r="P75" s="232"/>
      <c r="Q75" s="232"/>
      <c r="R75" s="232"/>
      <c r="S75" s="232"/>
      <c r="T75" s="232"/>
      <c r="U75" s="232"/>
      <c r="V75" s="232">
        <v>120</v>
      </c>
      <c r="W75" s="232">
        <v>120</v>
      </c>
      <c r="X75" s="232"/>
      <c r="Y75" s="231" t="s">
        <v>929</v>
      </c>
      <c r="Z75" s="244"/>
    </row>
    <row r="76" spans="1:26" ht="49.5">
      <c r="A76" s="259">
        <v>6</v>
      </c>
      <c r="B76" s="255" t="s">
        <v>943</v>
      </c>
      <c r="C76" s="251" t="s">
        <v>251</v>
      </c>
      <c r="D76" s="260">
        <v>2023</v>
      </c>
      <c r="E76" s="251"/>
      <c r="F76" s="232">
        <v>120</v>
      </c>
      <c r="G76" s="232"/>
      <c r="H76" s="232"/>
      <c r="I76" s="232"/>
      <c r="J76" s="232"/>
      <c r="K76" s="232"/>
      <c r="L76" s="232"/>
      <c r="M76" s="232"/>
      <c r="N76" s="232"/>
      <c r="O76" s="232"/>
      <c r="P76" s="232"/>
      <c r="Q76" s="232"/>
      <c r="R76" s="232"/>
      <c r="S76" s="232"/>
      <c r="T76" s="232"/>
      <c r="U76" s="232"/>
      <c r="V76" s="232">
        <v>120</v>
      </c>
      <c r="W76" s="232">
        <v>120</v>
      </c>
      <c r="X76" s="232"/>
      <c r="Y76" s="231" t="s">
        <v>941</v>
      </c>
      <c r="Z76" s="244"/>
    </row>
    <row r="77" spans="1:26" ht="49.5">
      <c r="A77" s="259">
        <v>7</v>
      </c>
      <c r="B77" s="255" t="s">
        <v>942</v>
      </c>
      <c r="C77" s="251" t="s">
        <v>251</v>
      </c>
      <c r="D77" s="260">
        <v>2023</v>
      </c>
      <c r="E77" s="251"/>
      <c r="F77" s="232">
        <v>120</v>
      </c>
      <c r="G77" s="232"/>
      <c r="H77" s="232"/>
      <c r="I77" s="232"/>
      <c r="J77" s="232"/>
      <c r="K77" s="232"/>
      <c r="L77" s="232"/>
      <c r="M77" s="232"/>
      <c r="N77" s="232"/>
      <c r="O77" s="232"/>
      <c r="P77" s="232"/>
      <c r="Q77" s="232"/>
      <c r="R77" s="232"/>
      <c r="S77" s="232"/>
      <c r="T77" s="232"/>
      <c r="U77" s="232"/>
      <c r="V77" s="232">
        <v>120</v>
      </c>
      <c r="W77" s="232">
        <v>120</v>
      </c>
      <c r="X77" s="232"/>
      <c r="Y77" s="231" t="s">
        <v>941</v>
      </c>
      <c r="Z77" s="244"/>
    </row>
    <row r="78" spans="1:26" ht="49.5">
      <c r="A78" s="259">
        <v>8</v>
      </c>
      <c r="B78" s="255" t="s">
        <v>940</v>
      </c>
      <c r="C78" s="251" t="s">
        <v>253</v>
      </c>
      <c r="D78" s="260">
        <v>2023</v>
      </c>
      <c r="E78" s="251"/>
      <c r="F78" s="232">
        <v>120</v>
      </c>
      <c r="G78" s="232"/>
      <c r="H78" s="232"/>
      <c r="I78" s="232"/>
      <c r="J78" s="232"/>
      <c r="K78" s="232"/>
      <c r="L78" s="232"/>
      <c r="M78" s="232"/>
      <c r="N78" s="232"/>
      <c r="O78" s="232"/>
      <c r="P78" s="232"/>
      <c r="Q78" s="232"/>
      <c r="R78" s="232"/>
      <c r="S78" s="232"/>
      <c r="T78" s="232"/>
      <c r="U78" s="232"/>
      <c r="V78" s="232">
        <v>120</v>
      </c>
      <c r="W78" s="232">
        <v>120</v>
      </c>
      <c r="X78" s="232"/>
      <c r="Y78" s="231" t="s">
        <v>939</v>
      </c>
      <c r="Z78" s="244"/>
    </row>
    <row r="79" spans="1:26" ht="49.5">
      <c r="A79" s="259">
        <v>9</v>
      </c>
      <c r="B79" s="255" t="s">
        <v>938</v>
      </c>
      <c r="C79" s="251" t="s">
        <v>250</v>
      </c>
      <c r="D79" s="260">
        <v>2023</v>
      </c>
      <c r="E79" s="251"/>
      <c r="F79" s="232">
        <v>120</v>
      </c>
      <c r="G79" s="232"/>
      <c r="H79" s="232"/>
      <c r="I79" s="232"/>
      <c r="J79" s="232"/>
      <c r="K79" s="232"/>
      <c r="L79" s="232"/>
      <c r="M79" s="232"/>
      <c r="N79" s="232"/>
      <c r="O79" s="232"/>
      <c r="P79" s="232"/>
      <c r="Q79" s="232"/>
      <c r="R79" s="232"/>
      <c r="S79" s="232"/>
      <c r="T79" s="232"/>
      <c r="U79" s="232"/>
      <c r="V79" s="232">
        <v>120</v>
      </c>
      <c r="W79" s="232">
        <v>120</v>
      </c>
      <c r="X79" s="232"/>
      <c r="Y79" s="231" t="s">
        <v>926</v>
      </c>
      <c r="Z79" s="244"/>
    </row>
    <row r="80" spans="1:26" ht="49.5">
      <c r="A80" s="259">
        <v>10</v>
      </c>
      <c r="B80" s="255" t="s">
        <v>937</v>
      </c>
      <c r="C80" s="251" t="s">
        <v>1061</v>
      </c>
      <c r="D80" s="260">
        <v>2023</v>
      </c>
      <c r="E80" s="251"/>
      <c r="F80" s="232">
        <v>120</v>
      </c>
      <c r="G80" s="232"/>
      <c r="H80" s="232"/>
      <c r="I80" s="232"/>
      <c r="J80" s="232"/>
      <c r="K80" s="232"/>
      <c r="L80" s="232"/>
      <c r="M80" s="232"/>
      <c r="N80" s="232"/>
      <c r="O80" s="232"/>
      <c r="P80" s="232"/>
      <c r="Q80" s="232"/>
      <c r="R80" s="232"/>
      <c r="S80" s="232"/>
      <c r="T80" s="232"/>
      <c r="U80" s="232"/>
      <c r="V80" s="232">
        <v>120</v>
      </c>
      <c r="W80" s="232">
        <v>120</v>
      </c>
      <c r="X80" s="232"/>
      <c r="Y80" s="231" t="s">
        <v>935</v>
      </c>
      <c r="Z80" s="244"/>
    </row>
    <row r="81" spans="1:26" ht="57.75" customHeight="1">
      <c r="A81" s="259">
        <v>11</v>
      </c>
      <c r="B81" s="255" t="s">
        <v>936</v>
      </c>
      <c r="C81" s="251" t="s">
        <v>1061</v>
      </c>
      <c r="D81" s="260">
        <v>2023</v>
      </c>
      <c r="E81" s="251"/>
      <c r="F81" s="232">
        <v>120</v>
      </c>
      <c r="G81" s="232"/>
      <c r="H81" s="232"/>
      <c r="I81" s="232"/>
      <c r="J81" s="232"/>
      <c r="K81" s="232"/>
      <c r="L81" s="232"/>
      <c r="M81" s="232"/>
      <c r="N81" s="232"/>
      <c r="O81" s="232"/>
      <c r="P81" s="232"/>
      <c r="Q81" s="232"/>
      <c r="R81" s="232"/>
      <c r="S81" s="232"/>
      <c r="T81" s="232"/>
      <c r="U81" s="232"/>
      <c r="V81" s="232">
        <v>120</v>
      </c>
      <c r="W81" s="232">
        <v>120</v>
      </c>
      <c r="X81" s="232"/>
      <c r="Y81" s="231" t="s">
        <v>935</v>
      </c>
      <c r="Z81" s="244"/>
    </row>
    <row r="82" spans="1:26" ht="33">
      <c r="A82" s="259">
        <v>12</v>
      </c>
      <c r="B82" s="255" t="s">
        <v>934</v>
      </c>
      <c r="C82" s="251" t="s">
        <v>1054</v>
      </c>
      <c r="D82" s="260">
        <v>2023</v>
      </c>
      <c r="E82" s="251"/>
      <c r="F82" s="232">
        <v>120</v>
      </c>
      <c r="G82" s="232"/>
      <c r="H82" s="232"/>
      <c r="I82" s="232"/>
      <c r="J82" s="232"/>
      <c r="K82" s="232"/>
      <c r="L82" s="232"/>
      <c r="M82" s="232"/>
      <c r="N82" s="232"/>
      <c r="O82" s="232"/>
      <c r="P82" s="232"/>
      <c r="Q82" s="232"/>
      <c r="R82" s="232"/>
      <c r="S82" s="232"/>
      <c r="T82" s="232"/>
      <c r="U82" s="232"/>
      <c r="V82" s="232">
        <v>120</v>
      </c>
      <c r="W82" s="232">
        <v>120</v>
      </c>
      <c r="X82" s="232"/>
      <c r="Y82" s="231" t="s">
        <v>933</v>
      </c>
      <c r="Z82" s="244"/>
    </row>
    <row r="83" spans="1:26" ht="33">
      <c r="A83" s="259">
        <v>13</v>
      </c>
      <c r="B83" s="255" t="s">
        <v>932</v>
      </c>
      <c r="C83" s="251" t="s">
        <v>272</v>
      </c>
      <c r="D83" s="260">
        <v>2023</v>
      </c>
      <c r="E83" s="251"/>
      <c r="F83" s="232">
        <v>120</v>
      </c>
      <c r="G83" s="232"/>
      <c r="H83" s="232"/>
      <c r="I83" s="232"/>
      <c r="J83" s="232"/>
      <c r="K83" s="232"/>
      <c r="L83" s="232"/>
      <c r="M83" s="232"/>
      <c r="N83" s="232"/>
      <c r="O83" s="232"/>
      <c r="P83" s="232"/>
      <c r="Q83" s="232"/>
      <c r="R83" s="232"/>
      <c r="S83" s="232"/>
      <c r="T83" s="232"/>
      <c r="U83" s="232"/>
      <c r="V83" s="232">
        <v>120</v>
      </c>
      <c r="W83" s="232">
        <v>120</v>
      </c>
      <c r="X83" s="232"/>
      <c r="Y83" s="231" t="s">
        <v>931</v>
      </c>
      <c r="Z83" s="244"/>
    </row>
    <row r="84" spans="1:26" ht="49.5">
      <c r="A84" s="259">
        <v>14</v>
      </c>
      <c r="B84" s="255" t="s">
        <v>930</v>
      </c>
      <c r="C84" s="251" t="s">
        <v>1058</v>
      </c>
      <c r="D84" s="260">
        <v>2023</v>
      </c>
      <c r="E84" s="251"/>
      <c r="F84" s="232">
        <v>120</v>
      </c>
      <c r="G84" s="232"/>
      <c r="H84" s="232"/>
      <c r="I84" s="232"/>
      <c r="J84" s="232"/>
      <c r="K84" s="232"/>
      <c r="L84" s="232"/>
      <c r="M84" s="232"/>
      <c r="N84" s="232"/>
      <c r="O84" s="232"/>
      <c r="P84" s="232"/>
      <c r="Q84" s="232"/>
      <c r="R84" s="232"/>
      <c r="S84" s="232"/>
      <c r="T84" s="232"/>
      <c r="U84" s="232"/>
      <c r="V84" s="232">
        <v>120</v>
      </c>
      <c r="W84" s="232">
        <v>120</v>
      </c>
      <c r="X84" s="232"/>
      <c r="Y84" s="231" t="s">
        <v>929</v>
      </c>
      <c r="Z84" s="244"/>
    </row>
    <row r="85" spans="1:26" ht="49.5">
      <c r="A85" s="259">
        <v>15</v>
      </c>
      <c r="B85" s="255" t="s">
        <v>928</v>
      </c>
      <c r="C85" s="251" t="s">
        <v>252</v>
      </c>
      <c r="D85" s="260">
        <v>2023</v>
      </c>
      <c r="E85" s="251"/>
      <c r="F85" s="232">
        <v>120</v>
      </c>
      <c r="G85" s="232"/>
      <c r="H85" s="232"/>
      <c r="I85" s="232"/>
      <c r="J85" s="232"/>
      <c r="K85" s="232"/>
      <c r="L85" s="232"/>
      <c r="M85" s="232"/>
      <c r="N85" s="232"/>
      <c r="O85" s="232"/>
      <c r="P85" s="232"/>
      <c r="Q85" s="232"/>
      <c r="R85" s="232"/>
      <c r="S85" s="232"/>
      <c r="T85" s="232"/>
      <c r="U85" s="232"/>
      <c r="V85" s="232">
        <v>120</v>
      </c>
      <c r="W85" s="232">
        <v>120</v>
      </c>
      <c r="X85" s="232"/>
      <c r="Y85" s="231" t="s">
        <v>927</v>
      </c>
      <c r="Z85" s="244"/>
    </row>
    <row r="86" spans="1:26" ht="42.75" customHeight="1">
      <c r="A86" s="259">
        <v>16</v>
      </c>
      <c r="B86" s="255" t="s">
        <v>1051</v>
      </c>
      <c r="C86" s="251" t="s">
        <v>250</v>
      </c>
      <c r="D86" s="260" t="s">
        <v>924</v>
      </c>
      <c r="E86" s="251"/>
      <c r="F86" s="232">
        <v>3600</v>
      </c>
      <c r="G86" s="232"/>
      <c r="H86" s="232"/>
      <c r="I86" s="232"/>
      <c r="J86" s="232"/>
      <c r="K86" s="232"/>
      <c r="L86" s="232"/>
      <c r="M86" s="232"/>
      <c r="N86" s="232"/>
      <c r="O86" s="232"/>
      <c r="P86" s="232"/>
      <c r="Q86" s="232"/>
      <c r="R86" s="232"/>
      <c r="S86" s="232"/>
      <c r="T86" s="232"/>
      <c r="U86" s="232"/>
      <c r="V86" s="232">
        <v>50</v>
      </c>
      <c r="W86" s="232"/>
      <c r="X86" s="232"/>
      <c r="Y86" s="231" t="s">
        <v>926</v>
      </c>
      <c r="Z86" s="244"/>
    </row>
    <row r="87" spans="1:26" ht="42" customHeight="1">
      <c r="A87" s="261">
        <v>17</v>
      </c>
      <c r="B87" s="262" t="s">
        <v>925</v>
      </c>
      <c r="C87" s="263" t="s">
        <v>250</v>
      </c>
      <c r="D87" s="264" t="s">
        <v>924</v>
      </c>
      <c r="E87" s="263"/>
      <c r="F87" s="265">
        <v>7500</v>
      </c>
      <c r="G87" s="265"/>
      <c r="H87" s="265"/>
      <c r="I87" s="265"/>
      <c r="J87" s="265"/>
      <c r="K87" s="265"/>
      <c r="L87" s="265"/>
      <c r="M87" s="265"/>
      <c r="N87" s="265"/>
      <c r="O87" s="265"/>
      <c r="P87" s="265"/>
      <c r="Q87" s="265"/>
      <c r="R87" s="265"/>
      <c r="S87" s="265"/>
      <c r="T87" s="265"/>
      <c r="U87" s="265"/>
      <c r="V87" s="265">
        <v>200</v>
      </c>
      <c r="W87" s="265"/>
      <c r="X87" s="265"/>
      <c r="Y87" s="266" t="s">
        <v>366</v>
      </c>
      <c r="Z87" s="267"/>
    </row>
    <row r="89" spans="1:26">
      <c r="F89" s="268"/>
      <c r="G89" s="268"/>
      <c r="H89" s="268"/>
      <c r="I89" s="268"/>
      <c r="J89" s="268"/>
      <c r="K89" s="268"/>
      <c r="L89" s="268"/>
      <c r="M89" s="268"/>
      <c r="N89" s="268"/>
      <c r="O89" s="268"/>
      <c r="P89" s="268"/>
      <c r="Q89" s="268"/>
      <c r="R89" s="268"/>
      <c r="S89" s="268"/>
      <c r="T89" s="268"/>
      <c r="U89" s="268"/>
      <c r="V89" s="268"/>
    </row>
    <row r="90" spans="1:26">
      <c r="F90" s="268"/>
      <c r="G90" s="268"/>
      <c r="H90" s="268"/>
      <c r="I90" s="268"/>
      <c r="J90" s="268"/>
      <c r="K90" s="268"/>
      <c r="L90" s="268"/>
      <c r="M90" s="268"/>
      <c r="N90" s="268"/>
      <c r="O90" s="268"/>
      <c r="P90" s="268"/>
      <c r="Q90" s="268"/>
      <c r="R90" s="268"/>
      <c r="S90" s="268"/>
      <c r="T90" s="268"/>
      <c r="U90" s="268"/>
      <c r="V90" s="268"/>
    </row>
  </sheetData>
  <mergeCells count="28">
    <mergeCell ref="X4:X5"/>
    <mergeCell ref="Y4:Y5"/>
    <mergeCell ref="O4:O5"/>
    <mergeCell ref="P4:P5"/>
    <mergeCell ref="Q4:Q5"/>
    <mergeCell ref="R4:R5"/>
    <mergeCell ref="S4:S5"/>
    <mergeCell ref="I4:I5"/>
    <mergeCell ref="J4:J5"/>
    <mergeCell ref="K4:K5"/>
    <mergeCell ref="L4:L5"/>
    <mergeCell ref="M4:M5"/>
    <mergeCell ref="H4:H5"/>
    <mergeCell ref="N4:N5"/>
    <mergeCell ref="A1:Z1"/>
    <mergeCell ref="A2:Z2"/>
    <mergeCell ref="G3:Z3"/>
    <mergeCell ref="A4:A5"/>
    <mergeCell ref="B4:B5"/>
    <mergeCell ref="C4:C5"/>
    <mergeCell ref="D4:D5"/>
    <mergeCell ref="E4:F4"/>
    <mergeCell ref="G4:G5"/>
    <mergeCell ref="Z4:Z5"/>
    <mergeCell ref="T4:T5"/>
    <mergeCell ref="U4:U5"/>
    <mergeCell ref="V4:V5"/>
    <mergeCell ref="W4:W5"/>
  </mergeCells>
  <pageMargins left="0.5" right="0.2" top="0.7" bottom="0.5" header="0.3" footer="0.3"/>
  <pageSetup paperSize="9" scale="56" orientation="landscape" r:id="rId1"/>
  <headerFooter>
    <oddFooter>&amp;CTrang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69"/>
  <sheetViews>
    <sheetView zoomScale="85" zoomScaleNormal="85" workbookViewId="0">
      <pane xSplit="2" ySplit="8" topLeftCell="C59" activePane="bottomRight" state="frozen"/>
      <selection pane="topRight" activeCell="C1" sqref="C1"/>
      <selection pane="bottomLeft" activeCell="A10" sqref="A10"/>
      <selection pane="bottomRight" activeCell="A2" sqref="A2:XFD2"/>
    </sheetView>
  </sheetViews>
  <sheetFormatPr defaultColWidth="11.625" defaultRowHeight="11.25"/>
  <cols>
    <col min="1" max="1" width="5.875" style="427" customWidth="1"/>
    <col min="2" max="2" width="38.375" style="427" customWidth="1"/>
    <col min="3" max="3" width="12.875" style="427" customWidth="1"/>
    <col min="4" max="5" width="11.875" style="435" customWidth="1"/>
    <col min="6" max="6" width="11.625" style="435" customWidth="1"/>
    <col min="7" max="17" width="9" style="435" customWidth="1"/>
    <col min="18" max="16384" width="11.625" style="427"/>
  </cols>
  <sheetData>
    <row r="1" spans="1:17" ht="18.75">
      <c r="A1" s="963" t="s">
        <v>1110</v>
      </c>
      <c r="B1" s="963"/>
      <c r="C1" s="963"/>
      <c r="D1" s="963"/>
      <c r="E1" s="963"/>
      <c r="F1" s="963"/>
      <c r="G1" s="963"/>
      <c r="H1" s="963"/>
      <c r="I1" s="963"/>
      <c r="J1" s="963"/>
      <c r="K1" s="963"/>
      <c r="L1" s="963"/>
      <c r="M1" s="963"/>
      <c r="N1" s="963"/>
      <c r="O1" s="963"/>
      <c r="P1" s="963"/>
      <c r="Q1" s="963"/>
    </row>
    <row r="2" spans="1:17" ht="16.5">
      <c r="A2" s="964" t="s">
        <v>1807</v>
      </c>
      <c r="B2" s="964"/>
      <c r="C2" s="964"/>
      <c r="D2" s="964"/>
      <c r="E2" s="964"/>
      <c r="F2" s="964"/>
      <c r="G2" s="964"/>
      <c r="H2" s="964"/>
      <c r="I2" s="964"/>
      <c r="J2" s="964"/>
      <c r="K2" s="964"/>
      <c r="L2" s="964"/>
      <c r="M2" s="964"/>
      <c r="N2" s="964"/>
      <c r="O2" s="964"/>
      <c r="P2" s="964"/>
      <c r="Q2" s="964"/>
    </row>
    <row r="3" spans="1:17" ht="18" customHeight="1">
      <c r="A3" s="4"/>
      <c r="B3" s="4"/>
      <c r="C3" s="4"/>
      <c r="D3" s="4"/>
      <c r="E3" s="965"/>
      <c r="F3" s="965"/>
      <c r="G3" s="965"/>
      <c r="H3" s="965"/>
      <c r="I3" s="965"/>
      <c r="J3" s="965"/>
      <c r="K3" s="965"/>
      <c r="L3" s="965"/>
      <c r="M3" s="965"/>
      <c r="N3" s="966" t="s">
        <v>269</v>
      </c>
      <c r="O3" s="966"/>
      <c r="P3" s="966"/>
      <c r="Q3" s="966"/>
    </row>
    <row r="4" spans="1:17" s="6" customFormat="1" ht="20.100000000000001" customHeight="1">
      <c r="A4" s="961" t="s">
        <v>10</v>
      </c>
      <c r="B4" s="961" t="s">
        <v>11</v>
      </c>
      <c r="C4" s="961" t="s">
        <v>12</v>
      </c>
      <c r="D4" s="967" t="s">
        <v>1111</v>
      </c>
      <c r="E4" s="968"/>
      <c r="F4" s="968"/>
      <c r="G4" s="968"/>
      <c r="H4" s="968"/>
      <c r="I4" s="968"/>
      <c r="J4" s="968"/>
      <c r="K4" s="968"/>
      <c r="L4" s="968"/>
      <c r="M4" s="968"/>
      <c r="N4" s="968"/>
      <c r="O4" s="968"/>
      <c r="P4" s="968"/>
      <c r="Q4" s="969"/>
    </row>
    <row r="5" spans="1:17" s="7" customFormat="1" ht="18" customHeight="1">
      <c r="A5" s="961"/>
      <c r="B5" s="962"/>
      <c r="C5" s="961"/>
      <c r="D5" s="961" t="s">
        <v>13</v>
      </c>
      <c r="E5" s="961" t="s">
        <v>14</v>
      </c>
      <c r="F5" s="961" t="s">
        <v>1107</v>
      </c>
      <c r="G5" s="961" t="s">
        <v>16</v>
      </c>
      <c r="H5" s="961" t="s">
        <v>17</v>
      </c>
      <c r="I5" s="961" t="s">
        <v>18</v>
      </c>
      <c r="J5" s="961" t="s">
        <v>19</v>
      </c>
      <c r="K5" s="961" t="s">
        <v>20</v>
      </c>
      <c r="L5" s="961" t="s">
        <v>21</v>
      </c>
      <c r="M5" s="961" t="s">
        <v>22</v>
      </c>
      <c r="N5" s="961" t="s">
        <v>23</v>
      </c>
      <c r="O5" s="961" t="s">
        <v>24</v>
      </c>
      <c r="P5" s="961" t="s">
        <v>25</v>
      </c>
      <c r="Q5" s="961" t="s">
        <v>26</v>
      </c>
    </row>
    <row r="6" spans="1:17" s="7" customFormat="1" ht="7.5" customHeight="1">
      <c r="A6" s="961"/>
      <c r="B6" s="962"/>
      <c r="C6" s="961"/>
      <c r="D6" s="962"/>
      <c r="E6" s="962"/>
      <c r="F6" s="962"/>
      <c r="G6" s="961"/>
      <c r="H6" s="961"/>
      <c r="I6" s="970"/>
      <c r="J6" s="962"/>
      <c r="K6" s="961"/>
      <c r="L6" s="961"/>
      <c r="M6" s="962"/>
      <c r="N6" s="961"/>
      <c r="O6" s="961"/>
      <c r="P6" s="961"/>
      <c r="Q6" s="962"/>
    </row>
    <row r="7" spans="1:17" s="6" customFormat="1" ht="16.5" customHeight="1">
      <c r="A7" s="961"/>
      <c r="B7" s="962"/>
      <c r="C7" s="961"/>
      <c r="D7" s="962"/>
      <c r="E7" s="962"/>
      <c r="F7" s="962"/>
      <c r="G7" s="961"/>
      <c r="H7" s="961"/>
      <c r="I7" s="970"/>
      <c r="J7" s="962"/>
      <c r="K7" s="961"/>
      <c r="L7" s="961"/>
      <c r="M7" s="962"/>
      <c r="N7" s="961"/>
      <c r="O7" s="961"/>
      <c r="P7" s="961"/>
      <c r="Q7" s="962"/>
    </row>
    <row r="8" spans="1:17" s="12" customFormat="1" ht="16.5" customHeight="1">
      <c r="A8" s="8" t="s">
        <v>27</v>
      </c>
      <c r="B8" s="9" t="s">
        <v>28</v>
      </c>
      <c r="C8" s="10">
        <v>1</v>
      </c>
      <c r="D8" s="11" t="s">
        <v>29</v>
      </c>
      <c r="E8" s="11">
        <v>3</v>
      </c>
      <c r="F8" s="11" t="s">
        <v>30</v>
      </c>
      <c r="G8" s="10">
        <v>5</v>
      </c>
      <c r="H8" s="11">
        <v>6</v>
      </c>
      <c r="I8" s="428">
        <v>7</v>
      </c>
      <c r="J8" s="11">
        <v>8</v>
      </c>
      <c r="K8" s="10">
        <v>9</v>
      </c>
      <c r="L8" s="10">
        <v>10</v>
      </c>
      <c r="M8" s="11">
        <v>11</v>
      </c>
      <c r="N8" s="10">
        <v>12</v>
      </c>
      <c r="O8" s="10">
        <v>13</v>
      </c>
      <c r="P8" s="10">
        <v>14</v>
      </c>
      <c r="Q8" s="11">
        <v>15</v>
      </c>
    </row>
    <row r="9" spans="1:17" s="15" customFormat="1" ht="33.75" customHeight="1">
      <c r="A9" s="13"/>
      <c r="B9" s="270" t="s">
        <v>31</v>
      </c>
      <c r="C9" s="503">
        <f>C10+C17</f>
        <v>9100000</v>
      </c>
      <c r="D9" s="503">
        <f>D10+D17</f>
        <v>9937800</v>
      </c>
      <c r="E9" s="503">
        <f t="shared" ref="E9:Q9" si="0">E10+E17</f>
        <v>8325900</v>
      </c>
      <c r="F9" s="503">
        <f t="shared" si="0"/>
        <v>1611900</v>
      </c>
      <c r="G9" s="503">
        <f t="shared" si="0"/>
        <v>195700</v>
      </c>
      <c r="H9" s="503">
        <f t="shared" si="0"/>
        <v>73400</v>
      </c>
      <c r="I9" s="503">
        <f t="shared" si="0"/>
        <v>389700</v>
      </c>
      <c r="J9" s="503">
        <f t="shared" si="0"/>
        <v>499600</v>
      </c>
      <c r="K9" s="503">
        <f t="shared" si="0"/>
        <v>96400</v>
      </c>
      <c r="L9" s="503">
        <f t="shared" si="0"/>
        <v>67500</v>
      </c>
      <c r="M9" s="503">
        <f t="shared" si="0"/>
        <v>131600</v>
      </c>
      <c r="N9" s="503">
        <f t="shared" si="0"/>
        <v>58500</v>
      </c>
      <c r="O9" s="503">
        <f t="shared" si="0"/>
        <v>27800</v>
      </c>
      <c r="P9" s="503">
        <f t="shared" si="0"/>
        <v>25400</v>
      </c>
      <c r="Q9" s="503">
        <f t="shared" si="0"/>
        <v>46300</v>
      </c>
    </row>
    <row r="10" spans="1:17" s="15" customFormat="1" ht="24" customHeight="1">
      <c r="A10" s="1" t="s">
        <v>1</v>
      </c>
      <c r="B10" s="16" t="s">
        <v>32</v>
      </c>
      <c r="C10" s="503">
        <f>SUM(C11:C16)</f>
        <v>6450000</v>
      </c>
      <c r="D10" s="503">
        <f t="shared" ref="D10:D64" si="1">C10</f>
        <v>6450000</v>
      </c>
      <c r="E10" s="503">
        <f>SUM(E11:E16)</f>
        <v>6450000</v>
      </c>
      <c r="F10" s="503"/>
      <c r="G10" s="503"/>
      <c r="H10" s="503"/>
      <c r="I10" s="504"/>
      <c r="J10" s="503"/>
      <c r="K10" s="503"/>
      <c r="L10" s="503"/>
      <c r="M10" s="503"/>
      <c r="N10" s="503"/>
      <c r="O10" s="503"/>
      <c r="P10" s="503"/>
      <c r="Q10" s="503"/>
    </row>
    <row r="11" spans="1:17" s="15" customFormat="1" ht="24" customHeight="1">
      <c r="A11" s="19">
        <v>1</v>
      </c>
      <c r="B11" s="16" t="s">
        <v>33</v>
      </c>
      <c r="C11" s="503">
        <v>4825000</v>
      </c>
      <c r="D11" s="503">
        <f t="shared" si="1"/>
        <v>4825000</v>
      </c>
      <c r="E11" s="503">
        <f t="shared" ref="E11:E16" si="2">C11</f>
        <v>4825000</v>
      </c>
      <c r="F11" s="503"/>
      <c r="G11" s="503"/>
      <c r="H11" s="503"/>
      <c r="I11" s="504"/>
      <c r="J11" s="503"/>
      <c r="K11" s="503"/>
      <c r="L11" s="503"/>
      <c r="M11" s="503"/>
      <c r="N11" s="503"/>
      <c r="O11" s="503"/>
      <c r="P11" s="503"/>
      <c r="Q11" s="503"/>
    </row>
    <row r="12" spans="1:17" s="15" customFormat="1" ht="24" customHeight="1">
      <c r="A12" s="19">
        <v>2</v>
      </c>
      <c r="B12" s="16" t="s">
        <v>34</v>
      </c>
      <c r="C12" s="503">
        <v>110000</v>
      </c>
      <c r="D12" s="503">
        <f t="shared" si="1"/>
        <v>110000</v>
      </c>
      <c r="E12" s="503">
        <f t="shared" si="2"/>
        <v>110000</v>
      </c>
      <c r="F12" s="503"/>
      <c r="G12" s="503"/>
      <c r="H12" s="503"/>
      <c r="I12" s="504"/>
      <c r="J12" s="503"/>
      <c r="K12" s="503"/>
      <c r="L12" s="503"/>
      <c r="M12" s="503"/>
      <c r="N12" s="503"/>
      <c r="O12" s="503"/>
      <c r="P12" s="503"/>
      <c r="Q12" s="503"/>
    </row>
    <row r="13" spans="1:17" s="15" customFormat="1" ht="24" customHeight="1">
      <c r="A13" s="19">
        <v>3</v>
      </c>
      <c r="B13" s="16" t="s">
        <v>35</v>
      </c>
      <c r="C13" s="503">
        <v>1464000</v>
      </c>
      <c r="D13" s="503">
        <f t="shared" si="1"/>
        <v>1464000</v>
      </c>
      <c r="E13" s="503">
        <f t="shared" si="2"/>
        <v>1464000</v>
      </c>
      <c r="F13" s="503"/>
      <c r="G13" s="503"/>
      <c r="H13" s="503"/>
      <c r="I13" s="504"/>
      <c r="J13" s="503"/>
      <c r="K13" s="503"/>
      <c r="L13" s="503"/>
      <c r="M13" s="503"/>
      <c r="N13" s="503"/>
      <c r="O13" s="503"/>
      <c r="P13" s="503"/>
      <c r="Q13" s="503"/>
    </row>
    <row r="14" spans="1:17" s="15" customFormat="1" ht="24" customHeight="1">
      <c r="A14" s="19">
        <v>4</v>
      </c>
      <c r="B14" s="20" t="s">
        <v>36</v>
      </c>
      <c r="C14" s="503">
        <v>30000</v>
      </c>
      <c r="D14" s="503">
        <f t="shared" si="1"/>
        <v>30000</v>
      </c>
      <c r="E14" s="503">
        <f t="shared" si="2"/>
        <v>30000</v>
      </c>
      <c r="F14" s="503"/>
      <c r="G14" s="503"/>
      <c r="H14" s="503"/>
      <c r="I14" s="504"/>
      <c r="J14" s="503"/>
      <c r="K14" s="503"/>
      <c r="L14" s="503"/>
      <c r="M14" s="503"/>
      <c r="N14" s="503"/>
      <c r="O14" s="503"/>
      <c r="P14" s="503"/>
      <c r="Q14" s="503"/>
    </row>
    <row r="15" spans="1:17" s="15" customFormat="1" ht="24" customHeight="1">
      <c r="A15" s="19">
        <v>5</v>
      </c>
      <c r="B15" s="20" t="s">
        <v>37</v>
      </c>
      <c r="C15" s="503">
        <v>1000</v>
      </c>
      <c r="D15" s="503">
        <f t="shared" si="1"/>
        <v>1000</v>
      </c>
      <c r="E15" s="503">
        <f t="shared" si="2"/>
        <v>1000</v>
      </c>
      <c r="F15" s="503"/>
      <c r="G15" s="503"/>
      <c r="H15" s="503"/>
      <c r="I15" s="504"/>
      <c r="J15" s="503"/>
      <c r="K15" s="503"/>
      <c r="L15" s="503"/>
      <c r="M15" s="503"/>
      <c r="N15" s="503"/>
      <c r="O15" s="503"/>
      <c r="P15" s="503"/>
      <c r="Q15" s="503"/>
    </row>
    <row r="16" spans="1:17" s="15" customFormat="1" ht="24" customHeight="1">
      <c r="A16" s="19">
        <v>6</v>
      </c>
      <c r="B16" s="20" t="s">
        <v>38</v>
      </c>
      <c r="C16" s="503">
        <v>20000</v>
      </c>
      <c r="D16" s="503">
        <f t="shared" si="1"/>
        <v>20000</v>
      </c>
      <c r="E16" s="503">
        <f t="shared" si="2"/>
        <v>20000</v>
      </c>
      <c r="F16" s="503"/>
      <c r="G16" s="503"/>
      <c r="H16" s="503"/>
      <c r="I16" s="504"/>
      <c r="J16" s="503"/>
      <c r="K16" s="503"/>
      <c r="L16" s="503"/>
      <c r="M16" s="503"/>
      <c r="N16" s="503"/>
      <c r="O16" s="503"/>
      <c r="P16" s="503"/>
      <c r="Q16" s="503"/>
    </row>
    <row r="17" spans="1:18" s="430" customFormat="1" ht="24" customHeight="1">
      <c r="A17" s="21" t="s">
        <v>2</v>
      </c>
      <c r="B17" s="22" t="s">
        <v>39</v>
      </c>
      <c r="C17" s="503">
        <f t="shared" ref="C17:Q17" si="3">C21+C25+C29+C33+C39+C40+C41+C42+C46+C54+C55+C56+C62+C63+C64</f>
        <v>2650000</v>
      </c>
      <c r="D17" s="503">
        <f>D21+D25+D29+D33+D39+D40+D41+D42+D46+D54+D55+D56+D62+D63+D64</f>
        <v>3487800</v>
      </c>
      <c r="E17" s="503">
        <f>E21+E25+E29+E33+E39+E40+E41+E42+E46+E54+E55+E56+E62+E63+E64</f>
        <v>1875900</v>
      </c>
      <c r="F17" s="503">
        <f t="shared" si="3"/>
        <v>1611900</v>
      </c>
      <c r="G17" s="503">
        <f t="shared" si="3"/>
        <v>195700</v>
      </c>
      <c r="H17" s="503">
        <f t="shared" si="3"/>
        <v>73400</v>
      </c>
      <c r="I17" s="503">
        <f t="shared" si="3"/>
        <v>389700</v>
      </c>
      <c r="J17" s="503">
        <f>J21+J25+J29+J33+J39+J40+J41+J42+J46+J54+J55+J56+J62+J63+J64</f>
        <v>499600</v>
      </c>
      <c r="K17" s="503">
        <f t="shared" si="3"/>
        <v>96400</v>
      </c>
      <c r="L17" s="503">
        <f t="shared" si="3"/>
        <v>67500</v>
      </c>
      <c r="M17" s="503">
        <f t="shared" si="3"/>
        <v>131600</v>
      </c>
      <c r="N17" s="503">
        <f t="shared" si="3"/>
        <v>58500</v>
      </c>
      <c r="O17" s="503">
        <f t="shared" si="3"/>
        <v>27800</v>
      </c>
      <c r="P17" s="503">
        <f t="shared" si="3"/>
        <v>25400</v>
      </c>
      <c r="Q17" s="503">
        <f t="shared" si="3"/>
        <v>46300</v>
      </c>
      <c r="R17" s="429">
        <f>D17/C17%</f>
        <v>131.61509433962263</v>
      </c>
    </row>
    <row r="18" spans="1:18" s="430" customFormat="1" ht="33.75" customHeight="1">
      <c r="A18" s="24" t="s">
        <v>3</v>
      </c>
      <c r="B18" s="22" t="s">
        <v>40</v>
      </c>
      <c r="C18" s="503">
        <f t="shared" ref="C18:Q18" si="4">C17-C54</f>
        <v>2117000</v>
      </c>
      <c r="D18" s="503">
        <f>D17-D54</f>
        <v>2117000</v>
      </c>
      <c r="E18" s="503">
        <f>E17-E54</f>
        <v>816900</v>
      </c>
      <c r="F18" s="503">
        <f t="shared" si="4"/>
        <v>1300100</v>
      </c>
      <c r="G18" s="503">
        <f t="shared" si="4"/>
        <v>154700</v>
      </c>
      <c r="H18" s="503">
        <f t="shared" si="4"/>
        <v>43400</v>
      </c>
      <c r="I18" s="503">
        <f t="shared" si="4"/>
        <v>279700</v>
      </c>
      <c r="J18" s="503">
        <f t="shared" si="4"/>
        <v>458100</v>
      </c>
      <c r="K18" s="503">
        <f t="shared" si="4"/>
        <v>81400</v>
      </c>
      <c r="L18" s="503">
        <f t="shared" si="4"/>
        <v>40500</v>
      </c>
      <c r="M18" s="503">
        <f t="shared" si="4"/>
        <v>119600</v>
      </c>
      <c r="N18" s="503">
        <f t="shared" si="4"/>
        <v>45500</v>
      </c>
      <c r="O18" s="503">
        <f t="shared" si="4"/>
        <v>24300</v>
      </c>
      <c r="P18" s="503">
        <f t="shared" si="4"/>
        <v>21600</v>
      </c>
      <c r="Q18" s="503">
        <f t="shared" si="4"/>
        <v>31300</v>
      </c>
    </row>
    <row r="19" spans="1:18" s="430" customFormat="1" ht="33.75" customHeight="1">
      <c r="A19" s="24" t="s">
        <v>3</v>
      </c>
      <c r="B19" s="22" t="s">
        <v>41</v>
      </c>
      <c r="C19" s="503">
        <f t="shared" ref="C19:Q19" si="5">C18-C64</f>
        <v>2101000</v>
      </c>
      <c r="D19" s="503">
        <f>D18-D64</f>
        <v>2101000</v>
      </c>
      <c r="E19" s="503">
        <f>E18-E64</f>
        <v>800900</v>
      </c>
      <c r="F19" s="503">
        <f t="shared" si="5"/>
        <v>1300100</v>
      </c>
      <c r="G19" s="503">
        <f t="shared" si="5"/>
        <v>154700</v>
      </c>
      <c r="H19" s="503">
        <f t="shared" si="5"/>
        <v>43400</v>
      </c>
      <c r="I19" s="503">
        <f t="shared" si="5"/>
        <v>279700</v>
      </c>
      <c r="J19" s="503">
        <f t="shared" si="5"/>
        <v>458100</v>
      </c>
      <c r="K19" s="503">
        <f t="shared" si="5"/>
        <v>81400</v>
      </c>
      <c r="L19" s="503">
        <f t="shared" si="5"/>
        <v>40500</v>
      </c>
      <c r="M19" s="503">
        <f t="shared" si="5"/>
        <v>119600</v>
      </c>
      <c r="N19" s="503">
        <f t="shared" si="5"/>
        <v>45500</v>
      </c>
      <c r="O19" s="503">
        <f t="shared" si="5"/>
        <v>24300</v>
      </c>
      <c r="P19" s="503">
        <f t="shared" si="5"/>
        <v>21600</v>
      </c>
      <c r="Q19" s="503">
        <f t="shared" si="5"/>
        <v>31300</v>
      </c>
    </row>
    <row r="20" spans="1:18" s="430" customFormat="1" ht="44.25" customHeight="1">
      <c r="A20" s="24" t="s">
        <v>3</v>
      </c>
      <c r="B20" s="22" t="s">
        <v>42</v>
      </c>
      <c r="C20" s="503">
        <f t="shared" ref="C20:Q20" si="6">C19-C49</f>
        <v>1576000</v>
      </c>
      <c r="D20" s="503">
        <f>D19-D49</f>
        <v>1576000</v>
      </c>
      <c r="E20" s="503">
        <f>E19-E49</f>
        <v>765900</v>
      </c>
      <c r="F20" s="503">
        <f t="shared" si="6"/>
        <v>810100</v>
      </c>
      <c r="G20" s="503">
        <f t="shared" si="6"/>
        <v>154700</v>
      </c>
      <c r="H20" s="503">
        <f t="shared" si="6"/>
        <v>43400</v>
      </c>
      <c r="I20" s="503">
        <f t="shared" si="6"/>
        <v>279700</v>
      </c>
      <c r="J20" s="503">
        <f t="shared" si="6"/>
        <v>78100</v>
      </c>
      <c r="K20" s="503">
        <f t="shared" si="6"/>
        <v>56400</v>
      </c>
      <c r="L20" s="503">
        <f t="shared" si="6"/>
        <v>40500</v>
      </c>
      <c r="M20" s="503">
        <f t="shared" si="6"/>
        <v>34700</v>
      </c>
      <c r="N20" s="503">
        <f t="shared" si="6"/>
        <v>45400</v>
      </c>
      <c r="O20" s="503">
        <f t="shared" si="6"/>
        <v>24300</v>
      </c>
      <c r="P20" s="503">
        <f t="shared" si="6"/>
        <v>21600</v>
      </c>
      <c r="Q20" s="503">
        <f t="shared" si="6"/>
        <v>31300</v>
      </c>
    </row>
    <row r="21" spans="1:18" s="430" customFormat="1" ht="33.75" customHeight="1">
      <c r="A21" s="25">
        <v>1</v>
      </c>
      <c r="B21" s="22" t="s">
        <v>43</v>
      </c>
      <c r="C21" s="503">
        <f>C22+C23+C24</f>
        <v>180000</v>
      </c>
      <c r="D21" s="503">
        <f>D22+D23+D24</f>
        <v>180000</v>
      </c>
      <c r="E21" s="503">
        <f>E22+E23+E24</f>
        <v>180000</v>
      </c>
      <c r="F21" s="503"/>
      <c r="G21" s="503"/>
      <c r="H21" s="503"/>
      <c r="I21" s="503"/>
      <c r="J21" s="503"/>
      <c r="K21" s="503"/>
      <c r="L21" s="503"/>
      <c r="M21" s="503"/>
      <c r="N21" s="503"/>
      <c r="O21" s="503"/>
      <c r="P21" s="503"/>
      <c r="Q21" s="503"/>
    </row>
    <row r="22" spans="1:18" s="431" customFormat="1" ht="24" customHeight="1">
      <c r="A22" s="26" t="s">
        <v>3</v>
      </c>
      <c r="B22" s="27" t="s">
        <v>44</v>
      </c>
      <c r="C22" s="504">
        <v>110000</v>
      </c>
      <c r="D22" s="504">
        <f t="shared" si="1"/>
        <v>110000</v>
      </c>
      <c r="E22" s="504">
        <f>D22-F22</f>
        <v>110000</v>
      </c>
      <c r="F22" s="504"/>
      <c r="G22" s="504"/>
      <c r="H22" s="504"/>
      <c r="I22" s="504"/>
      <c r="J22" s="504"/>
      <c r="K22" s="504"/>
      <c r="L22" s="504"/>
      <c r="M22" s="504"/>
      <c r="N22" s="504"/>
      <c r="O22" s="504"/>
      <c r="P22" s="504"/>
      <c r="Q22" s="504"/>
    </row>
    <row r="23" spans="1:18" s="431" customFormat="1" ht="24" customHeight="1">
      <c r="A23" s="26" t="s">
        <v>3</v>
      </c>
      <c r="B23" s="27" t="s">
        <v>45</v>
      </c>
      <c r="C23" s="504">
        <v>15000</v>
      </c>
      <c r="D23" s="504">
        <f t="shared" si="1"/>
        <v>15000</v>
      </c>
      <c r="E23" s="504">
        <f t="shared" ref="E23:E31" si="7">D23-F23</f>
        <v>15000</v>
      </c>
      <c r="F23" s="504"/>
      <c r="G23" s="504"/>
      <c r="H23" s="504"/>
      <c r="I23" s="504"/>
      <c r="J23" s="504"/>
      <c r="K23" s="504"/>
      <c r="L23" s="504"/>
      <c r="M23" s="504"/>
      <c r="N23" s="504"/>
      <c r="O23" s="504"/>
      <c r="P23" s="504"/>
      <c r="Q23" s="504"/>
    </row>
    <row r="24" spans="1:18" s="431" customFormat="1" ht="24" customHeight="1">
      <c r="A24" s="26" t="s">
        <v>3</v>
      </c>
      <c r="B24" s="27" t="s">
        <v>46</v>
      </c>
      <c r="C24" s="504">
        <v>55000</v>
      </c>
      <c r="D24" s="504">
        <f t="shared" si="1"/>
        <v>55000</v>
      </c>
      <c r="E24" s="504">
        <f t="shared" si="7"/>
        <v>55000</v>
      </c>
      <c r="F24" s="504"/>
      <c r="G24" s="504"/>
      <c r="H24" s="504"/>
      <c r="I24" s="504"/>
      <c r="J24" s="504"/>
      <c r="K24" s="504"/>
      <c r="L24" s="504"/>
      <c r="M24" s="504"/>
      <c r="N24" s="504"/>
      <c r="O24" s="504"/>
      <c r="P24" s="504"/>
      <c r="Q24" s="504"/>
    </row>
    <row r="25" spans="1:18" s="430" customFormat="1" ht="33.75" customHeight="1">
      <c r="A25" s="25">
        <v>2</v>
      </c>
      <c r="B25" s="22" t="s">
        <v>47</v>
      </c>
      <c r="C25" s="503">
        <f>C26+C27+C28</f>
        <v>33000</v>
      </c>
      <c r="D25" s="503">
        <f>D26+D27+D28</f>
        <v>33000</v>
      </c>
      <c r="E25" s="503">
        <f>E26+E27+E28</f>
        <v>33000</v>
      </c>
      <c r="F25" s="503"/>
      <c r="G25" s="503"/>
      <c r="H25" s="503"/>
      <c r="I25" s="503"/>
      <c r="J25" s="503"/>
      <c r="K25" s="503"/>
      <c r="L25" s="503"/>
      <c r="M25" s="503"/>
      <c r="N25" s="503"/>
      <c r="O25" s="503"/>
      <c r="P25" s="503"/>
      <c r="Q25" s="503"/>
    </row>
    <row r="26" spans="1:18" s="431" customFormat="1" ht="24" customHeight="1">
      <c r="A26" s="26" t="s">
        <v>3</v>
      </c>
      <c r="B26" s="27" t="s">
        <v>44</v>
      </c>
      <c r="C26" s="504">
        <v>19300</v>
      </c>
      <c r="D26" s="504">
        <f t="shared" si="1"/>
        <v>19300</v>
      </c>
      <c r="E26" s="504">
        <f t="shared" si="7"/>
        <v>19300</v>
      </c>
      <c r="F26" s="504"/>
      <c r="G26" s="504"/>
      <c r="H26" s="504"/>
      <c r="I26" s="504"/>
      <c r="J26" s="504"/>
      <c r="K26" s="504"/>
      <c r="L26" s="504"/>
      <c r="M26" s="504"/>
      <c r="N26" s="504"/>
      <c r="O26" s="504"/>
      <c r="P26" s="504"/>
      <c r="Q26" s="504"/>
    </row>
    <row r="27" spans="1:18" s="431" customFormat="1" ht="24" customHeight="1">
      <c r="A27" s="26" t="s">
        <v>3</v>
      </c>
      <c r="B27" s="27" t="s">
        <v>45</v>
      </c>
      <c r="C27" s="504">
        <v>10500</v>
      </c>
      <c r="D27" s="504">
        <f>C27</f>
        <v>10500</v>
      </c>
      <c r="E27" s="504">
        <f t="shared" si="7"/>
        <v>10500</v>
      </c>
      <c r="F27" s="504"/>
      <c r="G27" s="504"/>
      <c r="H27" s="504"/>
      <c r="I27" s="504"/>
      <c r="J27" s="504"/>
      <c r="K27" s="504"/>
      <c r="L27" s="504"/>
      <c r="M27" s="504"/>
      <c r="N27" s="504"/>
      <c r="O27" s="504"/>
      <c r="P27" s="504"/>
      <c r="Q27" s="504"/>
    </row>
    <row r="28" spans="1:18" s="431" customFormat="1" ht="24" customHeight="1">
      <c r="A28" s="26" t="s">
        <v>3</v>
      </c>
      <c r="B28" s="27" t="s">
        <v>46</v>
      </c>
      <c r="C28" s="504">
        <v>3200</v>
      </c>
      <c r="D28" s="504">
        <f t="shared" si="1"/>
        <v>3200</v>
      </c>
      <c r="E28" s="504">
        <f t="shared" si="7"/>
        <v>3200</v>
      </c>
      <c r="F28" s="504"/>
      <c r="G28" s="504"/>
      <c r="H28" s="504"/>
      <c r="I28" s="504"/>
      <c r="J28" s="504"/>
      <c r="K28" s="504"/>
      <c r="L28" s="504"/>
      <c r="M28" s="504"/>
      <c r="N28" s="504"/>
      <c r="O28" s="504"/>
      <c r="P28" s="504"/>
      <c r="Q28" s="504"/>
    </row>
    <row r="29" spans="1:18" s="430" customFormat="1" ht="33.75" customHeight="1">
      <c r="A29" s="25">
        <v>3</v>
      </c>
      <c r="B29" s="22" t="s">
        <v>48</v>
      </c>
      <c r="C29" s="505">
        <f>C30+C31+C32</f>
        <v>7000</v>
      </c>
      <c r="D29" s="505">
        <f>D30+D31+D32</f>
        <v>7000</v>
      </c>
      <c r="E29" s="505">
        <f>E30+E31+E32</f>
        <v>7000</v>
      </c>
      <c r="F29" s="505"/>
      <c r="G29" s="505"/>
      <c r="H29" s="505"/>
      <c r="I29" s="505"/>
      <c r="J29" s="505"/>
      <c r="K29" s="505"/>
      <c r="L29" s="505"/>
      <c r="M29" s="505"/>
      <c r="N29" s="505"/>
      <c r="O29" s="505"/>
      <c r="P29" s="505"/>
      <c r="Q29" s="505"/>
    </row>
    <row r="30" spans="1:18" s="431" customFormat="1" ht="24" customHeight="1">
      <c r="A30" s="26" t="s">
        <v>3</v>
      </c>
      <c r="B30" s="27" t="s">
        <v>44</v>
      </c>
      <c r="C30" s="506">
        <v>1500</v>
      </c>
      <c r="D30" s="504">
        <f t="shared" si="1"/>
        <v>1500</v>
      </c>
      <c r="E30" s="504">
        <f t="shared" si="7"/>
        <v>1500</v>
      </c>
      <c r="F30" s="504"/>
      <c r="G30" s="504"/>
      <c r="H30" s="504"/>
      <c r="I30" s="504"/>
      <c r="J30" s="504"/>
      <c r="K30" s="504"/>
      <c r="L30" s="504"/>
      <c r="M30" s="504"/>
      <c r="N30" s="504"/>
      <c r="O30" s="504"/>
      <c r="P30" s="504"/>
      <c r="Q30" s="504"/>
    </row>
    <row r="31" spans="1:18" s="431" customFormat="1" ht="24" customHeight="1">
      <c r="A31" s="26" t="s">
        <v>3</v>
      </c>
      <c r="B31" s="27" t="s">
        <v>45</v>
      </c>
      <c r="C31" s="506">
        <v>5500</v>
      </c>
      <c r="D31" s="504">
        <f t="shared" si="1"/>
        <v>5500</v>
      </c>
      <c r="E31" s="504">
        <f t="shared" si="7"/>
        <v>5500</v>
      </c>
      <c r="F31" s="504"/>
      <c r="G31" s="504"/>
      <c r="H31" s="504"/>
      <c r="I31" s="504"/>
      <c r="J31" s="504"/>
      <c r="K31" s="504"/>
      <c r="L31" s="504"/>
      <c r="M31" s="504"/>
      <c r="N31" s="504"/>
      <c r="O31" s="504"/>
      <c r="P31" s="504"/>
      <c r="Q31" s="504"/>
    </row>
    <row r="32" spans="1:18" s="431" customFormat="1" ht="18.75" hidden="1" customHeight="1">
      <c r="A32" s="26" t="s">
        <v>3</v>
      </c>
      <c r="B32" s="27" t="s">
        <v>49</v>
      </c>
      <c r="C32" s="506"/>
      <c r="D32" s="504">
        <f t="shared" si="1"/>
        <v>0</v>
      </c>
      <c r="E32" s="504"/>
      <c r="F32" s="504"/>
      <c r="G32" s="504"/>
      <c r="H32" s="504"/>
      <c r="I32" s="504"/>
      <c r="J32" s="504"/>
      <c r="K32" s="504"/>
      <c r="L32" s="504"/>
      <c r="M32" s="504"/>
      <c r="N32" s="504"/>
      <c r="O32" s="504"/>
      <c r="P32" s="504"/>
      <c r="Q32" s="504"/>
    </row>
    <row r="33" spans="1:17" s="430" customFormat="1" ht="24" customHeight="1">
      <c r="A33" s="25">
        <v>4</v>
      </c>
      <c r="B33" s="22" t="s">
        <v>50</v>
      </c>
      <c r="C33" s="503">
        <f>SUM(C34:C38)-C37</f>
        <v>520000</v>
      </c>
      <c r="D33" s="503">
        <f t="shared" ref="D33:Q33" si="8">SUM(D34:D38)-D37</f>
        <v>520000</v>
      </c>
      <c r="E33" s="503">
        <f t="shared" si="8"/>
        <v>145390</v>
      </c>
      <c r="F33" s="503">
        <f t="shared" si="8"/>
        <v>374610</v>
      </c>
      <c r="G33" s="503">
        <f>SUM(G34:G38)-G37</f>
        <v>85360</v>
      </c>
      <c r="H33" s="503">
        <f t="shared" si="8"/>
        <v>13220</v>
      </c>
      <c r="I33" s="503">
        <f t="shared" si="8"/>
        <v>123440</v>
      </c>
      <c r="J33" s="503">
        <f t="shared" si="8"/>
        <v>34550</v>
      </c>
      <c r="K33" s="503">
        <f t="shared" si="8"/>
        <v>18390</v>
      </c>
      <c r="L33" s="503">
        <f t="shared" si="8"/>
        <v>25450</v>
      </c>
      <c r="M33" s="503">
        <f t="shared" si="8"/>
        <v>13680</v>
      </c>
      <c r="N33" s="503">
        <f t="shared" si="8"/>
        <v>25760</v>
      </c>
      <c r="O33" s="503">
        <f t="shared" si="8"/>
        <v>11960</v>
      </c>
      <c r="P33" s="503">
        <f t="shared" si="8"/>
        <v>9500</v>
      </c>
      <c r="Q33" s="503">
        <f t="shared" si="8"/>
        <v>13300</v>
      </c>
    </row>
    <row r="34" spans="1:17" s="430" customFormat="1" ht="24" customHeight="1">
      <c r="A34" s="26" t="s">
        <v>3</v>
      </c>
      <c r="B34" s="27" t="s">
        <v>44</v>
      </c>
      <c r="C34" s="504">
        <v>387500</v>
      </c>
      <c r="D34" s="504">
        <f t="shared" si="1"/>
        <v>387500</v>
      </c>
      <c r="E34" s="504">
        <f t="shared" ref="E34:E39" si="9">D34-F34</f>
        <v>76270</v>
      </c>
      <c r="F34" s="504">
        <f t="shared" ref="F34:F41" si="10">SUM(G34:Q34)</f>
        <v>311230</v>
      </c>
      <c r="G34" s="504">
        <v>65060</v>
      </c>
      <c r="H34" s="504">
        <v>9165</v>
      </c>
      <c r="I34" s="504">
        <v>105780</v>
      </c>
      <c r="J34" s="504">
        <v>30170</v>
      </c>
      <c r="K34" s="504">
        <v>16400</v>
      </c>
      <c r="L34" s="504">
        <v>25035</v>
      </c>
      <c r="M34" s="504">
        <v>11100</v>
      </c>
      <c r="N34" s="504">
        <v>18160</v>
      </c>
      <c r="O34" s="504">
        <v>8780</v>
      </c>
      <c r="P34" s="504">
        <v>9000</v>
      </c>
      <c r="Q34" s="504">
        <v>12580</v>
      </c>
    </row>
    <row r="35" spans="1:17" s="430" customFormat="1" ht="24" customHeight="1">
      <c r="A35" s="26" t="s">
        <v>3</v>
      </c>
      <c r="B35" s="27" t="s">
        <v>45</v>
      </c>
      <c r="C35" s="504">
        <v>70000</v>
      </c>
      <c r="D35" s="504">
        <f t="shared" si="1"/>
        <v>70000</v>
      </c>
      <c r="E35" s="504">
        <f t="shared" si="9"/>
        <v>40000</v>
      </c>
      <c r="F35" s="504">
        <f t="shared" si="10"/>
        <v>30000</v>
      </c>
      <c r="G35" s="504">
        <v>3860</v>
      </c>
      <c r="H35" s="504">
        <v>2000</v>
      </c>
      <c r="I35" s="504">
        <v>15500</v>
      </c>
      <c r="J35" s="504">
        <v>3100</v>
      </c>
      <c r="K35" s="504">
        <v>1840</v>
      </c>
      <c r="L35" s="504">
        <v>400</v>
      </c>
      <c r="M35" s="504">
        <v>1500</v>
      </c>
      <c r="N35" s="504">
        <v>500</v>
      </c>
      <c r="O35" s="504">
        <v>380</v>
      </c>
      <c r="P35" s="504">
        <v>300</v>
      </c>
      <c r="Q35" s="504">
        <v>620</v>
      </c>
    </row>
    <row r="36" spans="1:17" s="430" customFormat="1" ht="24" customHeight="1">
      <c r="A36" s="26" t="s">
        <v>3</v>
      </c>
      <c r="B36" s="27" t="s">
        <v>49</v>
      </c>
      <c r="C36" s="504">
        <v>2500</v>
      </c>
      <c r="D36" s="504">
        <f t="shared" si="1"/>
        <v>2500</v>
      </c>
      <c r="E36" s="504">
        <f t="shared" si="9"/>
        <v>700</v>
      </c>
      <c r="F36" s="504">
        <f t="shared" si="10"/>
        <v>1800</v>
      </c>
      <c r="G36" s="504">
        <v>140</v>
      </c>
      <c r="H36" s="504">
        <v>55</v>
      </c>
      <c r="I36" s="504">
        <v>1160</v>
      </c>
      <c r="J36" s="504">
        <v>220</v>
      </c>
      <c r="K36" s="504">
        <v>100</v>
      </c>
      <c r="L36" s="504">
        <v>15</v>
      </c>
      <c r="M36" s="504">
        <v>110</v>
      </c>
      <c r="N36" s="504"/>
      <c r="O36" s="504"/>
      <c r="P36" s="504"/>
      <c r="Q36" s="504"/>
    </row>
    <row r="37" spans="1:17" s="432" customFormat="1" ht="45.75" customHeight="1">
      <c r="A37" s="49"/>
      <c r="B37" s="43" t="s">
        <v>1398</v>
      </c>
      <c r="C37" s="507">
        <v>600</v>
      </c>
      <c r="D37" s="507">
        <f t="shared" si="1"/>
        <v>600</v>
      </c>
      <c r="E37" s="507">
        <f t="shared" si="9"/>
        <v>530</v>
      </c>
      <c r="F37" s="507">
        <f t="shared" si="10"/>
        <v>70</v>
      </c>
      <c r="G37" s="507"/>
      <c r="H37" s="507"/>
      <c r="I37" s="507">
        <v>60</v>
      </c>
      <c r="J37" s="507"/>
      <c r="K37" s="507">
        <v>10</v>
      </c>
      <c r="L37" s="507"/>
      <c r="M37" s="507"/>
      <c r="N37" s="507"/>
      <c r="O37" s="507"/>
      <c r="P37" s="507"/>
      <c r="Q37" s="507"/>
    </row>
    <row r="38" spans="1:17" s="431" customFormat="1" ht="24" customHeight="1">
      <c r="A38" s="26" t="s">
        <v>3</v>
      </c>
      <c r="B38" s="27" t="s">
        <v>46</v>
      </c>
      <c r="C38" s="504">
        <v>60000</v>
      </c>
      <c r="D38" s="504">
        <f t="shared" si="1"/>
        <v>60000</v>
      </c>
      <c r="E38" s="504">
        <f t="shared" si="9"/>
        <v>28420</v>
      </c>
      <c r="F38" s="504">
        <f t="shared" si="10"/>
        <v>31580</v>
      </c>
      <c r="G38" s="504">
        <v>16300</v>
      </c>
      <c r="H38" s="504">
        <v>2000</v>
      </c>
      <c r="I38" s="504">
        <v>1000</v>
      </c>
      <c r="J38" s="504">
        <v>1060</v>
      </c>
      <c r="K38" s="504">
        <v>50</v>
      </c>
      <c r="L38" s="504"/>
      <c r="M38" s="504">
        <v>970</v>
      </c>
      <c r="N38" s="504">
        <v>7100</v>
      </c>
      <c r="O38" s="504">
        <v>2800</v>
      </c>
      <c r="P38" s="504">
        <v>200</v>
      </c>
      <c r="Q38" s="504">
        <v>100</v>
      </c>
    </row>
    <row r="39" spans="1:17" s="431" customFormat="1" ht="24" customHeight="1">
      <c r="A39" s="25">
        <v>5</v>
      </c>
      <c r="B39" s="22" t="s">
        <v>51</v>
      </c>
      <c r="C39" s="503">
        <v>128000</v>
      </c>
      <c r="D39" s="503">
        <f t="shared" si="1"/>
        <v>128000</v>
      </c>
      <c r="E39" s="503">
        <f t="shared" si="9"/>
        <v>0</v>
      </c>
      <c r="F39" s="503">
        <f t="shared" si="10"/>
        <v>128000</v>
      </c>
      <c r="G39" s="503">
        <v>14900</v>
      </c>
      <c r="H39" s="503">
        <v>5800</v>
      </c>
      <c r="I39" s="503">
        <v>60000</v>
      </c>
      <c r="J39" s="503">
        <v>12000</v>
      </c>
      <c r="K39" s="503">
        <v>6000</v>
      </c>
      <c r="L39" s="503">
        <v>5000</v>
      </c>
      <c r="M39" s="503">
        <v>5400</v>
      </c>
      <c r="N39" s="503">
        <v>4500</v>
      </c>
      <c r="O39" s="503">
        <v>5000</v>
      </c>
      <c r="P39" s="503">
        <v>4000</v>
      </c>
      <c r="Q39" s="503">
        <v>5400</v>
      </c>
    </row>
    <row r="40" spans="1:17" s="431" customFormat="1" ht="24" customHeight="1">
      <c r="A40" s="25">
        <v>6</v>
      </c>
      <c r="B40" s="22" t="s">
        <v>52</v>
      </c>
      <c r="C40" s="503">
        <v>6000</v>
      </c>
      <c r="D40" s="503">
        <f t="shared" si="1"/>
        <v>6000</v>
      </c>
      <c r="E40" s="503">
        <f t="shared" ref="E40:E64" si="11">D40-F40</f>
        <v>0</v>
      </c>
      <c r="F40" s="503">
        <f t="shared" si="10"/>
        <v>6000</v>
      </c>
      <c r="G40" s="503">
        <v>100</v>
      </c>
      <c r="H40" s="503">
        <v>80</v>
      </c>
      <c r="I40" s="503">
        <v>4360</v>
      </c>
      <c r="J40" s="503">
        <v>550</v>
      </c>
      <c r="K40" s="503">
        <v>300</v>
      </c>
      <c r="L40" s="503">
        <v>30</v>
      </c>
      <c r="M40" s="503">
        <v>130</v>
      </c>
      <c r="N40" s="503">
        <v>90</v>
      </c>
      <c r="O40" s="503">
        <v>50</v>
      </c>
      <c r="P40" s="503">
        <v>100</v>
      </c>
      <c r="Q40" s="503">
        <v>210</v>
      </c>
    </row>
    <row r="41" spans="1:17" s="430" customFormat="1" ht="24" customHeight="1">
      <c r="A41" s="25">
        <v>7</v>
      </c>
      <c r="B41" s="22" t="s">
        <v>53</v>
      </c>
      <c r="C41" s="503">
        <v>140000</v>
      </c>
      <c r="D41" s="503">
        <f t="shared" si="1"/>
        <v>140000</v>
      </c>
      <c r="E41" s="503">
        <f t="shared" si="11"/>
        <v>70480</v>
      </c>
      <c r="F41" s="503">
        <f t="shared" si="10"/>
        <v>69520</v>
      </c>
      <c r="G41" s="503">
        <v>7240</v>
      </c>
      <c r="H41" s="503">
        <v>3000</v>
      </c>
      <c r="I41" s="503">
        <v>35000</v>
      </c>
      <c r="J41" s="503">
        <v>5500</v>
      </c>
      <c r="K41" s="503">
        <v>3200</v>
      </c>
      <c r="L41" s="503">
        <v>2800</v>
      </c>
      <c r="M41" s="503">
        <v>3200</v>
      </c>
      <c r="N41" s="503">
        <v>2500</v>
      </c>
      <c r="O41" s="503">
        <v>1780</v>
      </c>
      <c r="P41" s="503">
        <v>1300</v>
      </c>
      <c r="Q41" s="503">
        <v>4000</v>
      </c>
    </row>
    <row r="42" spans="1:17" s="430" customFormat="1" ht="24" customHeight="1">
      <c r="A42" s="25">
        <v>8</v>
      </c>
      <c r="B42" s="22" t="s">
        <v>54</v>
      </c>
      <c r="C42" s="503">
        <v>184000</v>
      </c>
      <c r="D42" s="503">
        <f t="shared" si="1"/>
        <v>184000</v>
      </c>
      <c r="E42" s="503">
        <f t="shared" si="11"/>
        <v>184000</v>
      </c>
      <c r="F42" s="503"/>
      <c r="G42" s="503"/>
      <c r="H42" s="503"/>
      <c r="I42" s="503"/>
      <c r="J42" s="503"/>
      <c r="K42" s="503"/>
      <c r="L42" s="503"/>
      <c r="M42" s="503"/>
      <c r="N42" s="503"/>
      <c r="O42" s="503"/>
      <c r="P42" s="503"/>
      <c r="Q42" s="503"/>
    </row>
    <row r="43" spans="1:17" s="37" customFormat="1" ht="24" customHeight="1">
      <c r="A43" s="33"/>
      <c r="B43" s="34" t="s">
        <v>55</v>
      </c>
      <c r="C43" s="504">
        <v>68800</v>
      </c>
      <c r="D43" s="504">
        <f t="shared" si="1"/>
        <v>68800</v>
      </c>
      <c r="E43" s="504">
        <f t="shared" si="11"/>
        <v>68800</v>
      </c>
      <c r="F43" s="508"/>
      <c r="G43" s="508"/>
      <c r="H43" s="508"/>
      <c r="I43" s="508"/>
      <c r="J43" s="508"/>
      <c r="K43" s="508"/>
      <c r="L43" s="508"/>
      <c r="M43" s="508"/>
      <c r="N43" s="508"/>
      <c r="O43" s="508"/>
      <c r="P43" s="508"/>
      <c r="Q43" s="508"/>
    </row>
    <row r="44" spans="1:17" s="37" customFormat="1" ht="30" customHeight="1">
      <c r="A44" s="33"/>
      <c r="B44" s="34" t="s">
        <v>56</v>
      </c>
      <c r="C44" s="504">
        <f>C42-C43</f>
        <v>115200</v>
      </c>
      <c r="D44" s="504">
        <f t="shared" si="1"/>
        <v>115200</v>
      </c>
      <c r="E44" s="504">
        <f t="shared" si="11"/>
        <v>115200</v>
      </c>
      <c r="F44" s="508"/>
      <c r="G44" s="508"/>
      <c r="H44" s="508"/>
      <c r="I44" s="508"/>
      <c r="J44" s="508"/>
      <c r="K44" s="508"/>
      <c r="L44" s="508"/>
      <c r="M44" s="508"/>
      <c r="N44" s="508"/>
      <c r="O44" s="508"/>
      <c r="P44" s="508"/>
      <c r="Q44" s="508"/>
    </row>
    <row r="45" spans="1:17" s="40" customFormat="1" ht="8.25" hidden="1" customHeight="1">
      <c r="A45" s="38"/>
      <c r="B45" s="38"/>
      <c r="C45" s="509"/>
      <c r="D45" s="509">
        <f t="shared" si="1"/>
        <v>0</v>
      </c>
      <c r="E45" s="509">
        <f t="shared" si="11"/>
        <v>0</v>
      </c>
      <c r="F45" s="509"/>
      <c r="G45" s="509"/>
      <c r="H45" s="509"/>
      <c r="I45" s="509"/>
      <c r="J45" s="509"/>
      <c r="K45" s="509"/>
      <c r="L45" s="509"/>
      <c r="M45" s="509"/>
      <c r="N45" s="509"/>
      <c r="O45" s="509"/>
      <c r="P45" s="509"/>
      <c r="Q45" s="509"/>
    </row>
    <row r="46" spans="1:17" s="15" customFormat="1" ht="24" customHeight="1">
      <c r="A46" s="25">
        <v>9</v>
      </c>
      <c r="B46" s="22" t="s">
        <v>57</v>
      </c>
      <c r="C46" s="503">
        <v>620000</v>
      </c>
      <c r="D46" s="503">
        <f t="shared" si="1"/>
        <v>620000</v>
      </c>
      <c r="E46" s="503">
        <f t="shared" si="11"/>
        <v>90240</v>
      </c>
      <c r="F46" s="503">
        <f>SUM(G46:Q46)</f>
        <v>529760</v>
      </c>
      <c r="G46" s="503">
        <v>14000</v>
      </c>
      <c r="H46" s="503">
        <v>3200</v>
      </c>
      <c r="I46" s="503">
        <v>8100</v>
      </c>
      <c r="J46" s="503">
        <v>383900</v>
      </c>
      <c r="K46" s="503">
        <v>26600</v>
      </c>
      <c r="L46" s="503">
        <v>910</v>
      </c>
      <c r="M46" s="503">
        <v>86650</v>
      </c>
      <c r="N46" s="503">
        <v>2120</v>
      </c>
      <c r="O46" s="503">
        <v>1110</v>
      </c>
      <c r="P46" s="503">
        <v>1450</v>
      </c>
      <c r="Q46" s="503">
        <v>1720</v>
      </c>
    </row>
    <row r="47" spans="1:17" s="15" customFormat="1" ht="24" customHeight="1">
      <c r="A47" s="25"/>
      <c r="B47" s="27" t="s">
        <v>58</v>
      </c>
      <c r="C47" s="504">
        <v>25000</v>
      </c>
      <c r="D47" s="504">
        <f t="shared" si="1"/>
        <v>25000</v>
      </c>
      <c r="E47" s="504">
        <f t="shared" si="11"/>
        <v>25000</v>
      </c>
      <c r="F47" s="504"/>
      <c r="G47" s="503"/>
      <c r="H47" s="503"/>
      <c r="I47" s="504"/>
      <c r="J47" s="504"/>
      <c r="K47" s="504"/>
      <c r="L47" s="504"/>
      <c r="M47" s="504"/>
      <c r="N47" s="504"/>
      <c r="O47" s="504"/>
      <c r="P47" s="504"/>
      <c r="Q47" s="504"/>
    </row>
    <row r="48" spans="1:17" s="15" customFormat="1" ht="24" customHeight="1">
      <c r="A48" s="25"/>
      <c r="B48" s="27" t="s">
        <v>59</v>
      </c>
      <c r="C48" s="504">
        <f>C46-C47</f>
        <v>595000</v>
      </c>
      <c r="D48" s="504">
        <f t="shared" si="1"/>
        <v>595000</v>
      </c>
      <c r="E48" s="504">
        <f t="shared" si="11"/>
        <v>65240</v>
      </c>
      <c r="F48" s="504">
        <f>F46-F47</f>
        <v>529760</v>
      </c>
      <c r="G48" s="504">
        <f t="shared" ref="G48:Q48" si="12">G46-G47</f>
        <v>14000</v>
      </c>
      <c r="H48" s="504">
        <f t="shared" si="12"/>
        <v>3200</v>
      </c>
      <c r="I48" s="504">
        <f t="shared" si="12"/>
        <v>8100</v>
      </c>
      <c r="J48" s="504">
        <f>J46</f>
        <v>383900</v>
      </c>
      <c r="K48" s="504">
        <f t="shared" si="12"/>
        <v>26600</v>
      </c>
      <c r="L48" s="504">
        <f t="shared" si="12"/>
        <v>910</v>
      </c>
      <c r="M48" s="504">
        <f t="shared" si="12"/>
        <v>86650</v>
      </c>
      <c r="N48" s="504">
        <f t="shared" si="12"/>
        <v>2120</v>
      </c>
      <c r="O48" s="504">
        <f t="shared" si="12"/>
        <v>1110</v>
      </c>
      <c r="P48" s="504">
        <f t="shared" si="12"/>
        <v>1450</v>
      </c>
      <c r="Q48" s="504">
        <f t="shared" si="12"/>
        <v>1720</v>
      </c>
    </row>
    <row r="49" spans="1:18" s="433" customFormat="1" ht="44.25" customHeight="1">
      <c r="A49" s="42" t="s">
        <v>60</v>
      </c>
      <c r="B49" s="43" t="s">
        <v>61</v>
      </c>
      <c r="C49" s="507">
        <v>525000</v>
      </c>
      <c r="D49" s="507">
        <f t="shared" si="1"/>
        <v>525000</v>
      </c>
      <c r="E49" s="507">
        <f t="shared" si="11"/>
        <v>35000</v>
      </c>
      <c r="F49" s="507">
        <f t="shared" ref="F49:F61" si="13">SUM(G49:Q49)</f>
        <v>490000</v>
      </c>
      <c r="G49" s="507"/>
      <c r="H49" s="507"/>
      <c r="I49" s="507"/>
      <c r="J49" s="507">
        <v>380000</v>
      </c>
      <c r="K49" s="507">
        <v>25000</v>
      </c>
      <c r="L49" s="507"/>
      <c r="M49" s="507">
        <v>84900</v>
      </c>
      <c r="N49" s="507">
        <v>100</v>
      </c>
      <c r="O49" s="507"/>
      <c r="P49" s="507"/>
      <c r="Q49" s="507"/>
    </row>
    <row r="50" spans="1:18" s="15" customFormat="1" ht="29.25" hidden="1" customHeight="1">
      <c r="A50" s="42" t="s">
        <v>60</v>
      </c>
      <c r="B50" s="43" t="s">
        <v>62</v>
      </c>
      <c r="C50" s="504"/>
      <c r="D50" s="507">
        <f t="shared" si="1"/>
        <v>0</v>
      </c>
      <c r="E50" s="507">
        <f t="shared" si="11"/>
        <v>0</v>
      </c>
      <c r="F50" s="507"/>
      <c r="G50" s="507"/>
      <c r="H50" s="507"/>
      <c r="I50" s="507"/>
      <c r="J50" s="507"/>
      <c r="K50" s="507"/>
      <c r="L50" s="507"/>
      <c r="M50" s="507"/>
      <c r="N50" s="507"/>
      <c r="O50" s="507"/>
      <c r="P50" s="507"/>
      <c r="Q50" s="507"/>
    </row>
    <row r="51" spans="1:18" s="15" customFormat="1" ht="33.75" customHeight="1">
      <c r="A51" s="42" t="s">
        <v>60</v>
      </c>
      <c r="B51" s="43" t="s">
        <v>63</v>
      </c>
      <c r="C51" s="507">
        <v>33000</v>
      </c>
      <c r="D51" s="507">
        <f>C51</f>
        <v>33000</v>
      </c>
      <c r="E51" s="507">
        <f t="shared" si="11"/>
        <v>16514</v>
      </c>
      <c r="F51" s="507">
        <f t="shared" si="13"/>
        <v>16486</v>
      </c>
      <c r="G51" s="507">
        <v>10000</v>
      </c>
      <c r="H51" s="507">
        <v>1836</v>
      </c>
      <c r="I51" s="507">
        <v>800</v>
      </c>
      <c r="J51" s="507">
        <v>2000</v>
      </c>
      <c r="K51" s="507">
        <v>20</v>
      </c>
      <c r="L51" s="507"/>
      <c r="M51" s="507">
        <v>600</v>
      </c>
      <c r="N51" s="507">
        <v>540</v>
      </c>
      <c r="O51" s="507">
        <v>200</v>
      </c>
      <c r="P51" s="507">
        <v>490</v>
      </c>
      <c r="Q51" s="507"/>
    </row>
    <row r="52" spans="1:18" s="15" customFormat="1" ht="24" customHeight="1">
      <c r="A52" s="269" t="s">
        <v>340</v>
      </c>
      <c r="B52" s="43" t="s">
        <v>62</v>
      </c>
      <c r="C52" s="507">
        <v>2300</v>
      </c>
      <c r="D52" s="507">
        <f>C52</f>
        <v>2300</v>
      </c>
      <c r="E52" s="507">
        <f t="shared" si="11"/>
        <v>2000</v>
      </c>
      <c r="F52" s="507">
        <f t="shared" si="13"/>
        <v>300</v>
      </c>
      <c r="G52" s="507"/>
      <c r="H52" s="507"/>
      <c r="I52" s="507">
        <v>30</v>
      </c>
      <c r="J52" s="507">
        <v>15</v>
      </c>
      <c r="K52" s="507"/>
      <c r="L52" s="507"/>
      <c r="M52" s="507"/>
      <c r="N52" s="507">
        <v>15</v>
      </c>
      <c r="O52" s="507">
        <v>240</v>
      </c>
      <c r="P52" s="507"/>
      <c r="Q52" s="507"/>
    </row>
    <row r="53" spans="1:18" s="15" customFormat="1" ht="24" customHeight="1">
      <c r="A53" s="42" t="s">
        <v>60</v>
      </c>
      <c r="B53" s="43" t="s">
        <v>64</v>
      </c>
      <c r="C53" s="504"/>
      <c r="D53" s="507">
        <v>10744</v>
      </c>
      <c r="E53" s="507">
        <f t="shared" si="11"/>
        <v>1500</v>
      </c>
      <c r="F53" s="507">
        <f t="shared" si="13"/>
        <v>9244</v>
      </c>
      <c r="G53" s="507">
        <v>920</v>
      </c>
      <c r="H53" s="507">
        <v>400</v>
      </c>
      <c r="I53" s="507">
        <v>4000</v>
      </c>
      <c r="J53" s="507">
        <v>1000</v>
      </c>
      <c r="K53" s="507">
        <v>500</v>
      </c>
      <c r="L53" s="507">
        <v>200</v>
      </c>
      <c r="M53" s="507">
        <v>750</v>
      </c>
      <c r="N53" s="507">
        <v>370</v>
      </c>
      <c r="O53" s="507">
        <v>284</v>
      </c>
      <c r="P53" s="507">
        <v>270</v>
      </c>
      <c r="Q53" s="507">
        <v>550</v>
      </c>
    </row>
    <row r="54" spans="1:18" s="15" customFormat="1" ht="24" customHeight="1">
      <c r="A54" s="25">
        <v>10</v>
      </c>
      <c r="B54" s="22" t="s">
        <v>65</v>
      </c>
      <c r="C54" s="503">
        <v>533000</v>
      </c>
      <c r="D54" s="503">
        <f>C54+837800</f>
        <v>1370800</v>
      </c>
      <c r="E54" s="503">
        <f t="shared" si="11"/>
        <v>1059000</v>
      </c>
      <c r="F54" s="503">
        <f>SUM(G54:Q54)</f>
        <v>311800</v>
      </c>
      <c r="G54" s="503">
        <v>41000</v>
      </c>
      <c r="H54" s="503">
        <v>30000</v>
      </c>
      <c r="I54" s="503">
        <v>110000</v>
      </c>
      <c r="J54" s="503">
        <v>41500</v>
      </c>
      <c r="K54" s="503">
        <v>15000</v>
      </c>
      <c r="L54" s="503">
        <v>27000</v>
      </c>
      <c r="M54" s="503">
        <v>12000</v>
      </c>
      <c r="N54" s="503">
        <v>13000</v>
      </c>
      <c r="O54" s="503">
        <v>3500</v>
      </c>
      <c r="P54" s="503">
        <v>3800</v>
      </c>
      <c r="Q54" s="503">
        <v>15000</v>
      </c>
    </row>
    <row r="55" spans="1:18" s="15" customFormat="1" ht="24" customHeight="1">
      <c r="A55" s="25">
        <v>11</v>
      </c>
      <c r="B55" s="22" t="s">
        <v>66</v>
      </c>
      <c r="C55" s="503">
        <v>40000</v>
      </c>
      <c r="D55" s="503">
        <f t="shared" si="1"/>
        <v>40000</v>
      </c>
      <c r="E55" s="503">
        <f t="shared" si="11"/>
        <v>540</v>
      </c>
      <c r="F55" s="503">
        <f>SUM(G55:Q55)</f>
        <v>39460</v>
      </c>
      <c r="G55" s="503">
        <v>4500</v>
      </c>
      <c r="H55" s="503">
        <v>1400</v>
      </c>
      <c r="I55" s="503">
        <v>22400</v>
      </c>
      <c r="J55" s="503">
        <v>3600</v>
      </c>
      <c r="K55" s="503">
        <v>4800</v>
      </c>
      <c r="L55" s="503">
        <v>300</v>
      </c>
      <c r="M55" s="503">
        <v>900</v>
      </c>
      <c r="N55" s="503">
        <v>430</v>
      </c>
      <c r="O55" s="503">
        <v>420</v>
      </c>
      <c r="P55" s="503">
        <v>230</v>
      </c>
      <c r="Q55" s="503">
        <v>480</v>
      </c>
    </row>
    <row r="56" spans="1:18" s="430" customFormat="1" ht="24" customHeight="1">
      <c r="A56" s="25">
        <v>12</v>
      </c>
      <c r="B56" s="22" t="s">
        <v>67</v>
      </c>
      <c r="C56" s="503">
        <v>200000</v>
      </c>
      <c r="D56" s="503">
        <f t="shared" si="1"/>
        <v>200000</v>
      </c>
      <c r="E56" s="503">
        <f t="shared" si="11"/>
        <v>89250</v>
      </c>
      <c r="F56" s="503">
        <f t="shared" si="13"/>
        <v>110750</v>
      </c>
      <c r="G56" s="503">
        <v>14600</v>
      </c>
      <c r="H56" s="503">
        <v>11700</v>
      </c>
      <c r="I56" s="503">
        <v>26100</v>
      </c>
      <c r="J56" s="503">
        <v>14000</v>
      </c>
      <c r="K56" s="503">
        <v>9900</v>
      </c>
      <c r="L56" s="503">
        <v>6000</v>
      </c>
      <c r="M56" s="503">
        <v>8320</v>
      </c>
      <c r="N56" s="503">
        <v>6100</v>
      </c>
      <c r="O56" s="503">
        <v>3730</v>
      </c>
      <c r="P56" s="503">
        <v>4200</v>
      </c>
      <c r="Q56" s="503">
        <v>6100</v>
      </c>
    </row>
    <row r="57" spans="1:18" s="430" customFormat="1" ht="24" customHeight="1">
      <c r="A57" s="48" t="s">
        <v>3</v>
      </c>
      <c r="B57" s="27" t="s">
        <v>68</v>
      </c>
      <c r="C57" s="504">
        <v>110000</v>
      </c>
      <c r="D57" s="504">
        <f>C57</f>
        <v>110000</v>
      </c>
      <c r="E57" s="504">
        <f>D57-F57</f>
        <v>43400</v>
      </c>
      <c r="F57" s="504">
        <f t="shared" si="13"/>
        <v>66600</v>
      </c>
      <c r="G57" s="510">
        <v>8700</v>
      </c>
      <c r="H57" s="510">
        <v>7380</v>
      </c>
      <c r="I57" s="510">
        <v>11500</v>
      </c>
      <c r="J57" s="510">
        <v>8000</v>
      </c>
      <c r="K57" s="510">
        <v>6700</v>
      </c>
      <c r="L57" s="510">
        <v>3670</v>
      </c>
      <c r="M57" s="510">
        <v>5050</v>
      </c>
      <c r="N57" s="510">
        <v>4600</v>
      </c>
      <c r="O57" s="510">
        <v>3050</v>
      </c>
      <c r="P57" s="510">
        <v>3700</v>
      </c>
      <c r="Q57" s="510">
        <v>4250</v>
      </c>
    </row>
    <row r="58" spans="1:18" s="430" customFormat="1" ht="24" customHeight="1">
      <c r="A58" s="48" t="s">
        <v>60</v>
      </c>
      <c r="B58" s="43" t="s">
        <v>69</v>
      </c>
      <c r="C58" s="507">
        <v>50000</v>
      </c>
      <c r="D58" s="507">
        <f t="shared" si="1"/>
        <v>50000</v>
      </c>
      <c r="E58" s="507">
        <f t="shared" si="11"/>
        <v>1500</v>
      </c>
      <c r="F58" s="507">
        <f t="shared" si="13"/>
        <v>48500</v>
      </c>
      <c r="G58" s="507">
        <v>7000</v>
      </c>
      <c r="H58" s="507">
        <v>6000</v>
      </c>
      <c r="I58" s="507">
        <v>7000</v>
      </c>
      <c r="J58" s="507">
        <v>4500</v>
      </c>
      <c r="K58" s="507">
        <v>5000</v>
      </c>
      <c r="L58" s="507">
        <v>3000</v>
      </c>
      <c r="M58" s="507">
        <v>4000</v>
      </c>
      <c r="N58" s="507">
        <v>3000</v>
      </c>
      <c r="O58" s="507">
        <v>2500</v>
      </c>
      <c r="P58" s="507">
        <v>3000</v>
      </c>
      <c r="Q58" s="507">
        <v>3500</v>
      </c>
    </row>
    <row r="59" spans="1:18" s="434" customFormat="1" ht="24" customHeight="1">
      <c r="A59" s="49" t="s">
        <v>60</v>
      </c>
      <c r="B59" s="43" t="s">
        <v>1088</v>
      </c>
      <c r="C59" s="507">
        <v>5000</v>
      </c>
      <c r="D59" s="507">
        <f t="shared" si="1"/>
        <v>5000</v>
      </c>
      <c r="E59" s="507">
        <f t="shared" si="11"/>
        <v>1400</v>
      </c>
      <c r="F59" s="507">
        <f t="shared" si="13"/>
        <v>3600</v>
      </c>
      <c r="G59" s="507">
        <v>400</v>
      </c>
      <c r="H59" s="507">
        <v>130</v>
      </c>
      <c r="I59" s="507">
        <v>1000</v>
      </c>
      <c r="J59" s="507">
        <v>1000</v>
      </c>
      <c r="K59" s="507">
        <v>300</v>
      </c>
      <c r="L59" s="507">
        <v>70</v>
      </c>
      <c r="M59" s="507">
        <v>250</v>
      </c>
      <c r="N59" s="507">
        <v>200</v>
      </c>
      <c r="O59" s="507">
        <v>50</v>
      </c>
      <c r="P59" s="507">
        <v>100</v>
      </c>
      <c r="Q59" s="507">
        <v>100</v>
      </c>
      <c r="R59" s="15"/>
    </row>
    <row r="60" spans="1:18" s="431" customFormat="1" ht="24" customHeight="1">
      <c r="A60" s="409" t="s">
        <v>276</v>
      </c>
      <c r="B60" s="27" t="s">
        <v>1387</v>
      </c>
      <c r="C60" s="504">
        <f>C56-C57</f>
        <v>90000</v>
      </c>
      <c r="D60" s="504">
        <f>C60</f>
        <v>90000</v>
      </c>
      <c r="E60" s="504">
        <f>E56-E57</f>
        <v>45850</v>
      </c>
      <c r="F60" s="504">
        <f t="shared" ref="F60:Q60" si="14">F56-F57</f>
        <v>44150</v>
      </c>
      <c r="G60" s="504">
        <f t="shared" si="14"/>
        <v>5900</v>
      </c>
      <c r="H60" s="504">
        <f t="shared" si="14"/>
        <v>4320</v>
      </c>
      <c r="I60" s="504">
        <f t="shared" si="14"/>
        <v>14600</v>
      </c>
      <c r="J60" s="504">
        <f t="shared" si="14"/>
        <v>6000</v>
      </c>
      <c r="K60" s="504">
        <f t="shared" si="14"/>
        <v>3200</v>
      </c>
      <c r="L60" s="504">
        <f t="shared" si="14"/>
        <v>2330</v>
      </c>
      <c r="M60" s="504">
        <f t="shared" si="14"/>
        <v>3270</v>
      </c>
      <c r="N60" s="504">
        <f t="shared" si="14"/>
        <v>1500</v>
      </c>
      <c r="O60" s="504">
        <f t="shared" si="14"/>
        <v>680</v>
      </c>
      <c r="P60" s="504">
        <f t="shared" si="14"/>
        <v>500</v>
      </c>
      <c r="Q60" s="504">
        <f t="shared" si="14"/>
        <v>1850</v>
      </c>
    </row>
    <row r="61" spans="1:18" s="434" customFormat="1" ht="24" customHeight="1">
      <c r="A61" s="452" t="s">
        <v>340</v>
      </c>
      <c r="B61" s="43" t="s">
        <v>1090</v>
      </c>
      <c r="C61" s="507">
        <v>10000</v>
      </c>
      <c r="D61" s="507">
        <f>C61</f>
        <v>10000</v>
      </c>
      <c r="E61" s="507">
        <f t="shared" si="11"/>
        <v>0</v>
      </c>
      <c r="F61" s="507">
        <f t="shared" si="13"/>
        <v>10000</v>
      </c>
      <c r="G61" s="507">
        <v>2180</v>
      </c>
      <c r="H61" s="507">
        <v>660</v>
      </c>
      <c r="I61" s="507">
        <v>70</v>
      </c>
      <c r="J61" s="507">
        <v>4010</v>
      </c>
      <c r="K61" s="507">
        <v>380</v>
      </c>
      <c r="L61" s="507">
        <v>180</v>
      </c>
      <c r="M61" s="507">
        <v>2320</v>
      </c>
      <c r="N61" s="507">
        <v>110</v>
      </c>
      <c r="O61" s="507">
        <v>50</v>
      </c>
      <c r="P61" s="507">
        <v>10</v>
      </c>
      <c r="Q61" s="507">
        <v>30</v>
      </c>
      <c r="R61" s="15"/>
    </row>
    <row r="62" spans="1:18" s="15" customFormat="1" ht="33.75" customHeight="1">
      <c r="A62" s="25">
        <v>13</v>
      </c>
      <c r="B62" s="22" t="s">
        <v>71</v>
      </c>
      <c r="C62" s="503">
        <v>42000</v>
      </c>
      <c r="D62" s="503">
        <f t="shared" si="1"/>
        <v>42000</v>
      </c>
      <c r="E62" s="503">
        <f t="shared" si="11"/>
        <v>0</v>
      </c>
      <c r="F62" s="503">
        <f>SUM(G62:Q62)</f>
        <v>42000</v>
      </c>
      <c r="G62" s="503">
        <v>14000</v>
      </c>
      <c r="H62" s="503">
        <v>5000</v>
      </c>
      <c r="I62" s="503">
        <v>300</v>
      </c>
      <c r="J62" s="503">
        <v>4000</v>
      </c>
      <c r="K62" s="503">
        <v>12210</v>
      </c>
      <c r="L62" s="503">
        <v>10</v>
      </c>
      <c r="M62" s="503">
        <v>1320</v>
      </c>
      <c r="N62" s="503">
        <v>4000</v>
      </c>
      <c r="O62" s="503">
        <v>250</v>
      </c>
      <c r="P62" s="503">
        <v>820</v>
      </c>
      <c r="Q62" s="503">
        <v>90</v>
      </c>
    </row>
    <row r="63" spans="1:18" s="15" customFormat="1" ht="24" customHeight="1">
      <c r="A63" s="25">
        <v>14</v>
      </c>
      <c r="B63" s="22" t="s">
        <v>72</v>
      </c>
      <c r="C63" s="503">
        <v>1000</v>
      </c>
      <c r="D63" s="503">
        <f t="shared" si="1"/>
        <v>1000</v>
      </c>
      <c r="E63" s="503">
        <f t="shared" si="11"/>
        <v>1000</v>
      </c>
      <c r="F63" s="503"/>
      <c r="G63" s="503"/>
      <c r="H63" s="503"/>
      <c r="I63" s="507"/>
      <c r="J63" s="503"/>
      <c r="K63" s="503"/>
      <c r="L63" s="503"/>
      <c r="M63" s="503"/>
      <c r="N63" s="503"/>
      <c r="O63" s="503"/>
      <c r="P63" s="503"/>
      <c r="Q63" s="503"/>
    </row>
    <row r="64" spans="1:18" s="15" customFormat="1" ht="24" customHeight="1">
      <c r="A64" s="25">
        <v>15</v>
      </c>
      <c r="B64" s="22" t="s">
        <v>73</v>
      </c>
      <c r="C64" s="503">
        <v>16000</v>
      </c>
      <c r="D64" s="503">
        <f t="shared" si="1"/>
        <v>16000</v>
      </c>
      <c r="E64" s="503">
        <f t="shared" si="11"/>
        <v>16000</v>
      </c>
      <c r="F64" s="503"/>
      <c r="G64" s="503"/>
      <c r="H64" s="503"/>
      <c r="I64" s="503"/>
      <c r="J64" s="503"/>
      <c r="K64" s="503"/>
      <c r="L64" s="503"/>
      <c r="M64" s="503"/>
      <c r="N64" s="503"/>
      <c r="O64" s="503"/>
      <c r="P64" s="503"/>
      <c r="Q64" s="503"/>
    </row>
    <row r="66" spans="3:3" ht="12.75">
      <c r="C66" s="453"/>
    </row>
    <row r="67" spans="3:3" ht="12.75">
      <c r="C67" s="52"/>
    </row>
    <row r="68" spans="3:3" ht="12.75">
      <c r="C68" s="52"/>
    </row>
    <row r="69" spans="3:3" ht="12.75">
      <c r="C69" s="52"/>
    </row>
  </sheetData>
  <mergeCells count="22">
    <mergeCell ref="A1:Q1"/>
    <mergeCell ref="A2:Q2"/>
    <mergeCell ref="E3:M3"/>
    <mergeCell ref="N3:Q3"/>
    <mergeCell ref="A4:A7"/>
    <mergeCell ref="B4:B7"/>
    <mergeCell ref="C4:C7"/>
    <mergeCell ref="D4:Q4"/>
    <mergeCell ref="F5:F7"/>
    <mergeCell ref="G5:G7"/>
    <mergeCell ref="H5:H7"/>
    <mergeCell ref="I5:I7"/>
    <mergeCell ref="D5:D7"/>
    <mergeCell ref="E5:E7"/>
    <mergeCell ref="N5:N7"/>
    <mergeCell ref="P5:P7"/>
    <mergeCell ref="Q5:Q7"/>
    <mergeCell ref="J5:J7"/>
    <mergeCell ref="K5:K7"/>
    <mergeCell ref="L5:L7"/>
    <mergeCell ref="M5:M7"/>
    <mergeCell ref="O5:O7"/>
  </mergeCells>
  <printOptions horizontalCentered="1"/>
  <pageMargins left="0.59055118110236227" right="0.19685039370078741" top="0.59055118110236227" bottom="0.59055118110236227" header="0.31496062992125984" footer="0.31496062992125984"/>
  <pageSetup paperSize="9" scale="70" orientation="landscape" r:id="rId1"/>
  <headerFooter>
    <oddFooter>&amp;C&amp;P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00FF"/>
  </sheetPr>
  <dimension ref="A1:AC73"/>
  <sheetViews>
    <sheetView topLeftCell="A3" workbookViewId="0">
      <pane xSplit="2" ySplit="8" topLeftCell="C65" activePane="bottomRight" state="frozen"/>
      <selection activeCell="A3" sqref="A3"/>
      <selection pane="topRight" activeCell="C3" sqref="C3"/>
      <selection pane="bottomLeft" activeCell="A11" sqref="A11"/>
      <selection pane="bottomRight" activeCell="D67" sqref="D67"/>
    </sheetView>
  </sheetViews>
  <sheetFormatPr defaultColWidth="11.625" defaultRowHeight="10.5"/>
  <cols>
    <col min="1" max="1" width="5.875" style="2" customWidth="1"/>
    <col min="2" max="2" width="41" style="2" customWidth="1"/>
    <col min="3" max="3" width="11" style="2" customWidth="1"/>
    <col min="4" max="7" width="10.125" style="3" customWidth="1"/>
    <col min="8" max="28" width="8.375" style="3" customWidth="1"/>
    <col min="29" max="29" width="8.375" style="2" customWidth="1"/>
    <col min="30" max="16384" width="11.625" style="2"/>
  </cols>
  <sheetData>
    <row r="1" spans="1:29" hidden="1"/>
    <row r="2" spans="1:29" hidden="1"/>
    <row r="3" spans="1:29" ht="18.75">
      <c r="A3" s="963" t="s">
        <v>1182</v>
      </c>
      <c r="B3" s="963"/>
      <c r="C3" s="963"/>
      <c r="D3" s="963"/>
      <c r="E3" s="963"/>
      <c r="F3" s="963"/>
      <c r="G3" s="963"/>
      <c r="H3" s="963"/>
      <c r="I3" s="963"/>
      <c r="J3" s="963"/>
      <c r="K3" s="963"/>
      <c r="L3" s="963"/>
      <c r="M3" s="963"/>
      <c r="N3" s="963"/>
      <c r="O3" s="963"/>
      <c r="P3" s="963"/>
      <c r="Q3" s="963"/>
      <c r="R3" s="963"/>
      <c r="S3" s="963"/>
      <c r="T3" s="963"/>
      <c r="U3" s="963"/>
      <c r="V3" s="963"/>
      <c r="W3" s="963"/>
      <c r="X3" s="963"/>
      <c r="Y3" s="963"/>
      <c r="Z3" s="963"/>
      <c r="AA3" s="963"/>
      <c r="AB3" s="963"/>
    </row>
    <row r="4" spans="1:29" ht="16.5">
      <c r="A4" s="964"/>
      <c r="B4" s="964"/>
      <c r="C4" s="964"/>
      <c r="D4" s="964"/>
      <c r="E4" s="964"/>
      <c r="F4" s="964"/>
      <c r="G4" s="964"/>
      <c r="H4" s="964"/>
      <c r="I4" s="964"/>
      <c r="J4" s="964"/>
      <c r="K4" s="964"/>
      <c r="L4" s="964"/>
      <c r="M4" s="964"/>
      <c r="N4" s="964"/>
      <c r="O4" s="964"/>
      <c r="P4" s="964"/>
      <c r="Q4" s="964"/>
      <c r="R4" s="964"/>
      <c r="S4" s="964"/>
      <c r="T4" s="964"/>
      <c r="U4" s="964"/>
      <c r="V4" s="964"/>
      <c r="W4" s="964"/>
      <c r="X4" s="964"/>
      <c r="Y4" s="964"/>
      <c r="Z4" s="964"/>
      <c r="AA4" s="964"/>
      <c r="AB4" s="964"/>
    </row>
    <row r="5" spans="1:29" ht="18" customHeight="1">
      <c r="A5" s="4"/>
      <c r="B5" s="4"/>
      <c r="C5" s="4"/>
      <c r="D5" s="4"/>
      <c r="E5" s="965"/>
      <c r="F5" s="965"/>
      <c r="G5" s="965"/>
      <c r="H5" s="965"/>
      <c r="I5" s="965"/>
      <c r="J5" s="965"/>
      <c r="K5" s="965"/>
      <c r="L5" s="965"/>
      <c r="M5" s="965"/>
      <c r="N5" s="965"/>
      <c r="O5" s="965"/>
      <c r="P5" s="965"/>
      <c r="Q5" s="965"/>
      <c r="R5" s="965"/>
      <c r="S5" s="965"/>
      <c r="T5" s="965"/>
      <c r="U5" s="5"/>
      <c r="V5" s="966" t="s">
        <v>9</v>
      </c>
      <c r="W5" s="966"/>
      <c r="X5" s="966"/>
      <c r="Y5" s="966"/>
      <c r="Z5" s="966"/>
      <c r="AA5" s="966"/>
      <c r="AB5" s="966"/>
    </row>
    <row r="6" spans="1:29" s="6" customFormat="1" ht="20.100000000000001" customHeight="1">
      <c r="A6" s="961" t="s">
        <v>10</v>
      </c>
      <c r="B6" s="961" t="s">
        <v>11</v>
      </c>
      <c r="C6" s="961" t="s">
        <v>12</v>
      </c>
      <c r="D6" s="973" t="s">
        <v>241</v>
      </c>
      <c r="E6" s="974"/>
      <c r="F6" s="974"/>
      <c r="G6" s="974"/>
      <c r="H6" s="974"/>
      <c r="I6" s="974"/>
      <c r="J6" s="974"/>
      <c r="K6" s="974"/>
      <c r="L6" s="974"/>
      <c r="M6" s="974"/>
      <c r="N6" s="974"/>
      <c r="O6" s="974"/>
      <c r="P6" s="974"/>
      <c r="Q6" s="974"/>
      <c r="R6" s="974"/>
      <c r="S6" s="974"/>
      <c r="T6" s="974"/>
      <c r="U6" s="974"/>
      <c r="V6" s="974"/>
      <c r="W6" s="974"/>
      <c r="X6" s="974"/>
      <c r="Y6" s="974"/>
      <c r="Z6" s="974"/>
      <c r="AA6" s="974"/>
      <c r="AB6" s="974"/>
      <c r="AC6" s="974"/>
    </row>
    <row r="7" spans="1:29" s="7" customFormat="1" ht="18" customHeight="1">
      <c r="A7" s="961"/>
      <c r="B7" s="962"/>
      <c r="C7" s="961"/>
      <c r="D7" s="961" t="s">
        <v>13</v>
      </c>
      <c r="E7" s="961" t="s">
        <v>14</v>
      </c>
      <c r="F7" s="961" t="s">
        <v>15</v>
      </c>
      <c r="G7" s="975" t="s">
        <v>74</v>
      </c>
      <c r="H7" s="971" t="s">
        <v>16</v>
      </c>
      <c r="I7" s="972"/>
      <c r="J7" s="971" t="s">
        <v>75</v>
      </c>
      <c r="K7" s="972"/>
      <c r="L7" s="971" t="s">
        <v>76</v>
      </c>
      <c r="M7" s="972"/>
      <c r="N7" s="971" t="s">
        <v>77</v>
      </c>
      <c r="O7" s="972"/>
      <c r="P7" s="971" t="s">
        <v>78</v>
      </c>
      <c r="Q7" s="972"/>
      <c r="R7" s="971" t="s">
        <v>79</v>
      </c>
      <c r="S7" s="972"/>
      <c r="T7" s="971" t="s">
        <v>80</v>
      </c>
      <c r="U7" s="972"/>
      <c r="V7" s="971" t="s">
        <v>81</v>
      </c>
      <c r="W7" s="972"/>
      <c r="X7" s="971" t="s">
        <v>82</v>
      </c>
      <c r="Y7" s="972"/>
      <c r="Z7" s="971" t="s">
        <v>83</v>
      </c>
      <c r="AA7" s="972"/>
      <c r="AB7" s="962" t="s">
        <v>84</v>
      </c>
      <c r="AC7" s="962"/>
    </row>
    <row r="8" spans="1:29" s="7" customFormat="1" ht="7.5" customHeight="1">
      <c r="A8" s="961"/>
      <c r="B8" s="962"/>
      <c r="C8" s="961"/>
      <c r="D8" s="962"/>
      <c r="E8" s="962"/>
      <c r="F8" s="962"/>
      <c r="G8" s="976"/>
      <c r="H8" s="961" t="s">
        <v>85</v>
      </c>
      <c r="I8" s="961" t="s">
        <v>86</v>
      </c>
      <c r="J8" s="961" t="s">
        <v>85</v>
      </c>
      <c r="K8" s="961" t="s">
        <v>86</v>
      </c>
      <c r="L8" s="961" t="s">
        <v>85</v>
      </c>
      <c r="M8" s="961" t="s">
        <v>86</v>
      </c>
      <c r="N8" s="961" t="s">
        <v>85</v>
      </c>
      <c r="O8" s="961" t="s">
        <v>86</v>
      </c>
      <c r="P8" s="961" t="s">
        <v>85</v>
      </c>
      <c r="Q8" s="961" t="s">
        <v>86</v>
      </c>
      <c r="R8" s="961" t="s">
        <v>85</v>
      </c>
      <c r="S8" s="961" t="s">
        <v>86</v>
      </c>
      <c r="T8" s="961" t="s">
        <v>85</v>
      </c>
      <c r="U8" s="961" t="s">
        <v>86</v>
      </c>
      <c r="V8" s="961" t="s">
        <v>85</v>
      </c>
      <c r="W8" s="961" t="s">
        <v>86</v>
      </c>
      <c r="X8" s="961" t="s">
        <v>85</v>
      </c>
      <c r="Y8" s="961" t="s">
        <v>86</v>
      </c>
      <c r="Z8" s="961" t="s">
        <v>85</v>
      </c>
      <c r="AA8" s="961" t="s">
        <v>86</v>
      </c>
      <c r="AB8" s="961" t="s">
        <v>85</v>
      </c>
      <c r="AC8" s="961" t="s">
        <v>86</v>
      </c>
    </row>
    <row r="9" spans="1:29" s="6" customFormat="1" ht="16.5" customHeight="1">
      <c r="A9" s="961"/>
      <c r="B9" s="962"/>
      <c r="C9" s="961"/>
      <c r="D9" s="962"/>
      <c r="E9" s="962"/>
      <c r="F9" s="962"/>
      <c r="G9" s="977"/>
      <c r="H9" s="961"/>
      <c r="I9" s="961"/>
      <c r="J9" s="961"/>
      <c r="K9" s="961"/>
      <c r="L9" s="961"/>
      <c r="M9" s="961"/>
      <c r="N9" s="961"/>
      <c r="O9" s="961"/>
      <c r="P9" s="961"/>
      <c r="Q9" s="961"/>
      <c r="R9" s="961"/>
      <c r="S9" s="961"/>
      <c r="T9" s="961"/>
      <c r="U9" s="961"/>
      <c r="V9" s="961"/>
      <c r="W9" s="961"/>
      <c r="X9" s="961"/>
      <c r="Y9" s="961"/>
      <c r="Z9" s="961"/>
      <c r="AA9" s="961"/>
      <c r="AB9" s="961"/>
      <c r="AC9" s="961"/>
    </row>
    <row r="10" spans="1:29" s="12" customFormat="1" ht="16.5" customHeight="1">
      <c r="A10" s="8" t="s">
        <v>27</v>
      </c>
      <c r="B10" s="9" t="s">
        <v>28</v>
      </c>
      <c r="C10" s="10">
        <v>1</v>
      </c>
      <c r="D10" s="11" t="s">
        <v>29</v>
      </c>
      <c r="E10" s="11">
        <v>3</v>
      </c>
      <c r="F10" s="11">
        <v>4</v>
      </c>
      <c r="G10" s="11">
        <v>5</v>
      </c>
      <c r="H10" s="10">
        <v>6</v>
      </c>
      <c r="I10" s="10">
        <v>7</v>
      </c>
      <c r="J10" s="10">
        <v>8</v>
      </c>
      <c r="K10" s="10">
        <v>9</v>
      </c>
      <c r="L10" s="10">
        <v>10</v>
      </c>
      <c r="M10" s="10">
        <v>11</v>
      </c>
      <c r="N10" s="10">
        <v>12</v>
      </c>
      <c r="O10" s="10">
        <v>13</v>
      </c>
      <c r="P10" s="10">
        <v>14</v>
      </c>
      <c r="Q10" s="10">
        <v>15</v>
      </c>
      <c r="R10" s="10">
        <v>16</v>
      </c>
      <c r="S10" s="10">
        <v>17</v>
      </c>
      <c r="T10" s="10">
        <v>18</v>
      </c>
      <c r="U10" s="10">
        <v>19</v>
      </c>
      <c r="V10" s="10">
        <v>20</v>
      </c>
      <c r="W10" s="10">
        <v>21</v>
      </c>
      <c r="X10" s="10">
        <v>22</v>
      </c>
      <c r="Y10" s="10">
        <v>23</v>
      </c>
      <c r="Z10" s="10">
        <v>24</v>
      </c>
      <c r="AA10" s="10">
        <v>25</v>
      </c>
      <c r="AB10" s="10">
        <v>26</v>
      </c>
      <c r="AC10" s="10">
        <v>27</v>
      </c>
    </row>
    <row r="11" spans="1:29" s="15" customFormat="1" ht="42" customHeight="1">
      <c r="A11" s="13" t="s">
        <v>27</v>
      </c>
      <c r="B11" s="1" t="s">
        <v>31</v>
      </c>
      <c r="C11" s="14">
        <f>C12+C19</f>
        <v>9100000</v>
      </c>
      <c r="D11" s="14">
        <f t="shared" ref="D11:E11" si="0">D12+D19</f>
        <v>9937800</v>
      </c>
      <c r="E11" s="14">
        <f t="shared" si="0"/>
        <v>8325900</v>
      </c>
      <c r="F11" s="14">
        <f>F12+F19</f>
        <v>1611900</v>
      </c>
      <c r="G11" s="14">
        <f>I11+K11+M11+O11+Q11+S11+U11+W11+Y11+AA11+AC11</f>
        <v>942590</v>
      </c>
      <c r="H11" s="14">
        <f>'B1'!G9</f>
        <v>195700</v>
      </c>
      <c r="I11" s="14">
        <f>I12+I19</f>
        <v>170820</v>
      </c>
      <c r="J11" s="14">
        <f>'B1'!H9</f>
        <v>73400</v>
      </c>
      <c r="K11" s="14">
        <f>K12+K19</f>
        <v>60360</v>
      </c>
      <c r="L11" s="14">
        <f>'B1'!I9</f>
        <v>389700</v>
      </c>
      <c r="M11" s="14">
        <f>M12+M19</f>
        <v>317130</v>
      </c>
      <c r="N11" s="14">
        <f>'B1'!J9</f>
        <v>499600</v>
      </c>
      <c r="O11" s="14">
        <f>O12+O19</f>
        <v>103590</v>
      </c>
      <c r="P11" s="14">
        <f>'B1'!K9</f>
        <v>96400</v>
      </c>
      <c r="Q11" s="14">
        <f>Q12+Q19</f>
        <v>52100</v>
      </c>
      <c r="R11" s="14">
        <f>'B1'!L9</f>
        <v>67500</v>
      </c>
      <c r="S11" s="14">
        <f>S12+S19</f>
        <v>63640</v>
      </c>
      <c r="T11" s="14">
        <f>'B1'!M9</f>
        <v>131600</v>
      </c>
      <c r="U11" s="14">
        <f>U12+U19</f>
        <v>38010</v>
      </c>
      <c r="V11" s="14">
        <f>'B1'!N9</f>
        <v>58500</v>
      </c>
      <c r="W11" s="14">
        <f>W12+W19</f>
        <v>49690</v>
      </c>
      <c r="X11" s="14">
        <f>'B1'!O9</f>
        <v>27800</v>
      </c>
      <c r="Y11" s="14">
        <f>Y12+Y19</f>
        <v>24450</v>
      </c>
      <c r="Z11" s="14">
        <f>'B1'!P9</f>
        <v>25400</v>
      </c>
      <c r="AA11" s="14">
        <f>AA12+AA19</f>
        <v>20870</v>
      </c>
      <c r="AB11" s="14">
        <f>'B1'!Q9</f>
        <v>46300</v>
      </c>
      <c r="AC11" s="14">
        <f>AC12+AC19</f>
        <v>41930</v>
      </c>
    </row>
    <row r="12" spans="1:29" s="15" customFormat="1" ht="31.5" customHeight="1">
      <c r="A12" s="1" t="s">
        <v>1</v>
      </c>
      <c r="B12" s="16" t="s">
        <v>32</v>
      </c>
      <c r="C12" s="14">
        <f>SUM(C13:C18)</f>
        <v>6450000</v>
      </c>
      <c r="D12" s="14">
        <f t="shared" ref="D12:D66" si="1">C12</f>
        <v>6450000</v>
      </c>
      <c r="E12" s="14">
        <f>'B1'!E10</f>
        <v>6450000</v>
      </c>
      <c r="F12" s="17"/>
      <c r="G12" s="17"/>
      <c r="H12" s="17">
        <f>'B1'!G10</f>
        <v>0</v>
      </c>
      <c r="I12" s="17"/>
      <c r="J12" s="17">
        <f>'B1'!H10</f>
        <v>0</v>
      </c>
      <c r="K12" s="17"/>
      <c r="L12" s="18">
        <f>'B1'!I10</f>
        <v>0</v>
      </c>
      <c r="M12" s="18"/>
      <c r="N12" s="17">
        <f>'B1'!J10</f>
        <v>0</v>
      </c>
      <c r="O12" s="17"/>
      <c r="P12" s="17">
        <f>'B1'!K10</f>
        <v>0</v>
      </c>
      <c r="Q12" s="17"/>
      <c r="R12" s="17">
        <f>'B1'!L10</f>
        <v>0</v>
      </c>
      <c r="S12" s="17"/>
      <c r="T12" s="17">
        <f>'B1'!M10</f>
        <v>0</v>
      </c>
      <c r="U12" s="17"/>
      <c r="V12" s="17">
        <f>'B1'!N10</f>
        <v>0</v>
      </c>
      <c r="W12" s="17"/>
      <c r="X12" s="17">
        <f>'B1'!O10</f>
        <v>0</v>
      </c>
      <c r="Y12" s="17"/>
      <c r="Z12" s="17">
        <f>'B1'!P10</f>
        <v>0</v>
      </c>
      <c r="AA12" s="17"/>
      <c r="AB12" s="17">
        <f>'B1'!Q10</f>
        <v>0</v>
      </c>
      <c r="AC12" s="17"/>
    </row>
    <row r="13" spans="1:29" s="15" customFormat="1" ht="22.5" customHeight="1">
      <c r="A13" s="19">
        <v>1</v>
      </c>
      <c r="B13" s="16" t="s">
        <v>33</v>
      </c>
      <c r="C13" s="14">
        <f>'B1'!C11</f>
        <v>4825000</v>
      </c>
      <c r="D13" s="14">
        <f t="shared" si="1"/>
        <v>4825000</v>
      </c>
      <c r="E13" s="14">
        <f>'B1'!E11</f>
        <v>4825000</v>
      </c>
      <c r="F13" s="17"/>
      <c r="G13" s="17"/>
      <c r="H13" s="17">
        <f>'B1'!G11</f>
        <v>0</v>
      </c>
      <c r="I13" s="17"/>
      <c r="J13" s="17">
        <f>'B1'!H11</f>
        <v>0</v>
      </c>
      <c r="K13" s="17"/>
      <c r="L13" s="18">
        <f>'B1'!I11</f>
        <v>0</v>
      </c>
      <c r="M13" s="18"/>
      <c r="N13" s="17">
        <f>'B1'!J11</f>
        <v>0</v>
      </c>
      <c r="O13" s="17"/>
      <c r="P13" s="17">
        <f>'B1'!K11</f>
        <v>0</v>
      </c>
      <c r="Q13" s="17"/>
      <c r="R13" s="17">
        <f>'B1'!L11</f>
        <v>0</v>
      </c>
      <c r="S13" s="17"/>
      <c r="T13" s="17">
        <f>'B1'!M11</f>
        <v>0</v>
      </c>
      <c r="U13" s="17"/>
      <c r="V13" s="17">
        <f>'B1'!N11</f>
        <v>0</v>
      </c>
      <c r="W13" s="17"/>
      <c r="X13" s="17">
        <f>'B1'!O11</f>
        <v>0</v>
      </c>
      <c r="Y13" s="17"/>
      <c r="Z13" s="17">
        <f>'B1'!P11</f>
        <v>0</v>
      </c>
      <c r="AA13" s="17"/>
      <c r="AB13" s="17">
        <f>'B1'!Q11</f>
        <v>0</v>
      </c>
      <c r="AC13" s="17"/>
    </row>
    <row r="14" spans="1:29" s="15" customFormat="1" ht="22.5" customHeight="1">
      <c r="A14" s="19">
        <v>2</v>
      </c>
      <c r="B14" s="16" t="s">
        <v>34</v>
      </c>
      <c r="C14" s="14">
        <f>'B1'!C12</f>
        <v>110000</v>
      </c>
      <c r="D14" s="14">
        <f t="shared" si="1"/>
        <v>110000</v>
      </c>
      <c r="E14" s="14">
        <f>'B1'!E12</f>
        <v>110000</v>
      </c>
      <c r="F14" s="17"/>
      <c r="G14" s="17"/>
      <c r="H14" s="17">
        <f>'B1'!G12</f>
        <v>0</v>
      </c>
      <c r="I14" s="17"/>
      <c r="J14" s="17">
        <f>'B1'!H12</f>
        <v>0</v>
      </c>
      <c r="K14" s="17"/>
      <c r="L14" s="18">
        <f>'B1'!I12</f>
        <v>0</v>
      </c>
      <c r="M14" s="18"/>
      <c r="N14" s="17">
        <f>'B1'!J12</f>
        <v>0</v>
      </c>
      <c r="O14" s="17"/>
      <c r="P14" s="17">
        <f>'B1'!K12</f>
        <v>0</v>
      </c>
      <c r="Q14" s="17"/>
      <c r="R14" s="17">
        <f>'B1'!L12</f>
        <v>0</v>
      </c>
      <c r="S14" s="17"/>
      <c r="T14" s="17">
        <f>'B1'!M12</f>
        <v>0</v>
      </c>
      <c r="U14" s="17"/>
      <c r="V14" s="17">
        <f>'B1'!N12</f>
        <v>0</v>
      </c>
      <c r="W14" s="17"/>
      <c r="X14" s="17">
        <f>'B1'!O12</f>
        <v>0</v>
      </c>
      <c r="Y14" s="17"/>
      <c r="Z14" s="17">
        <f>'B1'!P12</f>
        <v>0</v>
      </c>
      <c r="AA14" s="17"/>
      <c r="AB14" s="17">
        <f>'B1'!Q12</f>
        <v>0</v>
      </c>
      <c r="AC14" s="17"/>
    </row>
    <row r="15" spans="1:29" s="15" customFormat="1" ht="22.5" customHeight="1">
      <c r="A15" s="19">
        <v>3</v>
      </c>
      <c r="B15" s="16" t="s">
        <v>35</v>
      </c>
      <c r="C15" s="14">
        <f>'B1'!C13</f>
        <v>1464000</v>
      </c>
      <c r="D15" s="14">
        <f t="shared" si="1"/>
        <v>1464000</v>
      </c>
      <c r="E15" s="14">
        <f>'B1'!E13</f>
        <v>1464000</v>
      </c>
      <c r="F15" s="17"/>
      <c r="G15" s="17"/>
      <c r="H15" s="17">
        <f>'B1'!G13</f>
        <v>0</v>
      </c>
      <c r="I15" s="17"/>
      <c r="J15" s="17">
        <f>'B1'!H13</f>
        <v>0</v>
      </c>
      <c r="K15" s="17"/>
      <c r="L15" s="18">
        <f>'B1'!I13</f>
        <v>0</v>
      </c>
      <c r="M15" s="18"/>
      <c r="N15" s="17">
        <f>'B1'!J13</f>
        <v>0</v>
      </c>
      <c r="O15" s="17"/>
      <c r="P15" s="17">
        <f>'B1'!K13</f>
        <v>0</v>
      </c>
      <c r="Q15" s="17"/>
      <c r="R15" s="17">
        <f>'B1'!L13</f>
        <v>0</v>
      </c>
      <c r="S15" s="17"/>
      <c r="T15" s="17">
        <f>'B1'!M13</f>
        <v>0</v>
      </c>
      <c r="U15" s="17"/>
      <c r="V15" s="17">
        <f>'B1'!N13</f>
        <v>0</v>
      </c>
      <c r="W15" s="17"/>
      <c r="X15" s="17">
        <f>'B1'!O13</f>
        <v>0</v>
      </c>
      <c r="Y15" s="17"/>
      <c r="Z15" s="17">
        <f>'B1'!P13</f>
        <v>0</v>
      </c>
      <c r="AA15" s="17"/>
      <c r="AB15" s="17">
        <f>'B1'!Q13</f>
        <v>0</v>
      </c>
      <c r="AC15" s="17"/>
    </row>
    <row r="16" spans="1:29" s="15" customFormat="1" ht="22.5" customHeight="1">
      <c r="A16" s="19">
        <v>4</v>
      </c>
      <c r="B16" s="20" t="s">
        <v>36</v>
      </c>
      <c r="C16" s="14">
        <f>'B1'!C14</f>
        <v>30000</v>
      </c>
      <c r="D16" s="14">
        <f t="shared" si="1"/>
        <v>30000</v>
      </c>
      <c r="E16" s="14">
        <f>'B1'!E14</f>
        <v>30000</v>
      </c>
      <c r="F16" s="17"/>
      <c r="G16" s="17"/>
      <c r="H16" s="17">
        <f>'B1'!G14</f>
        <v>0</v>
      </c>
      <c r="I16" s="17"/>
      <c r="J16" s="17">
        <f>'B1'!H14</f>
        <v>0</v>
      </c>
      <c r="K16" s="17"/>
      <c r="L16" s="18">
        <f>'B1'!I14</f>
        <v>0</v>
      </c>
      <c r="M16" s="18"/>
      <c r="N16" s="17">
        <f>'B1'!J14</f>
        <v>0</v>
      </c>
      <c r="O16" s="17"/>
      <c r="P16" s="17">
        <f>'B1'!K14</f>
        <v>0</v>
      </c>
      <c r="Q16" s="17"/>
      <c r="R16" s="17">
        <f>'B1'!L14</f>
        <v>0</v>
      </c>
      <c r="S16" s="17"/>
      <c r="T16" s="17">
        <f>'B1'!M14</f>
        <v>0</v>
      </c>
      <c r="U16" s="17"/>
      <c r="V16" s="17">
        <f>'B1'!N14</f>
        <v>0</v>
      </c>
      <c r="W16" s="17"/>
      <c r="X16" s="17">
        <f>'B1'!O14</f>
        <v>0</v>
      </c>
      <c r="Y16" s="17"/>
      <c r="Z16" s="17">
        <f>'B1'!P14</f>
        <v>0</v>
      </c>
      <c r="AA16" s="17"/>
      <c r="AB16" s="17">
        <f>'B1'!Q14</f>
        <v>0</v>
      </c>
      <c r="AC16" s="17"/>
    </row>
    <row r="17" spans="1:29" s="15" customFormat="1" ht="22.5" customHeight="1">
      <c r="A17" s="19">
        <v>5</v>
      </c>
      <c r="B17" s="20" t="s">
        <v>37</v>
      </c>
      <c r="C17" s="14">
        <f>'B1'!C15</f>
        <v>1000</v>
      </c>
      <c r="D17" s="14">
        <f t="shared" si="1"/>
        <v>1000</v>
      </c>
      <c r="E17" s="14">
        <f>'B1'!E15</f>
        <v>1000</v>
      </c>
      <c r="F17" s="17"/>
      <c r="G17" s="17"/>
      <c r="H17" s="17">
        <f>'B1'!G15</f>
        <v>0</v>
      </c>
      <c r="I17" s="17"/>
      <c r="J17" s="17">
        <f>'B1'!H15</f>
        <v>0</v>
      </c>
      <c r="K17" s="17"/>
      <c r="L17" s="18">
        <f>'B1'!I15</f>
        <v>0</v>
      </c>
      <c r="M17" s="18"/>
      <c r="N17" s="17">
        <f>'B1'!J15</f>
        <v>0</v>
      </c>
      <c r="O17" s="17"/>
      <c r="P17" s="17">
        <f>'B1'!K15</f>
        <v>0</v>
      </c>
      <c r="Q17" s="17"/>
      <c r="R17" s="17">
        <f>'B1'!L15</f>
        <v>0</v>
      </c>
      <c r="S17" s="17"/>
      <c r="T17" s="17">
        <f>'B1'!M15</f>
        <v>0</v>
      </c>
      <c r="U17" s="17"/>
      <c r="V17" s="17">
        <f>'B1'!N15</f>
        <v>0</v>
      </c>
      <c r="W17" s="17"/>
      <c r="X17" s="17">
        <f>'B1'!O15</f>
        <v>0</v>
      </c>
      <c r="Y17" s="17"/>
      <c r="Z17" s="17">
        <f>'B1'!P15</f>
        <v>0</v>
      </c>
      <c r="AA17" s="17"/>
      <c r="AB17" s="17">
        <f>'B1'!Q15</f>
        <v>0</v>
      </c>
      <c r="AC17" s="17"/>
    </row>
    <row r="18" spans="1:29" s="15" customFormat="1" ht="22.5" customHeight="1">
      <c r="A18" s="19">
        <v>6</v>
      </c>
      <c r="B18" s="20" t="s">
        <v>38</v>
      </c>
      <c r="C18" s="14">
        <f>'B1'!C16</f>
        <v>20000</v>
      </c>
      <c r="D18" s="14">
        <f t="shared" si="1"/>
        <v>20000</v>
      </c>
      <c r="E18" s="14">
        <f>'B1'!E16</f>
        <v>20000</v>
      </c>
      <c r="F18" s="17"/>
      <c r="G18" s="17"/>
      <c r="H18" s="17">
        <f>'B1'!G16</f>
        <v>0</v>
      </c>
      <c r="I18" s="17"/>
      <c r="J18" s="17">
        <f>'B1'!H16</f>
        <v>0</v>
      </c>
      <c r="K18" s="17"/>
      <c r="L18" s="18">
        <f>'B1'!I16</f>
        <v>0</v>
      </c>
      <c r="M18" s="18"/>
      <c r="N18" s="17">
        <f>'B1'!J16</f>
        <v>0</v>
      </c>
      <c r="O18" s="17"/>
      <c r="P18" s="17">
        <f>'B1'!K16</f>
        <v>0</v>
      </c>
      <c r="Q18" s="17"/>
      <c r="R18" s="17">
        <f>'B1'!L16</f>
        <v>0</v>
      </c>
      <c r="S18" s="17"/>
      <c r="T18" s="17">
        <f>'B1'!M16</f>
        <v>0</v>
      </c>
      <c r="U18" s="17"/>
      <c r="V18" s="17">
        <f>'B1'!N16</f>
        <v>0</v>
      </c>
      <c r="W18" s="17"/>
      <c r="X18" s="17">
        <f>'B1'!O16</f>
        <v>0</v>
      </c>
      <c r="Y18" s="17"/>
      <c r="Z18" s="17">
        <f>'B1'!P16</f>
        <v>0</v>
      </c>
      <c r="AA18" s="17"/>
      <c r="AB18" s="17">
        <f>'B1'!Q16</f>
        <v>0</v>
      </c>
      <c r="AC18" s="17"/>
    </row>
    <row r="19" spans="1:29" s="23" customFormat="1" ht="21.95" customHeight="1">
      <c r="A19" s="21" t="s">
        <v>2</v>
      </c>
      <c r="B19" s="22" t="s">
        <v>39</v>
      </c>
      <c r="C19" s="14">
        <f>C23+C27+C31+C35+C41+C42+C43+C44+C48+C56+C57+C58+C64+C65+C66</f>
        <v>2650000</v>
      </c>
      <c r="D19" s="14">
        <f>D23+D27+D31+D35+D41+D42+D43+D44+D48+D56+D57+D58+D64+D65+D66</f>
        <v>3487800</v>
      </c>
      <c r="E19" s="14">
        <f>'B1'!E17</f>
        <v>1875900</v>
      </c>
      <c r="F19" s="14">
        <f>F23+F27+F31+F35+F41+F42+F43+F44+F48+F56+F57+F58+F64+F65+F66</f>
        <v>1611900</v>
      </c>
      <c r="G19" s="14">
        <f t="shared" ref="G19:G66" si="2">I19+K19+M19+O19+Q19+S19+U19+W19+Y19+AA19+AC19</f>
        <v>942590</v>
      </c>
      <c r="H19" s="14">
        <f>'B1'!G17</f>
        <v>195700</v>
      </c>
      <c r="I19" s="14">
        <f>I23+I27+I31+I35+I41+I42+I43+I44+I48+I56+I57+I58+I64+I65+I66</f>
        <v>170820</v>
      </c>
      <c r="J19" s="14">
        <f>'B1'!H17</f>
        <v>73400</v>
      </c>
      <c r="K19" s="14">
        <f>K23+K27+K31+K35+K41+K42+K43+K44+K48+K56+K57+K58+K64+K65+K66</f>
        <v>60360</v>
      </c>
      <c r="L19" s="14">
        <f>'B1'!I17</f>
        <v>389700</v>
      </c>
      <c r="M19" s="14">
        <f>M23+M27+M31+M35+M41+M42+M43+M44+M48+M56+M57+M58+M64+M65+M66</f>
        <v>317130</v>
      </c>
      <c r="N19" s="14">
        <f>'B1'!J17</f>
        <v>499600</v>
      </c>
      <c r="O19" s="14">
        <f>O23+O27+O31+O35+O41+O42+O43+O44+O48+O56+O57+O58+O64+O65+O66</f>
        <v>103590</v>
      </c>
      <c r="P19" s="14">
        <f>'B1'!K17</f>
        <v>96400</v>
      </c>
      <c r="Q19" s="14">
        <f>Q23+Q27+Q31+Q35+Q41+Q42+Q43+Q44+Q48+Q56+Q57+Q58+Q64+Q65+Q66</f>
        <v>52100</v>
      </c>
      <c r="R19" s="14">
        <f>'B1'!L17</f>
        <v>67500</v>
      </c>
      <c r="S19" s="14">
        <f>S23+S27+S31+S35+S41+S42+S43+S44+S48+S56+S57+S58+S64+S65+S66</f>
        <v>63640</v>
      </c>
      <c r="T19" s="14">
        <f>'B1'!M17</f>
        <v>131600</v>
      </c>
      <c r="U19" s="14">
        <f>U23+U27+U31+U35+U41+U42+U43+U44+U48+U56+U57+U58+U64+U65+U66</f>
        <v>38010</v>
      </c>
      <c r="V19" s="14">
        <f>'B1'!N17</f>
        <v>58500</v>
      </c>
      <c r="W19" s="14">
        <f>W23+W27+W31+W35+W41+W42+W43+W44+W48+W56+W57+W58+W64+W65+W66</f>
        <v>49690</v>
      </c>
      <c r="X19" s="14">
        <f>'B1'!O17</f>
        <v>27800</v>
      </c>
      <c r="Y19" s="14">
        <f>Y23+Y27+Y31+Y35+Y41+Y42+Y43+Y44+Y48+Y56+Y57+Y58+Y64+Y65+Y66</f>
        <v>24450</v>
      </c>
      <c r="Z19" s="14">
        <f>'B1'!P17</f>
        <v>25400</v>
      </c>
      <c r="AA19" s="14">
        <f>AA23+AA27+AA31+AA35+AA41+AA42+AA43+AA44+AA48+AA56+AA57+AA58+AA64+AA65+AA66</f>
        <v>20870</v>
      </c>
      <c r="AB19" s="14">
        <f>'B1'!Q17</f>
        <v>46300</v>
      </c>
      <c r="AC19" s="14">
        <f>AC23+AC27+AC31+AC35+AC41+AC42+AC43+AC44+AC48+AC56+AC57+AC58+AC64+AC65+AC66</f>
        <v>41930</v>
      </c>
    </row>
    <row r="20" spans="1:29" s="23" customFormat="1" ht="27.75" customHeight="1">
      <c r="A20" s="24" t="s">
        <v>3</v>
      </c>
      <c r="B20" s="22" t="s">
        <v>40</v>
      </c>
      <c r="C20" s="14">
        <f>C19-C56</f>
        <v>2117000</v>
      </c>
      <c r="D20" s="14">
        <f t="shared" si="1"/>
        <v>2117000</v>
      </c>
      <c r="E20" s="14">
        <f>'B1'!E18</f>
        <v>816900</v>
      </c>
      <c r="F20" s="14">
        <f>F19-F56</f>
        <v>1300100</v>
      </c>
      <c r="G20" s="14">
        <f t="shared" si="2"/>
        <v>630790</v>
      </c>
      <c r="H20" s="14">
        <f>'B1'!G18</f>
        <v>154700</v>
      </c>
      <c r="I20" s="14">
        <f>I19-I56</f>
        <v>129820</v>
      </c>
      <c r="J20" s="14">
        <f>'B1'!H18</f>
        <v>43400</v>
      </c>
      <c r="K20" s="14">
        <f>K19-K56</f>
        <v>30360</v>
      </c>
      <c r="L20" s="14">
        <f>'B1'!I18</f>
        <v>279700</v>
      </c>
      <c r="M20" s="14">
        <f>M19-M56</f>
        <v>207130</v>
      </c>
      <c r="N20" s="14">
        <f>'B1'!J18</f>
        <v>458100</v>
      </c>
      <c r="O20" s="14">
        <f>O19-O56</f>
        <v>62090</v>
      </c>
      <c r="P20" s="14">
        <f>'B1'!K18</f>
        <v>81400</v>
      </c>
      <c r="Q20" s="14">
        <f>Q19-Q56</f>
        <v>37100</v>
      </c>
      <c r="R20" s="14">
        <f>'B1'!L18</f>
        <v>40500</v>
      </c>
      <c r="S20" s="14">
        <f>S19-S56</f>
        <v>36640</v>
      </c>
      <c r="T20" s="14">
        <f>'B1'!M18</f>
        <v>119600</v>
      </c>
      <c r="U20" s="14">
        <f>U19-U56</f>
        <v>26010</v>
      </c>
      <c r="V20" s="14">
        <f>'B1'!N18</f>
        <v>45500</v>
      </c>
      <c r="W20" s="14">
        <f>W19-W56</f>
        <v>36690</v>
      </c>
      <c r="X20" s="14">
        <f>'B1'!O18</f>
        <v>24300</v>
      </c>
      <c r="Y20" s="14">
        <f>Y19-Y56</f>
        <v>20950</v>
      </c>
      <c r="Z20" s="14">
        <f>'B1'!P18</f>
        <v>21600</v>
      </c>
      <c r="AA20" s="14">
        <f>AA19-AA56</f>
        <v>17070</v>
      </c>
      <c r="AB20" s="14">
        <f>'B1'!Q18</f>
        <v>31300</v>
      </c>
      <c r="AC20" s="14">
        <f>AC19-AC56</f>
        <v>26930</v>
      </c>
    </row>
    <row r="21" spans="1:29" s="23" customFormat="1" ht="34.5" customHeight="1">
      <c r="A21" s="24" t="s">
        <v>3</v>
      </c>
      <c r="B21" s="22" t="s">
        <v>41</v>
      </c>
      <c r="C21" s="14">
        <f>C20-C66</f>
        <v>2101000</v>
      </c>
      <c r="D21" s="14">
        <f t="shared" si="1"/>
        <v>2101000</v>
      </c>
      <c r="E21" s="14">
        <f>'B1'!E19</f>
        <v>800900</v>
      </c>
      <c r="F21" s="14">
        <f>F20-F66</f>
        <v>1300100</v>
      </c>
      <c r="G21" s="14">
        <f t="shared" si="2"/>
        <v>630790</v>
      </c>
      <c r="H21" s="14">
        <f>'B1'!G19</f>
        <v>154700</v>
      </c>
      <c r="I21" s="14">
        <f>I20-I66</f>
        <v>129820</v>
      </c>
      <c r="J21" s="14">
        <f>'B1'!H19</f>
        <v>43400</v>
      </c>
      <c r="K21" s="14">
        <f>K20-K66</f>
        <v>30360</v>
      </c>
      <c r="L21" s="14">
        <f>'B1'!I19</f>
        <v>279700</v>
      </c>
      <c r="M21" s="14">
        <f>M20-M66</f>
        <v>207130</v>
      </c>
      <c r="N21" s="14">
        <f>'B1'!J19</f>
        <v>458100</v>
      </c>
      <c r="O21" s="14">
        <f>O20-O66</f>
        <v>62090</v>
      </c>
      <c r="P21" s="14">
        <f>'B1'!K19</f>
        <v>81400</v>
      </c>
      <c r="Q21" s="14">
        <f>Q20-Q66</f>
        <v>37100</v>
      </c>
      <c r="R21" s="14">
        <f>'B1'!L19</f>
        <v>40500</v>
      </c>
      <c r="S21" s="14">
        <f>S20-S66</f>
        <v>36640</v>
      </c>
      <c r="T21" s="14">
        <f>'B1'!M19</f>
        <v>119600</v>
      </c>
      <c r="U21" s="14">
        <f>U20-U66</f>
        <v>26010</v>
      </c>
      <c r="V21" s="14">
        <f>'B1'!N19</f>
        <v>45500</v>
      </c>
      <c r="W21" s="14">
        <f>W20-W66</f>
        <v>36690</v>
      </c>
      <c r="X21" s="14">
        <f>'B1'!O19</f>
        <v>24300</v>
      </c>
      <c r="Y21" s="14">
        <f>Y20-Y66</f>
        <v>20950</v>
      </c>
      <c r="Z21" s="14">
        <f>'B1'!P19</f>
        <v>21600</v>
      </c>
      <c r="AA21" s="14">
        <f>AA20-AA66</f>
        <v>17070</v>
      </c>
      <c r="AB21" s="14">
        <f>'B1'!Q19</f>
        <v>31300</v>
      </c>
      <c r="AC21" s="14">
        <f>AC20-AC66</f>
        <v>26930</v>
      </c>
    </row>
    <row r="22" spans="1:29" s="23" customFormat="1" ht="43.5" customHeight="1">
      <c r="A22" s="24" t="s">
        <v>3</v>
      </c>
      <c r="B22" s="22" t="s">
        <v>42</v>
      </c>
      <c r="C22" s="14">
        <f>C21-C51</f>
        <v>1576000</v>
      </c>
      <c r="D22" s="14">
        <f t="shared" si="1"/>
        <v>1576000</v>
      </c>
      <c r="E22" s="14">
        <f>'B1'!E20</f>
        <v>765900</v>
      </c>
      <c r="F22" s="14">
        <f>F21-F51</f>
        <v>810100</v>
      </c>
      <c r="G22" s="14">
        <f t="shared" si="2"/>
        <v>630790</v>
      </c>
      <c r="H22" s="14">
        <f>'B1'!G20</f>
        <v>154700</v>
      </c>
      <c r="I22" s="14">
        <f>I21-I51</f>
        <v>129820</v>
      </c>
      <c r="J22" s="14">
        <f>'B1'!H20</f>
        <v>43400</v>
      </c>
      <c r="K22" s="14">
        <f>K21-K51</f>
        <v>30360</v>
      </c>
      <c r="L22" s="14">
        <f>'B1'!I20</f>
        <v>279700</v>
      </c>
      <c r="M22" s="14">
        <f>M21-M51</f>
        <v>207130</v>
      </c>
      <c r="N22" s="14">
        <f>'B1'!J20</f>
        <v>78100</v>
      </c>
      <c r="O22" s="14">
        <f>O21-O51</f>
        <v>62090</v>
      </c>
      <c r="P22" s="14">
        <f>'B1'!K20</f>
        <v>56400</v>
      </c>
      <c r="Q22" s="14">
        <f>Q21-Q51</f>
        <v>37100</v>
      </c>
      <c r="R22" s="14">
        <f>'B1'!L20</f>
        <v>40500</v>
      </c>
      <c r="S22" s="14">
        <f>S21-S51</f>
        <v>36640</v>
      </c>
      <c r="T22" s="14">
        <f>'B1'!M20</f>
        <v>34700</v>
      </c>
      <c r="U22" s="14">
        <f>U21-U51</f>
        <v>26010</v>
      </c>
      <c r="V22" s="14">
        <f>'B1'!N20</f>
        <v>45400</v>
      </c>
      <c r="W22" s="14">
        <f>W21-W51</f>
        <v>36690</v>
      </c>
      <c r="X22" s="14">
        <f>'B1'!O20</f>
        <v>24300</v>
      </c>
      <c r="Y22" s="14">
        <f>Y21-Y51</f>
        <v>20950</v>
      </c>
      <c r="Z22" s="14">
        <f>'B1'!P20</f>
        <v>21600</v>
      </c>
      <c r="AA22" s="14">
        <f>AA21-AA51</f>
        <v>17070</v>
      </c>
      <c r="AB22" s="14">
        <f>'B1'!Q20</f>
        <v>31300</v>
      </c>
      <c r="AC22" s="14">
        <f>AC21-AC51</f>
        <v>26930</v>
      </c>
    </row>
    <row r="23" spans="1:29" s="23" customFormat="1" ht="43.5" customHeight="1">
      <c r="A23" s="25">
        <v>1</v>
      </c>
      <c r="B23" s="22" t="s">
        <v>43</v>
      </c>
      <c r="C23" s="14">
        <f>C24+C25+C26</f>
        <v>180000</v>
      </c>
      <c r="D23" s="14">
        <f t="shared" si="1"/>
        <v>180000</v>
      </c>
      <c r="E23" s="14">
        <f>'B1'!E21</f>
        <v>180000</v>
      </c>
      <c r="F23" s="14"/>
      <c r="G23" s="14">
        <f t="shared" si="2"/>
        <v>0</v>
      </c>
      <c r="H23" s="14">
        <f>'B1'!G21</f>
        <v>0</v>
      </c>
      <c r="I23" s="14"/>
      <c r="J23" s="14">
        <f>'B1'!H21</f>
        <v>0</v>
      </c>
      <c r="K23" s="14"/>
      <c r="L23" s="14">
        <f>'B1'!I21</f>
        <v>0</v>
      </c>
      <c r="M23" s="14"/>
      <c r="N23" s="14">
        <f>'B1'!J21</f>
        <v>0</v>
      </c>
      <c r="O23" s="14"/>
      <c r="P23" s="14">
        <f>'B1'!K21</f>
        <v>0</v>
      </c>
      <c r="Q23" s="14"/>
      <c r="R23" s="14">
        <f>'B1'!L21</f>
        <v>0</v>
      </c>
      <c r="S23" s="14"/>
      <c r="T23" s="14">
        <f>'B1'!M21</f>
        <v>0</v>
      </c>
      <c r="U23" s="14"/>
      <c r="V23" s="14">
        <f>'B1'!N21</f>
        <v>0</v>
      </c>
      <c r="W23" s="14"/>
      <c r="X23" s="14">
        <f>'B1'!O21</f>
        <v>0</v>
      </c>
      <c r="Y23" s="14"/>
      <c r="Z23" s="14">
        <f>'B1'!P21</f>
        <v>0</v>
      </c>
      <c r="AA23" s="14"/>
      <c r="AB23" s="14">
        <f>'B1'!Q21</f>
        <v>0</v>
      </c>
      <c r="AC23" s="14"/>
    </row>
    <row r="24" spans="1:29" s="29" customFormat="1" ht="19.5" customHeight="1">
      <c r="A24" s="26" t="s">
        <v>3</v>
      </c>
      <c r="B24" s="27" t="s">
        <v>44</v>
      </c>
      <c r="C24" s="28">
        <f>'B1'!C22</f>
        <v>110000</v>
      </c>
      <c r="D24" s="28">
        <f t="shared" si="1"/>
        <v>110000</v>
      </c>
      <c r="E24" s="28">
        <f>'B1'!E22</f>
        <v>110000</v>
      </c>
      <c r="F24" s="28"/>
      <c r="G24" s="28">
        <f t="shared" si="2"/>
        <v>0</v>
      </c>
      <c r="H24" s="28">
        <f>'B1'!G22</f>
        <v>0</v>
      </c>
      <c r="I24" s="28"/>
      <c r="J24" s="28">
        <f>'B1'!H22</f>
        <v>0</v>
      </c>
      <c r="K24" s="28"/>
      <c r="L24" s="28">
        <f>'B1'!I22</f>
        <v>0</v>
      </c>
      <c r="M24" s="28"/>
      <c r="N24" s="28">
        <f>'B1'!J22</f>
        <v>0</v>
      </c>
      <c r="O24" s="28"/>
      <c r="P24" s="28">
        <f>'B1'!K22</f>
        <v>0</v>
      </c>
      <c r="Q24" s="28"/>
      <c r="R24" s="28">
        <f>'B1'!L22</f>
        <v>0</v>
      </c>
      <c r="S24" s="28"/>
      <c r="T24" s="28">
        <f>'B1'!M22</f>
        <v>0</v>
      </c>
      <c r="U24" s="28"/>
      <c r="V24" s="28">
        <f>'B1'!N22</f>
        <v>0</v>
      </c>
      <c r="W24" s="28"/>
      <c r="X24" s="28">
        <f>'B1'!O22</f>
        <v>0</v>
      </c>
      <c r="Y24" s="28"/>
      <c r="Z24" s="28">
        <f>'B1'!P22</f>
        <v>0</v>
      </c>
      <c r="AA24" s="28"/>
      <c r="AB24" s="28">
        <f>'B1'!Q22</f>
        <v>0</v>
      </c>
      <c r="AC24" s="28"/>
    </row>
    <row r="25" spans="1:29" s="29" customFormat="1" ht="19.5" customHeight="1">
      <c r="A25" s="26" t="s">
        <v>3</v>
      </c>
      <c r="B25" s="27" t="s">
        <v>45</v>
      </c>
      <c r="C25" s="28">
        <f>'B1'!C23</f>
        <v>15000</v>
      </c>
      <c r="D25" s="28">
        <f t="shared" si="1"/>
        <v>15000</v>
      </c>
      <c r="E25" s="28">
        <f>'B1'!E23</f>
        <v>15000</v>
      </c>
      <c r="F25" s="28"/>
      <c r="G25" s="28">
        <f t="shared" si="2"/>
        <v>0</v>
      </c>
      <c r="H25" s="28">
        <f>'B1'!G23</f>
        <v>0</v>
      </c>
      <c r="I25" s="28"/>
      <c r="J25" s="28">
        <f>'B1'!H23</f>
        <v>0</v>
      </c>
      <c r="K25" s="28"/>
      <c r="L25" s="28">
        <f>'B1'!I23</f>
        <v>0</v>
      </c>
      <c r="M25" s="28"/>
      <c r="N25" s="28">
        <f>'B1'!J23</f>
        <v>0</v>
      </c>
      <c r="O25" s="28"/>
      <c r="P25" s="28">
        <f>'B1'!K23</f>
        <v>0</v>
      </c>
      <c r="Q25" s="28"/>
      <c r="R25" s="28">
        <f>'B1'!L23</f>
        <v>0</v>
      </c>
      <c r="S25" s="28"/>
      <c r="T25" s="28">
        <f>'B1'!M23</f>
        <v>0</v>
      </c>
      <c r="U25" s="28"/>
      <c r="V25" s="28">
        <f>'B1'!N23</f>
        <v>0</v>
      </c>
      <c r="W25" s="28"/>
      <c r="X25" s="28">
        <f>'B1'!O23</f>
        <v>0</v>
      </c>
      <c r="Y25" s="28"/>
      <c r="Z25" s="28">
        <f>'B1'!P23</f>
        <v>0</v>
      </c>
      <c r="AA25" s="28"/>
      <c r="AB25" s="28">
        <f>'B1'!Q23</f>
        <v>0</v>
      </c>
      <c r="AC25" s="28"/>
    </row>
    <row r="26" spans="1:29" s="29" customFormat="1" ht="19.5" customHeight="1">
      <c r="A26" s="26" t="s">
        <v>3</v>
      </c>
      <c r="B26" s="27" t="s">
        <v>46</v>
      </c>
      <c r="C26" s="28">
        <f>'B1'!C24</f>
        <v>55000</v>
      </c>
      <c r="D26" s="28">
        <f t="shared" si="1"/>
        <v>55000</v>
      </c>
      <c r="E26" s="28">
        <f>'B1'!E24</f>
        <v>55000</v>
      </c>
      <c r="F26" s="28"/>
      <c r="G26" s="28">
        <f t="shared" si="2"/>
        <v>0</v>
      </c>
      <c r="H26" s="28">
        <f>'B1'!G24</f>
        <v>0</v>
      </c>
      <c r="I26" s="28"/>
      <c r="J26" s="28">
        <f>'B1'!H24</f>
        <v>0</v>
      </c>
      <c r="K26" s="28"/>
      <c r="L26" s="28">
        <f>'B1'!I24</f>
        <v>0</v>
      </c>
      <c r="M26" s="28"/>
      <c r="N26" s="28">
        <f>'B1'!J24</f>
        <v>0</v>
      </c>
      <c r="O26" s="28"/>
      <c r="P26" s="28">
        <f>'B1'!K24</f>
        <v>0</v>
      </c>
      <c r="Q26" s="28"/>
      <c r="R26" s="28">
        <f>'B1'!L24</f>
        <v>0</v>
      </c>
      <c r="S26" s="28"/>
      <c r="T26" s="28">
        <f>'B1'!M24</f>
        <v>0</v>
      </c>
      <c r="U26" s="28"/>
      <c r="V26" s="28">
        <f>'B1'!N24</f>
        <v>0</v>
      </c>
      <c r="W26" s="28"/>
      <c r="X26" s="28">
        <f>'B1'!O24</f>
        <v>0</v>
      </c>
      <c r="Y26" s="28"/>
      <c r="Z26" s="28">
        <f>'B1'!P24</f>
        <v>0</v>
      </c>
      <c r="AA26" s="28"/>
      <c r="AB26" s="28">
        <f>'B1'!Q24</f>
        <v>0</v>
      </c>
      <c r="AC26" s="28"/>
    </row>
    <row r="27" spans="1:29" s="23" customFormat="1" ht="43.5" customHeight="1">
      <c r="A27" s="25">
        <v>2</v>
      </c>
      <c r="B27" s="22" t="s">
        <v>47</v>
      </c>
      <c r="C27" s="14">
        <f>C28+C29+C30</f>
        <v>33000</v>
      </c>
      <c r="D27" s="14">
        <f t="shared" si="1"/>
        <v>33000</v>
      </c>
      <c r="E27" s="14">
        <f>'B1'!E25</f>
        <v>33000</v>
      </c>
      <c r="F27" s="14"/>
      <c r="G27" s="14">
        <f t="shared" si="2"/>
        <v>0</v>
      </c>
      <c r="H27" s="14">
        <f>'B1'!G25</f>
        <v>0</v>
      </c>
      <c r="I27" s="14"/>
      <c r="J27" s="14">
        <f>'B1'!H25</f>
        <v>0</v>
      </c>
      <c r="K27" s="14"/>
      <c r="L27" s="14">
        <f>'B1'!I25</f>
        <v>0</v>
      </c>
      <c r="M27" s="14"/>
      <c r="N27" s="14">
        <f>'B1'!J25</f>
        <v>0</v>
      </c>
      <c r="O27" s="14"/>
      <c r="P27" s="14">
        <f>'B1'!K25</f>
        <v>0</v>
      </c>
      <c r="Q27" s="14"/>
      <c r="R27" s="14">
        <f>'B1'!L25</f>
        <v>0</v>
      </c>
      <c r="S27" s="14"/>
      <c r="T27" s="14">
        <f>'B1'!M25</f>
        <v>0</v>
      </c>
      <c r="U27" s="14"/>
      <c r="V27" s="14">
        <f>'B1'!N25</f>
        <v>0</v>
      </c>
      <c r="W27" s="14"/>
      <c r="X27" s="14">
        <f>'B1'!O25</f>
        <v>0</v>
      </c>
      <c r="Y27" s="14"/>
      <c r="Z27" s="14">
        <f>'B1'!P25</f>
        <v>0</v>
      </c>
      <c r="AA27" s="14"/>
      <c r="AB27" s="14">
        <f>'B1'!Q25</f>
        <v>0</v>
      </c>
      <c r="AC27" s="14"/>
    </row>
    <row r="28" spans="1:29" s="29" customFormat="1" ht="22.5" customHeight="1">
      <c r="A28" s="26" t="s">
        <v>3</v>
      </c>
      <c r="B28" s="27" t="s">
        <v>44</v>
      </c>
      <c r="C28" s="28">
        <f>'B1'!C26</f>
        <v>19300</v>
      </c>
      <c r="D28" s="28">
        <f t="shared" si="1"/>
        <v>19300</v>
      </c>
      <c r="E28" s="28">
        <f>'B1'!E26</f>
        <v>19300</v>
      </c>
      <c r="F28" s="28"/>
      <c r="G28" s="28">
        <f t="shared" si="2"/>
        <v>0</v>
      </c>
      <c r="H28" s="28">
        <f>'B1'!G26</f>
        <v>0</v>
      </c>
      <c r="I28" s="28"/>
      <c r="J28" s="28">
        <f>'B1'!H26</f>
        <v>0</v>
      </c>
      <c r="K28" s="28"/>
      <c r="L28" s="28">
        <f>'B1'!I26</f>
        <v>0</v>
      </c>
      <c r="M28" s="28"/>
      <c r="N28" s="28">
        <f>'B1'!J26</f>
        <v>0</v>
      </c>
      <c r="O28" s="28"/>
      <c r="P28" s="28">
        <f>'B1'!K26</f>
        <v>0</v>
      </c>
      <c r="Q28" s="28"/>
      <c r="R28" s="28">
        <f>'B1'!L26</f>
        <v>0</v>
      </c>
      <c r="S28" s="28"/>
      <c r="T28" s="28">
        <f>'B1'!M26</f>
        <v>0</v>
      </c>
      <c r="U28" s="28"/>
      <c r="V28" s="28">
        <f>'B1'!N26</f>
        <v>0</v>
      </c>
      <c r="W28" s="28"/>
      <c r="X28" s="28">
        <f>'B1'!O26</f>
        <v>0</v>
      </c>
      <c r="Y28" s="28"/>
      <c r="Z28" s="28">
        <f>'B1'!P26</f>
        <v>0</v>
      </c>
      <c r="AA28" s="28"/>
      <c r="AB28" s="28">
        <f>'B1'!Q26</f>
        <v>0</v>
      </c>
      <c r="AC28" s="28"/>
    </row>
    <row r="29" spans="1:29" s="29" customFormat="1" ht="22.5" customHeight="1">
      <c r="A29" s="26" t="s">
        <v>3</v>
      </c>
      <c r="B29" s="27" t="s">
        <v>45</v>
      </c>
      <c r="C29" s="28">
        <f>'B1'!C27</f>
        <v>10500</v>
      </c>
      <c r="D29" s="28">
        <f t="shared" si="1"/>
        <v>10500</v>
      </c>
      <c r="E29" s="28">
        <f>'B1'!E27</f>
        <v>10500</v>
      </c>
      <c r="F29" s="28"/>
      <c r="G29" s="28">
        <f t="shared" si="2"/>
        <v>0</v>
      </c>
      <c r="H29" s="28">
        <f>'B1'!G27</f>
        <v>0</v>
      </c>
      <c r="I29" s="28"/>
      <c r="J29" s="28">
        <f>'B1'!H27</f>
        <v>0</v>
      </c>
      <c r="K29" s="28"/>
      <c r="L29" s="28">
        <f>'B1'!I27</f>
        <v>0</v>
      </c>
      <c r="M29" s="28"/>
      <c r="N29" s="28">
        <f>'B1'!J27</f>
        <v>0</v>
      </c>
      <c r="O29" s="28"/>
      <c r="P29" s="28">
        <f>'B1'!K27</f>
        <v>0</v>
      </c>
      <c r="Q29" s="28"/>
      <c r="R29" s="28">
        <f>'B1'!L27</f>
        <v>0</v>
      </c>
      <c r="S29" s="28"/>
      <c r="T29" s="28">
        <f>'B1'!M27</f>
        <v>0</v>
      </c>
      <c r="U29" s="28"/>
      <c r="V29" s="28">
        <f>'B1'!N27</f>
        <v>0</v>
      </c>
      <c r="W29" s="28"/>
      <c r="X29" s="28">
        <f>'B1'!O27</f>
        <v>0</v>
      </c>
      <c r="Y29" s="28"/>
      <c r="Z29" s="28">
        <f>'B1'!P27</f>
        <v>0</v>
      </c>
      <c r="AA29" s="28"/>
      <c r="AB29" s="28">
        <f>'B1'!Q27</f>
        <v>0</v>
      </c>
      <c r="AC29" s="28"/>
    </row>
    <row r="30" spans="1:29" s="29" customFormat="1" ht="22.5" customHeight="1">
      <c r="A30" s="26" t="s">
        <v>3</v>
      </c>
      <c r="B30" s="27" t="s">
        <v>46</v>
      </c>
      <c r="C30" s="28">
        <f>'B1'!C28</f>
        <v>3200</v>
      </c>
      <c r="D30" s="28">
        <f t="shared" si="1"/>
        <v>3200</v>
      </c>
      <c r="E30" s="28">
        <f>'B1'!E28</f>
        <v>3200</v>
      </c>
      <c r="F30" s="28"/>
      <c r="G30" s="28">
        <f t="shared" si="2"/>
        <v>0</v>
      </c>
      <c r="H30" s="28">
        <f>'B1'!G28</f>
        <v>0</v>
      </c>
      <c r="I30" s="28"/>
      <c r="J30" s="28">
        <f>'B1'!H28</f>
        <v>0</v>
      </c>
      <c r="K30" s="28"/>
      <c r="L30" s="28">
        <f>'B1'!I28</f>
        <v>0</v>
      </c>
      <c r="M30" s="28"/>
      <c r="N30" s="28">
        <f>'B1'!J28</f>
        <v>0</v>
      </c>
      <c r="O30" s="28"/>
      <c r="P30" s="28">
        <f>'B1'!K28</f>
        <v>0</v>
      </c>
      <c r="Q30" s="28"/>
      <c r="R30" s="28">
        <f>'B1'!L28</f>
        <v>0</v>
      </c>
      <c r="S30" s="28"/>
      <c r="T30" s="28">
        <f>'B1'!M28</f>
        <v>0</v>
      </c>
      <c r="U30" s="28"/>
      <c r="V30" s="28">
        <f>'B1'!N28</f>
        <v>0</v>
      </c>
      <c r="W30" s="28"/>
      <c r="X30" s="28">
        <f>'B1'!O28</f>
        <v>0</v>
      </c>
      <c r="Y30" s="28"/>
      <c r="Z30" s="28">
        <f>'B1'!P28</f>
        <v>0</v>
      </c>
      <c r="AA30" s="28"/>
      <c r="AB30" s="28">
        <f>'B1'!Q28</f>
        <v>0</v>
      </c>
      <c r="AC30" s="28"/>
    </row>
    <row r="31" spans="1:29" s="23" customFormat="1" ht="37.5" customHeight="1">
      <c r="A31" s="25">
        <v>3</v>
      </c>
      <c r="B31" s="22" t="s">
        <v>48</v>
      </c>
      <c r="C31" s="30">
        <f>C32+C33+C34</f>
        <v>7000</v>
      </c>
      <c r="D31" s="30">
        <f t="shared" si="1"/>
        <v>7000</v>
      </c>
      <c r="E31" s="30">
        <f>'B1'!E29</f>
        <v>7000</v>
      </c>
      <c r="F31" s="30"/>
      <c r="G31" s="30">
        <f t="shared" si="2"/>
        <v>0</v>
      </c>
      <c r="H31" s="30">
        <f>'B1'!G29</f>
        <v>0</v>
      </c>
      <c r="I31" s="30"/>
      <c r="J31" s="30">
        <f>'B1'!H29</f>
        <v>0</v>
      </c>
      <c r="K31" s="30"/>
      <c r="L31" s="30">
        <f>'B1'!I29</f>
        <v>0</v>
      </c>
      <c r="M31" s="30"/>
      <c r="N31" s="30">
        <f>'B1'!J29</f>
        <v>0</v>
      </c>
      <c r="O31" s="30"/>
      <c r="P31" s="30">
        <f>'B1'!K29</f>
        <v>0</v>
      </c>
      <c r="Q31" s="30"/>
      <c r="R31" s="30">
        <f>'B1'!L29</f>
        <v>0</v>
      </c>
      <c r="S31" s="30"/>
      <c r="T31" s="30">
        <f>'B1'!M29</f>
        <v>0</v>
      </c>
      <c r="U31" s="30"/>
      <c r="V31" s="30">
        <f>'B1'!N29</f>
        <v>0</v>
      </c>
      <c r="W31" s="30"/>
      <c r="X31" s="30">
        <f>'B1'!O29</f>
        <v>0</v>
      </c>
      <c r="Y31" s="30"/>
      <c r="Z31" s="30">
        <f>'B1'!P29</f>
        <v>0</v>
      </c>
      <c r="AA31" s="30"/>
      <c r="AB31" s="30">
        <f>'B1'!Q29</f>
        <v>0</v>
      </c>
      <c r="AC31" s="30"/>
    </row>
    <row r="32" spans="1:29" s="29" customFormat="1" ht="18.75" customHeight="1">
      <c r="A32" s="26" t="s">
        <v>3</v>
      </c>
      <c r="B32" s="27" t="s">
        <v>44</v>
      </c>
      <c r="C32" s="31">
        <f>'B1'!C30</f>
        <v>1500</v>
      </c>
      <c r="D32" s="28">
        <f t="shared" si="1"/>
        <v>1500</v>
      </c>
      <c r="E32" s="28">
        <f>'B1'!E30</f>
        <v>1500</v>
      </c>
      <c r="F32" s="28"/>
      <c r="G32" s="28">
        <f t="shared" si="2"/>
        <v>0</v>
      </c>
      <c r="H32" s="28">
        <f>'B1'!G30</f>
        <v>0</v>
      </c>
      <c r="I32" s="28"/>
      <c r="J32" s="28">
        <f>'B1'!H30</f>
        <v>0</v>
      </c>
      <c r="K32" s="28"/>
      <c r="L32" s="28">
        <f>'B1'!I30</f>
        <v>0</v>
      </c>
      <c r="M32" s="28"/>
      <c r="N32" s="28">
        <f>'B1'!J30</f>
        <v>0</v>
      </c>
      <c r="O32" s="28"/>
      <c r="P32" s="28">
        <f>'B1'!K30</f>
        <v>0</v>
      </c>
      <c r="Q32" s="28"/>
      <c r="R32" s="28">
        <f>'B1'!L30</f>
        <v>0</v>
      </c>
      <c r="S32" s="28"/>
      <c r="T32" s="28">
        <f>'B1'!M30</f>
        <v>0</v>
      </c>
      <c r="U32" s="28"/>
      <c r="V32" s="28">
        <f>'B1'!N30</f>
        <v>0</v>
      </c>
      <c r="W32" s="28"/>
      <c r="X32" s="28">
        <f>'B1'!O30</f>
        <v>0</v>
      </c>
      <c r="Y32" s="28"/>
      <c r="Z32" s="28">
        <f>'B1'!P30</f>
        <v>0</v>
      </c>
      <c r="AA32" s="28"/>
      <c r="AB32" s="28">
        <f>'B1'!Q30</f>
        <v>0</v>
      </c>
      <c r="AC32" s="28"/>
    </row>
    <row r="33" spans="1:29" s="29" customFormat="1" ht="18.75" customHeight="1">
      <c r="A33" s="26" t="s">
        <v>3</v>
      </c>
      <c r="B33" s="27" t="s">
        <v>45</v>
      </c>
      <c r="C33" s="31">
        <f>'B1'!C31</f>
        <v>5500</v>
      </c>
      <c r="D33" s="28">
        <f t="shared" si="1"/>
        <v>5500</v>
      </c>
      <c r="E33" s="28">
        <f>'B1'!E31</f>
        <v>5500</v>
      </c>
      <c r="F33" s="28"/>
      <c r="G33" s="28">
        <f t="shared" si="2"/>
        <v>0</v>
      </c>
      <c r="H33" s="28">
        <f>'B1'!G31</f>
        <v>0</v>
      </c>
      <c r="I33" s="28"/>
      <c r="J33" s="28">
        <f>'B1'!H31</f>
        <v>0</v>
      </c>
      <c r="K33" s="28"/>
      <c r="L33" s="28">
        <f>'B1'!I31</f>
        <v>0</v>
      </c>
      <c r="M33" s="28"/>
      <c r="N33" s="28">
        <f>'B1'!J31</f>
        <v>0</v>
      </c>
      <c r="O33" s="28"/>
      <c r="P33" s="28">
        <f>'B1'!K31</f>
        <v>0</v>
      </c>
      <c r="Q33" s="28"/>
      <c r="R33" s="28">
        <f>'B1'!L31</f>
        <v>0</v>
      </c>
      <c r="S33" s="28"/>
      <c r="T33" s="28">
        <f>'B1'!M31</f>
        <v>0</v>
      </c>
      <c r="U33" s="28"/>
      <c r="V33" s="28">
        <f>'B1'!N31</f>
        <v>0</v>
      </c>
      <c r="W33" s="28"/>
      <c r="X33" s="28">
        <f>'B1'!O31</f>
        <v>0</v>
      </c>
      <c r="Y33" s="28"/>
      <c r="Z33" s="28">
        <f>'B1'!P31</f>
        <v>0</v>
      </c>
      <c r="AA33" s="28"/>
      <c r="AB33" s="28">
        <f>'B1'!Q31</f>
        <v>0</v>
      </c>
      <c r="AC33" s="28"/>
    </row>
    <row r="34" spans="1:29" s="29" customFormat="1" ht="18.75" customHeight="1">
      <c r="A34" s="26" t="s">
        <v>3</v>
      </c>
      <c r="B34" s="27" t="s">
        <v>49</v>
      </c>
      <c r="C34" s="31"/>
      <c r="D34" s="28">
        <f t="shared" si="1"/>
        <v>0</v>
      </c>
      <c r="E34" s="28">
        <f>'B1'!E32</f>
        <v>0</v>
      </c>
      <c r="F34" s="28"/>
      <c r="G34" s="28">
        <f t="shared" si="2"/>
        <v>0</v>
      </c>
      <c r="H34" s="28">
        <f>'B1'!G32</f>
        <v>0</v>
      </c>
      <c r="I34" s="28"/>
      <c r="J34" s="28">
        <f>'B1'!H32</f>
        <v>0</v>
      </c>
      <c r="K34" s="28"/>
      <c r="L34" s="28">
        <f>'B1'!I32</f>
        <v>0</v>
      </c>
      <c r="M34" s="28"/>
      <c r="N34" s="28">
        <f>'B1'!J32</f>
        <v>0</v>
      </c>
      <c r="O34" s="28"/>
      <c r="P34" s="28">
        <f>'B1'!K32</f>
        <v>0</v>
      </c>
      <c r="Q34" s="28"/>
      <c r="R34" s="28">
        <f>'B1'!L32</f>
        <v>0</v>
      </c>
      <c r="S34" s="28"/>
      <c r="T34" s="28">
        <f>'B1'!M32</f>
        <v>0</v>
      </c>
      <c r="U34" s="28"/>
      <c r="V34" s="28">
        <f>'B1'!N32</f>
        <v>0</v>
      </c>
      <c r="W34" s="28"/>
      <c r="X34" s="28">
        <f>'B1'!O32</f>
        <v>0</v>
      </c>
      <c r="Y34" s="28"/>
      <c r="Z34" s="28">
        <f>'B1'!P32</f>
        <v>0</v>
      </c>
      <c r="AA34" s="28"/>
      <c r="AB34" s="28">
        <f>'B1'!Q32</f>
        <v>0</v>
      </c>
      <c r="AC34" s="28"/>
    </row>
    <row r="35" spans="1:29" s="23" customFormat="1" ht="34.5" customHeight="1">
      <c r="A35" s="25">
        <v>4</v>
      </c>
      <c r="B35" s="22" t="s">
        <v>50</v>
      </c>
      <c r="C35" s="14">
        <f>SUM(C36:C40)</f>
        <v>520000</v>
      </c>
      <c r="D35" s="14">
        <f t="shared" si="1"/>
        <v>520000</v>
      </c>
      <c r="E35" s="14">
        <f>'B1'!E33</f>
        <v>145390</v>
      </c>
      <c r="F35" s="14">
        <f>H35+J35+L35+N35+P35+R35+T35+V35+X35+Z35+AB35</f>
        <v>374610</v>
      </c>
      <c r="G35" s="14">
        <f t="shared" si="2"/>
        <v>313900</v>
      </c>
      <c r="H35" s="14">
        <f>'B1'!G33</f>
        <v>85360</v>
      </c>
      <c r="I35" s="14">
        <f>SUM(I36:I40)</f>
        <v>85360</v>
      </c>
      <c r="J35" s="14">
        <f>'B1'!H33</f>
        <v>13220</v>
      </c>
      <c r="K35" s="14">
        <f>SUM(K36:K40)</f>
        <v>13220</v>
      </c>
      <c r="L35" s="14">
        <f>'B1'!I33</f>
        <v>123440</v>
      </c>
      <c r="M35" s="14">
        <f>SUM(M36:M40)</f>
        <v>62740</v>
      </c>
      <c r="N35" s="14">
        <f>'B1'!J33</f>
        <v>34550</v>
      </c>
      <c r="O35" s="14">
        <f>SUM(O36:O40)</f>
        <v>34550</v>
      </c>
      <c r="P35" s="14">
        <f>'B1'!K33</f>
        <v>18390</v>
      </c>
      <c r="Q35" s="14">
        <f>SUM(Q36:Q40)</f>
        <v>18380</v>
      </c>
      <c r="R35" s="14">
        <f>'B1'!L33</f>
        <v>25450</v>
      </c>
      <c r="S35" s="14">
        <f>SUM(S36:S40)</f>
        <v>25450</v>
      </c>
      <c r="T35" s="14">
        <f>'B1'!M33</f>
        <v>13680</v>
      </c>
      <c r="U35" s="14">
        <f>SUM(U36:U40)</f>
        <v>13680</v>
      </c>
      <c r="V35" s="14">
        <f>'B1'!N33</f>
        <v>25760</v>
      </c>
      <c r="W35" s="14">
        <f>SUM(W36:W40)</f>
        <v>25760</v>
      </c>
      <c r="X35" s="14">
        <f>'B1'!O33</f>
        <v>11960</v>
      </c>
      <c r="Y35" s="14">
        <f>SUM(Y36:Y40)</f>
        <v>11960</v>
      </c>
      <c r="Z35" s="14">
        <f>'B1'!P33</f>
        <v>9500</v>
      </c>
      <c r="AA35" s="14">
        <f>SUM(AA36:AA40)</f>
        <v>9500</v>
      </c>
      <c r="AB35" s="14">
        <f>'B1'!Q33</f>
        <v>13300</v>
      </c>
      <c r="AC35" s="14">
        <f>SUM(AC36:AC40)</f>
        <v>13300</v>
      </c>
    </row>
    <row r="36" spans="1:29" s="23" customFormat="1" ht="21.75" customHeight="1">
      <c r="A36" s="26" t="s">
        <v>3</v>
      </c>
      <c r="B36" s="27" t="s">
        <v>44</v>
      </c>
      <c r="C36" s="28">
        <f>'B1'!C34</f>
        <v>387500</v>
      </c>
      <c r="D36" s="28">
        <f t="shared" si="1"/>
        <v>387500</v>
      </c>
      <c r="E36" s="28">
        <f>'B1'!E34</f>
        <v>76270</v>
      </c>
      <c r="F36" s="28">
        <f>H36+J36+L36+N36+P36+R36+T36+V36+X36+Z36+AB36</f>
        <v>311230</v>
      </c>
      <c r="G36" s="28">
        <f>I36+K36+M36+O36+Q36+S36+U36+W36+Y36+AA36+AC36</f>
        <v>258340</v>
      </c>
      <c r="H36" s="28">
        <f>'B1'!G34</f>
        <v>65060</v>
      </c>
      <c r="I36" s="28">
        <f>H36</f>
        <v>65060</v>
      </c>
      <c r="J36" s="28">
        <f>'B1'!H34</f>
        <v>9165</v>
      </c>
      <c r="K36" s="28">
        <f>J36</f>
        <v>9165</v>
      </c>
      <c r="L36" s="28">
        <f>'B1'!I34</f>
        <v>105780</v>
      </c>
      <c r="M36" s="28">
        <f>L36*0.5</f>
        <v>52890</v>
      </c>
      <c r="N36" s="28">
        <f>'B1'!J34</f>
        <v>30170</v>
      </c>
      <c r="O36" s="28">
        <f t="shared" ref="O36:O43" si="3">N36</f>
        <v>30170</v>
      </c>
      <c r="P36" s="28">
        <f>'B1'!K34</f>
        <v>16400</v>
      </c>
      <c r="Q36" s="28">
        <f t="shared" ref="Q36:Q43" si="4">P36</f>
        <v>16400</v>
      </c>
      <c r="R36" s="28">
        <f>'B1'!L34</f>
        <v>25035</v>
      </c>
      <c r="S36" s="28">
        <f t="shared" ref="S36:S43" si="5">R36</f>
        <v>25035</v>
      </c>
      <c r="T36" s="28">
        <f>'B1'!M34</f>
        <v>11100</v>
      </c>
      <c r="U36" s="28">
        <f t="shared" ref="U36:U43" si="6">T36</f>
        <v>11100</v>
      </c>
      <c r="V36" s="28">
        <f>'B1'!N34</f>
        <v>18160</v>
      </c>
      <c r="W36" s="28">
        <f t="shared" ref="W36:W43" si="7">V36</f>
        <v>18160</v>
      </c>
      <c r="X36" s="28">
        <f>'B1'!O34</f>
        <v>8780</v>
      </c>
      <c r="Y36" s="28">
        <f t="shared" ref="Y36:Y43" si="8">X36</f>
        <v>8780</v>
      </c>
      <c r="Z36" s="28">
        <f>'B1'!P34</f>
        <v>9000</v>
      </c>
      <c r="AA36" s="28">
        <f t="shared" ref="AA36:AA43" si="9">Z36</f>
        <v>9000</v>
      </c>
      <c r="AB36" s="28">
        <f>'B1'!Q34</f>
        <v>12580</v>
      </c>
      <c r="AC36" s="28">
        <f t="shared" ref="AC36:AC43" si="10">AB36</f>
        <v>12580</v>
      </c>
    </row>
    <row r="37" spans="1:29" s="23" customFormat="1" ht="21.75" customHeight="1">
      <c r="A37" s="26" t="s">
        <v>3</v>
      </c>
      <c r="B37" s="27" t="s">
        <v>45</v>
      </c>
      <c r="C37" s="28">
        <f>'B1'!C35</f>
        <v>70000</v>
      </c>
      <c r="D37" s="28">
        <f t="shared" si="1"/>
        <v>70000</v>
      </c>
      <c r="E37" s="28">
        <f>'B1'!E35</f>
        <v>40000</v>
      </c>
      <c r="F37" s="28">
        <f t="shared" ref="F37:F66" si="11">H37+J37+L37+N37+P37+R37+T37+V37+X37+Z37+AB37</f>
        <v>30000</v>
      </c>
      <c r="G37" s="28">
        <f t="shared" si="2"/>
        <v>22250</v>
      </c>
      <c r="H37" s="28">
        <f>'B1'!G35</f>
        <v>3860</v>
      </c>
      <c r="I37" s="28">
        <f t="shared" ref="I37:K40" si="12">H37</f>
        <v>3860</v>
      </c>
      <c r="J37" s="28">
        <f>'B1'!H35</f>
        <v>2000</v>
      </c>
      <c r="K37" s="28">
        <f t="shared" si="12"/>
        <v>2000</v>
      </c>
      <c r="L37" s="28">
        <f>'B1'!I35</f>
        <v>15500</v>
      </c>
      <c r="M37" s="28">
        <f>L37*0.5</f>
        <v>7750</v>
      </c>
      <c r="N37" s="28">
        <f>'B1'!J35</f>
        <v>3100</v>
      </c>
      <c r="O37" s="28">
        <f t="shared" si="3"/>
        <v>3100</v>
      </c>
      <c r="P37" s="28">
        <f>'B1'!K35</f>
        <v>1840</v>
      </c>
      <c r="Q37" s="28">
        <f t="shared" si="4"/>
        <v>1840</v>
      </c>
      <c r="R37" s="28">
        <f>'B1'!L35</f>
        <v>400</v>
      </c>
      <c r="S37" s="28">
        <f t="shared" si="5"/>
        <v>400</v>
      </c>
      <c r="T37" s="28">
        <f>'B1'!M35</f>
        <v>1500</v>
      </c>
      <c r="U37" s="28">
        <f t="shared" si="6"/>
        <v>1500</v>
      </c>
      <c r="V37" s="28">
        <f>'B1'!N35</f>
        <v>500</v>
      </c>
      <c r="W37" s="28">
        <f t="shared" si="7"/>
        <v>500</v>
      </c>
      <c r="X37" s="28">
        <f>'B1'!O35</f>
        <v>380</v>
      </c>
      <c r="Y37" s="28">
        <f t="shared" si="8"/>
        <v>380</v>
      </c>
      <c r="Z37" s="28">
        <f>'B1'!P35</f>
        <v>300</v>
      </c>
      <c r="AA37" s="28">
        <f t="shared" si="9"/>
        <v>300</v>
      </c>
      <c r="AB37" s="28">
        <f>'B1'!Q35</f>
        <v>620</v>
      </c>
      <c r="AC37" s="28">
        <f t="shared" si="10"/>
        <v>620</v>
      </c>
    </row>
    <row r="38" spans="1:29" s="23" customFormat="1" ht="21.75" customHeight="1">
      <c r="A38" s="26" t="s">
        <v>3</v>
      </c>
      <c r="B38" s="27" t="s">
        <v>49</v>
      </c>
      <c r="C38" s="28">
        <f>'B1'!C36</f>
        <v>2500</v>
      </c>
      <c r="D38" s="28">
        <f t="shared" si="1"/>
        <v>2500</v>
      </c>
      <c r="E38" s="28">
        <f>'B1'!E36</f>
        <v>700</v>
      </c>
      <c r="F38" s="28">
        <f t="shared" si="11"/>
        <v>1800</v>
      </c>
      <c r="G38" s="28">
        <f t="shared" si="2"/>
        <v>1730</v>
      </c>
      <c r="H38" s="28">
        <f>'B1'!G36</f>
        <v>140</v>
      </c>
      <c r="I38" s="28">
        <f t="shared" si="12"/>
        <v>140</v>
      </c>
      <c r="J38" s="28">
        <f>'B1'!H36</f>
        <v>55</v>
      </c>
      <c r="K38" s="28">
        <f t="shared" si="12"/>
        <v>55</v>
      </c>
      <c r="L38" s="28">
        <f>'B1'!I36</f>
        <v>1160</v>
      </c>
      <c r="M38" s="28">
        <f>L38-60</f>
        <v>1100</v>
      </c>
      <c r="N38" s="28">
        <f>'B1'!J36</f>
        <v>220</v>
      </c>
      <c r="O38" s="28">
        <f t="shared" si="3"/>
        <v>220</v>
      </c>
      <c r="P38" s="28">
        <f>'B1'!K36</f>
        <v>100</v>
      </c>
      <c r="Q38" s="28">
        <f>P38-10</f>
        <v>90</v>
      </c>
      <c r="R38" s="28">
        <f>'B1'!L36</f>
        <v>15</v>
      </c>
      <c r="S38" s="28">
        <f t="shared" si="5"/>
        <v>15</v>
      </c>
      <c r="T38" s="28">
        <f>'B1'!M36</f>
        <v>110</v>
      </c>
      <c r="U38" s="28">
        <f t="shared" si="6"/>
        <v>110</v>
      </c>
      <c r="V38" s="28">
        <f>'B1'!N36</f>
        <v>0</v>
      </c>
      <c r="W38" s="28">
        <f t="shared" si="7"/>
        <v>0</v>
      </c>
      <c r="X38" s="28">
        <f>'B1'!O36</f>
        <v>0</v>
      </c>
      <c r="Y38" s="28">
        <f t="shared" si="8"/>
        <v>0</v>
      </c>
      <c r="Z38" s="28">
        <f>'B1'!P36</f>
        <v>0</v>
      </c>
      <c r="AA38" s="28">
        <f t="shared" si="9"/>
        <v>0</v>
      </c>
      <c r="AB38" s="28">
        <f>'B1'!Q36</f>
        <v>0</v>
      </c>
      <c r="AC38" s="28">
        <f t="shared" si="10"/>
        <v>0</v>
      </c>
    </row>
    <row r="39" spans="1:29" s="23" customFormat="1" ht="45" hidden="1" customHeight="1">
      <c r="A39" s="26"/>
      <c r="B39" s="27"/>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row>
    <row r="40" spans="1:29" s="29" customFormat="1" ht="21.75" customHeight="1">
      <c r="A40" s="26" t="s">
        <v>3</v>
      </c>
      <c r="B40" s="27" t="s">
        <v>46</v>
      </c>
      <c r="C40" s="28">
        <f>'B1'!C38</f>
        <v>60000</v>
      </c>
      <c r="D40" s="28">
        <f t="shared" si="1"/>
        <v>60000</v>
      </c>
      <c r="E40" s="28">
        <f>'B1'!E38</f>
        <v>28420</v>
      </c>
      <c r="F40" s="28">
        <f t="shared" si="11"/>
        <v>31580</v>
      </c>
      <c r="G40" s="28">
        <f t="shared" si="2"/>
        <v>31580</v>
      </c>
      <c r="H40" s="28">
        <f>'B1'!G38</f>
        <v>16300</v>
      </c>
      <c r="I40" s="28">
        <f t="shared" si="12"/>
        <v>16300</v>
      </c>
      <c r="J40" s="28">
        <f>'B1'!H38</f>
        <v>2000</v>
      </c>
      <c r="K40" s="28">
        <f t="shared" si="12"/>
        <v>2000</v>
      </c>
      <c r="L40" s="28">
        <f>'B1'!I38</f>
        <v>1000</v>
      </c>
      <c r="M40" s="28">
        <f>L40</f>
        <v>1000</v>
      </c>
      <c r="N40" s="28">
        <f>'B1'!J38</f>
        <v>1060</v>
      </c>
      <c r="O40" s="28">
        <f t="shared" si="3"/>
        <v>1060</v>
      </c>
      <c r="P40" s="28">
        <f>'B1'!K38</f>
        <v>50</v>
      </c>
      <c r="Q40" s="28">
        <f t="shared" si="4"/>
        <v>50</v>
      </c>
      <c r="R40" s="28">
        <f>'B1'!L38</f>
        <v>0</v>
      </c>
      <c r="S40" s="28">
        <f t="shared" si="5"/>
        <v>0</v>
      </c>
      <c r="T40" s="28">
        <f>'B1'!M38</f>
        <v>970</v>
      </c>
      <c r="U40" s="28">
        <f t="shared" si="6"/>
        <v>970</v>
      </c>
      <c r="V40" s="28">
        <f>'B1'!N38</f>
        <v>7100</v>
      </c>
      <c r="W40" s="28">
        <f t="shared" si="7"/>
        <v>7100</v>
      </c>
      <c r="X40" s="28">
        <f>'B1'!O38</f>
        <v>2800</v>
      </c>
      <c r="Y40" s="28">
        <f t="shared" si="8"/>
        <v>2800</v>
      </c>
      <c r="Z40" s="28">
        <f>'B1'!P38</f>
        <v>200</v>
      </c>
      <c r="AA40" s="28">
        <f t="shared" si="9"/>
        <v>200</v>
      </c>
      <c r="AB40" s="28">
        <f>'B1'!Q38</f>
        <v>100</v>
      </c>
      <c r="AC40" s="28">
        <f t="shared" si="10"/>
        <v>100</v>
      </c>
    </row>
    <row r="41" spans="1:29" s="29" customFormat="1" ht="20.100000000000001" customHeight="1">
      <c r="A41" s="25">
        <v>5</v>
      </c>
      <c r="B41" s="22" t="s">
        <v>51</v>
      </c>
      <c r="C41" s="14">
        <f>'B1'!C39</f>
        <v>128000</v>
      </c>
      <c r="D41" s="14">
        <f t="shared" si="1"/>
        <v>128000</v>
      </c>
      <c r="E41" s="14">
        <f>'B1'!E39</f>
        <v>0</v>
      </c>
      <c r="F41" s="14">
        <f t="shared" si="11"/>
        <v>128000</v>
      </c>
      <c r="G41" s="14">
        <f t="shared" si="2"/>
        <v>128000</v>
      </c>
      <c r="H41" s="14">
        <f>'B1'!G39</f>
        <v>14900</v>
      </c>
      <c r="I41" s="14">
        <f>H41</f>
        <v>14900</v>
      </c>
      <c r="J41" s="14">
        <f>'B1'!H39</f>
        <v>5800</v>
      </c>
      <c r="K41" s="14">
        <f>J41</f>
        <v>5800</v>
      </c>
      <c r="L41" s="14">
        <f>'B1'!I39</f>
        <v>60000</v>
      </c>
      <c r="M41" s="14">
        <f>L41</f>
        <v>60000</v>
      </c>
      <c r="N41" s="14">
        <f>'B1'!J39</f>
        <v>12000</v>
      </c>
      <c r="O41" s="14">
        <f t="shared" si="3"/>
        <v>12000</v>
      </c>
      <c r="P41" s="14">
        <f>'B1'!K39</f>
        <v>6000</v>
      </c>
      <c r="Q41" s="14">
        <f t="shared" si="4"/>
        <v>6000</v>
      </c>
      <c r="R41" s="14">
        <f>'B1'!L39</f>
        <v>5000</v>
      </c>
      <c r="S41" s="14">
        <f t="shared" si="5"/>
        <v>5000</v>
      </c>
      <c r="T41" s="14">
        <f>'B1'!M39</f>
        <v>5400</v>
      </c>
      <c r="U41" s="14">
        <f t="shared" si="6"/>
        <v>5400</v>
      </c>
      <c r="V41" s="14">
        <f>'B1'!N39</f>
        <v>4500</v>
      </c>
      <c r="W41" s="14">
        <f t="shared" si="7"/>
        <v>4500</v>
      </c>
      <c r="X41" s="14">
        <f>'B1'!O39</f>
        <v>5000</v>
      </c>
      <c r="Y41" s="14">
        <f t="shared" si="8"/>
        <v>5000</v>
      </c>
      <c r="Z41" s="14">
        <f>'B1'!P39</f>
        <v>4000</v>
      </c>
      <c r="AA41" s="14">
        <f t="shared" si="9"/>
        <v>4000</v>
      </c>
      <c r="AB41" s="14">
        <f>'B1'!Q39</f>
        <v>5400</v>
      </c>
      <c r="AC41" s="14">
        <f t="shared" si="10"/>
        <v>5400</v>
      </c>
    </row>
    <row r="42" spans="1:29" s="29" customFormat="1" ht="32.25" customHeight="1">
      <c r="A42" s="25">
        <v>6</v>
      </c>
      <c r="B42" s="22" t="s">
        <v>52</v>
      </c>
      <c r="C42" s="14">
        <f>'B1'!C40</f>
        <v>6000</v>
      </c>
      <c r="D42" s="14">
        <f t="shared" si="1"/>
        <v>6000</v>
      </c>
      <c r="E42" s="14">
        <f>'B1'!E40</f>
        <v>0</v>
      </c>
      <c r="F42" s="14">
        <f t="shared" si="11"/>
        <v>6000</v>
      </c>
      <c r="G42" s="14">
        <f t="shared" si="2"/>
        <v>6000</v>
      </c>
      <c r="H42" s="14">
        <f>'B1'!G40</f>
        <v>100</v>
      </c>
      <c r="I42" s="14">
        <f>H42</f>
        <v>100</v>
      </c>
      <c r="J42" s="14">
        <f>'B1'!H40</f>
        <v>80</v>
      </c>
      <c r="K42" s="14">
        <f>J42</f>
        <v>80</v>
      </c>
      <c r="L42" s="14">
        <f>'B1'!I40</f>
        <v>4360</v>
      </c>
      <c r="M42" s="14">
        <f>L42</f>
        <v>4360</v>
      </c>
      <c r="N42" s="14">
        <f>'B1'!J40</f>
        <v>550</v>
      </c>
      <c r="O42" s="14">
        <f t="shared" si="3"/>
        <v>550</v>
      </c>
      <c r="P42" s="14">
        <f>'B1'!K40</f>
        <v>300</v>
      </c>
      <c r="Q42" s="14">
        <f t="shared" si="4"/>
        <v>300</v>
      </c>
      <c r="R42" s="14">
        <f>'B1'!L40</f>
        <v>30</v>
      </c>
      <c r="S42" s="14">
        <f t="shared" si="5"/>
        <v>30</v>
      </c>
      <c r="T42" s="14">
        <f>'B1'!M40</f>
        <v>130</v>
      </c>
      <c r="U42" s="14">
        <f t="shared" si="6"/>
        <v>130</v>
      </c>
      <c r="V42" s="14">
        <f>'B1'!N40</f>
        <v>90</v>
      </c>
      <c r="W42" s="14">
        <f t="shared" si="7"/>
        <v>90</v>
      </c>
      <c r="X42" s="14">
        <f>'B1'!O40</f>
        <v>50</v>
      </c>
      <c r="Y42" s="14">
        <f t="shared" si="8"/>
        <v>50</v>
      </c>
      <c r="Z42" s="14">
        <f>'B1'!P40</f>
        <v>100</v>
      </c>
      <c r="AA42" s="14">
        <f t="shared" si="9"/>
        <v>100</v>
      </c>
      <c r="AB42" s="14">
        <f>'B1'!Q40</f>
        <v>210</v>
      </c>
      <c r="AC42" s="14">
        <f t="shared" si="10"/>
        <v>210</v>
      </c>
    </row>
    <row r="43" spans="1:29" s="23" customFormat="1" ht="20.100000000000001" customHeight="1">
      <c r="A43" s="25">
        <v>7</v>
      </c>
      <c r="B43" s="22" t="s">
        <v>53</v>
      </c>
      <c r="C43" s="14">
        <f>'B1'!C41</f>
        <v>140000</v>
      </c>
      <c r="D43" s="14">
        <f t="shared" si="1"/>
        <v>140000</v>
      </c>
      <c r="E43" s="14">
        <f>'B1'!E41</f>
        <v>70480</v>
      </c>
      <c r="F43" s="14">
        <f t="shared" si="11"/>
        <v>69520</v>
      </c>
      <c r="G43" s="14">
        <f t="shared" si="2"/>
        <v>69520</v>
      </c>
      <c r="H43" s="14">
        <f>'B1'!G41</f>
        <v>7240</v>
      </c>
      <c r="I43" s="14">
        <f>H43</f>
        <v>7240</v>
      </c>
      <c r="J43" s="14">
        <f>'B1'!H41</f>
        <v>3000</v>
      </c>
      <c r="K43" s="14">
        <f>J43</f>
        <v>3000</v>
      </c>
      <c r="L43" s="14">
        <f>'B1'!I41</f>
        <v>35000</v>
      </c>
      <c r="M43" s="14">
        <f>L43</f>
        <v>35000</v>
      </c>
      <c r="N43" s="14">
        <f>'B1'!J41</f>
        <v>5500</v>
      </c>
      <c r="O43" s="14">
        <f t="shared" si="3"/>
        <v>5500</v>
      </c>
      <c r="P43" s="14">
        <f>'B1'!K41</f>
        <v>3200</v>
      </c>
      <c r="Q43" s="14">
        <f t="shared" si="4"/>
        <v>3200</v>
      </c>
      <c r="R43" s="14">
        <f>'B1'!L41</f>
        <v>2800</v>
      </c>
      <c r="S43" s="14">
        <f t="shared" si="5"/>
        <v>2800</v>
      </c>
      <c r="T43" s="14">
        <f>'B1'!M41</f>
        <v>3200</v>
      </c>
      <c r="U43" s="14">
        <f t="shared" si="6"/>
        <v>3200</v>
      </c>
      <c r="V43" s="14">
        <f>'B1'!N41</f>
        <v>2500</v>
      </c>
      <c r="W43" s="14">
        <f t="shared" si="7"/>
        <v>2500</v>
      </c>
      <c r="X43" s="14">
        <f>'B1'!O41</f>
        <v>1780</v>
      </c>
      <c r="Y43" s="14">
        <f t="shared" si="8"/>
        <v>1780</v>
      </c>
      <c r="Z43" s="14">
        <f>'B1'!P41</f>
        <v>1300</v>
      </c>
      <c r="AA43" s="14">
        <f t="shared" si="9"/>
        <v>1300</v>
      </c>
      <c r="AB43" s="14">
        <f>'B1'!Q41</f>
        <v>4000</v>
      </c>
      <c r="AC43" s="14">
        <f t="shared" si="10"/>
        <v>4000</v>
      </c>
    </row>
    <row r="44" spans="1:29" s="23" customFormat="1" ht="29.25" customHeight="1">
      <c r="A44" s="25">
        <v>8</v>
      </c>
      <c r="B44" s="22" t="s">
        <v>54</v>
      </c>
      <c r="C44" s="14">
        <f>'B1'!C42</f>
        <v>184000</v>
      </c>
      <c r="D44" s="14">
        <f t="shared" si="1"/>
        <v>184000</v>
      </c>
      <c r="E44" s="14">
        <f>'B1'!E42</f>
        <v>184000</v>
      </c>
      <c r="F44" s="14">
        <f t="shared" si="11"/>
        <v>0</v>
      </c>
      <c r="G44" s="14">
        <f t="shared" si="2"/>
        <v>0</v>
      </c>
      <c r="H44" s="14">
        <f>'B1'!G42</f>
        <v>0</v>
      </c>
      <c r="I44" s="14"/>
      <c r="J44" s="14">
        <f>'B1'!H42</f>
        <v>0</v>
      </c>
      <c r="K44" s="14"/>
      <c r="L44" s="32">
        <f>'B1'!I42</f>
        <v>0</v>
      </c>
      <c r="M44" s="32"/>
      <c r="N44" s="32">
        <f>'B1'!J42</f>
        <v>0</v>
      </c>
      <c r="O44" s="14"/>
      <c r="P44" s="32">
        <f>'B1'!K42</f>
        <v>0</v>
      </c>
      <c r="Q44" s="14"/>
      <c r="R44" s="32">
        <f>'B1'!L42</f>
        <v>0</v>
      </c>
      <c r="S44" s="14"/>
      <c r="T44" s="32">
        <f>'B1'!M42</f>
        <v>0</v>
      </c>
      <c r="U44" s="14"/>
      <c r="V44" s="32">
        <f>'B1'!N42</f>
        <v>0</v>
      </c>
      <c r="W44" s="14"/>
      <c r="X44" s="32">
        <f>'B1'!O42</f>
        <v>0</v>
      </c>
      <c r="Y44" s="14"/>
      <c r="Z44" s="32">
        <f>'B1'!P42</f>
        <v>0</v>
      </c>
      <c r="AA44" s="14"/>
      <c r="AB44" s="32">
        <f>'B1'!Q42</f>
        <v>0</v>
      </c>
      <c r="AC44" s="14"/>
    </row>
    <row r="45" spans="1:29" s="37" customFormat="1" ht="29.25" customHeight="1">
      <c r="A45" s="33"/>
      <c r="B45" s="34" t="s">
        <v>55</v>
      </c>
      <c r="C45" s="14">
        <f>'B1'!C43</f>
        <v>68800</v>
      </c>
      <c r="D45" s="28">
        <f t="shared" si="1"/>
        <v>68800</v>
      </c>
      <c r="E45" s="28">
        <f>'B1'!E43</f>
        <v>68800</v>
      </c>
      <c r="F45" s="36">
        <f t="shared" si="11"/>
        <v>0</v>
      </c>
      <c r="G45" s="36">
        <f t="shared" si="2"/>
        <v>0</v>
      </c>
      <c r="H45" s="36">
        <f>'B1'!G43</f>
        <v>0</v>
      </c>
      <c r="I45" s="36"/>
      <c r="J45" s="36">
        <f>'B1'!H43</f>
        <v>0</v>
      </c>
      <c r="K45" s="36"/>
      <c r="L45" s="36">
        <f>'B1'!I43</f>
        <v>0</v>
      </c>
      <c r="M45" s="36"/>
      <c r="N45" s="36">
        <f>'B1'!J43</f>
        <v>0</v>
      </c>
      <c r="O45" s="36"/>
      <c r="P45" s="36">
        <f>'B1'!K43</f>
        <v>0</v>
      </c>
      <c r="Q45" s="36"/>
      <c r="R45" s="36">
        <f>'B1'!L43</f>
        <v>0</v>
      </c>
      <c r="S45" s="36"/>
      <c r="T45" s="36">
        <f>'B1'!M43</f>
        <v>0</v>
      </c>
      <c r="U45" s="36"/>
      <c r="V45" s="36">
        <f>'B1'!N43</f>
        <v>0</v>
      </c>
      <c r="W45" s="36"/>
      <c r="X45" s="36">
        <f>'B1'!O43</f>
        <v>0</v>
      </c>
      <c r="Y45" s="36"/>
      <c r="Z45" s="36">
        <f>'B1'!P43</f>
        <v>0</v>
      </c>
      <c r="AA45" s="36"/>
      <c r="AB45" s="36">
        <f>'B1'!Q43</f>
        <v>0</v>
      </c>
      <c r="AC45" s="36"/>
    </row>
    <row r="46" spans="1:29" s="37" customFormat="1" ht="27.75" customHeight="1">
      <c r="A46" s="33"/>
      <c r="B46" s="34" t="s">
        <v>56</v>
      </c>
      <c r="C46" s="14">
        <f>'B1'!C44</f>
        <v>115200</v>
      </c>
      <c r="D46" s="28">
        <f t="shared" si="1"/>
        <v>115200</v>
      </c>
      <c r="E46" s="28">
        <f>'B1'!E44</f>
        <v>115200</v>
      </c>
      <c r="F46" s="36">
        <f t="shared" si="11"/>
        <v>0</v>
      </c>
      <c r="G46" s="36">
        <f t="shared" si="2"/>
        <v>0</v>
      </c>
      <c r="H46" s="36">
        <f>'B1'!G44</f>
        <v>0</v>
      </c>
      <c r="I46" s="36"/>
      <c r="J46" s="36">
        <f>'B1'!H44</f>
        <v>0</v>
      </c>
      <c r="K46" s="36"/>
      <c r="L46" s="36">
        <f>'B1'!I44</f>
        <v>0</v>
      </c>
      <c r="M46" s="36"/>
      <c r="N46" s="36">
        <f>'B1'!J44</f>
        <v>0</v>
      </c>
      <c r="O46" s="36"/>
      <c r="P46" s="36">
        <f>'B1'!K44</f>
        <v>0</v>
      </c>
      <c r="Q46" s="36"/>
      <c r="R46" s="36">
        <f>'B1'!L44</f>
        <v>0</v>
      </c>
      <c r="S46" s="36"/>
      <c r="T46" s="36">
        <f>'B1'!M44</f>
        <v>0</v>
      </c>
      <c r="U46" s="36"/>
      <c r="V46" s="36">
        <f>'B1'!N44</f>
        <v>0</v>
      </c>
      <c r="W46" s="36"/>
      <c r="X46" s="36">
        <f>'B1'!O44</f>
        <v>0</v>
      </c>
      <c r="Y46" s="36"/>
      <c r="Z46" s="36">
        <f>'B1'!P44</f>
        <v>0</v>
      </c>
      <c r="AA46" s="36"/>
      <c r="AB46" s="36">
        <f>'B1'!Q44</f>
        <v>0</v>
      </c>
      <c r="AC46" s="36"/>
    </row>
    <row r="47" spans="1:29" s="40" customFormat="1" ht="18.75" hidden="1" customHeight="1">
      <c r="A47" s="38"/>
      <c r="B47" s="38"/>
      <c r="C47" s="14">
        <f>'B1'!C45</f>
        <v>0</v>
      </c>
      <c r="D47" s="39">
        <f t="shared" si="1"/>
        <v>0</v>
      </c>
      <c r="E47" s="39">
        <f>'B1'!E45</f>
        <v>0</v>
      </c>
      <c r="F47" s="39">
        <f t="shared" si="11"/>
        <v>0</v>
      </c>
      <c r="G47" s="39">
        <f t="shared" si="2"/>
        <v>0</v>
      </c>
      <c r="H47" s="39">
        <f>'B1'!G45</f>
        <v>0</v>
      </c>
      <c r="I47" s="39"/>
      <c r="J47" s="39">
        <f>'B1'!H45</f>
        <v>0</v>
      </c>
      <c r="K47" s="39"/>
      <c r="L47" s="39">
        <f>'B1'!I45</f>
        <v>0</v>
      </c>
      <c r="M47" s="39"/>
      <c r="N47" s="39">
        <f>'B1'!J45</f>
        <v>0</v>
      </c>
      <c r="O47" s="39"/>
      <c r="P47" s="39">
        <f>'B1'!K45</f>
        <v>0</v>
      </c>
      <c r="Q47" s="39"/>
      <c r="R47" s="39">
        <f>'B1'!L45</f>
        <v>0</v>
      </c>
      <c r="S47" s="39"/>
      <c r="T47" s="39">
        <f>'B1'!M45</f>
        <v>0</v>
      </c>
      <c r="U47" s="39"/>
      <c r="V47" s="39">
        <f>'B1'!N45</f>
        <v>0</v>
      </c>
      <c r="W47" s="39"/>
      <c r="X47" s="39">
        <f>'B1'!O45</f>
        <v>0</v>
      </c>
      <c r="Y47" s="39"/>
      <c r="Z47" s="39">
        <f>'B1'!P45</f>
        <v>0</v>
      </c>
      <c r="AA47" s="39"/>
      <c r="AB47" s="39">
        <f>'B1'!Q45</f>
        <v>0</v>
      </c>
      <c r="AC47" s="39"/>
    </row>
    <row r="48" spans="1:29" s="41" customFormat="1" ht="20.100000000000001" customHeight="1">
      <c r="A48" s="25">
        <v>9</v>
      </c>
      <c r="B48" s="22" t="s">
        <v>57</v>
      </c>
      <c r="C48" s="14">
        <f>'B1'!C46</f>
        <v>620000</v>
      </c>
      <c r="D48" s="14">
        <f t="shared" si="1"/>
        <v>620000</v>
      </c>
      <c r="E48" s="14">
        <f>'B1'!E46</f>
        <v>90240</v>
      </c>
      <c r="F48" s="14">
        <f t="shared" si="11"/>
        <v>529760</v>
      </c>
      <c r="G48" s="14">
        <f t="shared" si="2"/>
        <v>39760</v>
      </c>
      <c r="H48" s="14">
        <f>'B1'!G46</f>
        <v>14000</v>
      </c>
      <c r="I48" s="14">
        <f>H48-H49-H51</f>
        <v>14000</v>
      </c>
      <c r="J48" s="14">
        <f>'B1'!H46</f>
        <v>3200</v>
      </c>
      <c r="K48" s="14">
        <f>J48-J49-J51</f>
        <v>3200</v>
      </c>
      <c r="L48" s="14">
        <f>'B1'!I46</f>
        <v>8100</v>
      </c>
      <c r="M48" s="14">
        <f>L48-L49-L51</f>
        <v>8100</v>
      </c>
      <c r="N48" s="14">
        <f>'B1'!J46</f>
        <v>383900</v>
      </c>
      <c r="O48" s="14">
        <f>N48-N49-N51</f>
        <v>3900</v>
      </c>
      <c r="P48" s="14">
        <f>'B1'!K46</f>
        <v>26600</v>
      </c>
      <c r="Q48" s="14">
        <f>P48-P49-P51</f>
        <v>1600</v>
      </c>
      <c r="R48" s="14">
        <f>'B1'!L46</f>
        <v>910</v>
      </c>
      <c r="S48" s="14">
        <f>R48-R49-R51</f>
        <v>910</v>
      </c>
      <c r="T48" s="14">
        <f>'B1'!M46</f>
        <v>86650</v>
      </c>
      <c r="U48" s="14">
        <f>T48-T49-T51</f>
        <v>1750</v>
      </c>
      <c r="V48" s="14">
        <f>'B1'!N46</f>
        <v>2120</v>
      </c>
      <c r="W48" s="14">
        <f>V48-V49-V51</f>
        <v>2020</v>
      </c>
      <c r="X48" s="14">
        <f>'B1'!O46</f>
        <v>1110</v>
      </c>
      <c r="Y48" s="14">
        <f>X48-X49-X51</f>
        <v>1110</v>
      </c>
      <c r="Z48" s="14">
        <f>'B1'!P46</f>
        <v>1450</v>
      </c>
      <c r="AA48" s="14">
        <f>Z48-Z49-Z51</f>
        <v>1450</v>
      </c>
      <c r="AB48" s="14">
        <f>'B1'!Q46</f>
        <v>1720</v>
      </c>
      <c r="AC48" s="14">
        <f>AB48-AB49-AB51</f>
        <v>1720</v>
      </c>
    </row>
    <row r="49" spans="1:29" s="41" customFormat="1" ht="20.100000000000001" customHeight="1">
      <c r="A49" s="25"/>
      <c r="B49" s="27" t="s">
        <v>58</v>
      </c>
      <c r="C49" s="14">
        <f>'B1'!C47</f>
        <v>25000</v>
      </c>
      <c r="D49" s="28">
        <f t="shared" si="1"/>
        <v>25000</v>
      </c>
      <c r="E49" s="28">
        <f>'B1'!E47</f>
        <v>25000</v>
      </c>
      <c r="F49" s="28">
        <f t="shared" si="11"/>
        <v>0</v>
      </c>
      <c r="G49" s="28">
        <f t="shared" si="2"/>
        <v>0</v>
      </c>
      <c r="H49" s="14">
        <f>'B1'!G47</f>
        <v>0</v>
      </c>
      <c r="I49" s="14"/>
      <c r="J49" s="14">
        <f>'B1'!H47</f>
        <v>0</v>
      </c>
      <c r="K49" s="14"/>
      <c r="L49" s="28">
        <f>'B1'!I47</f>
        <v>0</v>
      </c>
      <c r="M49" s="14"/>
      <c r="N49" s="28">
        <f>'B1'!J47</f>
        <v>0</v>
      </c>
      <c r="O49" s="14"/>
      <c r="P49" s="28">
        <f>'B1'!K47</f>
        <v>0</v>
      </c>
      <c r="Q49" s="14"/>
      <c r="R49" s="28">
        <f>'B1'!L47</f>
        <v>0</v>
      </c>
      <c r="S49" s="14"/>
      <c r="T49" s="28">
        <f>'B1'!M47</f>
        <v>0</v>
      </c>
      <c r="U49" s="14"/>
      <c r="V49" s="28">
        <f>'B1'!N47</f>
        <v>0</v>
      </c>
      <c r="W49" s="14"/>
      <c r="X49" s="28">
        <f>'B1'!O47</f>
        <v>0</v>
      </c>
      <c r="Y49" s="14"/>
      <c r="Z49" s="28">
        <f>'B1'!P47</f>
        <v>0</v>
      </c>
      <c r="AA49" s="14"/>
      <c r="AB49" s="28">
        <f>'B1'!Q47</f>
        <v>0</v>
      </c>
      <c r="AC49" s="14"/>
    </row>
    <row r="50" spans="1:29" s="41" customFormat="1" ht="20.100000000000001" customHeight="1">
      <c r="A50" s="25"/>
      <c r="B50" s="27" t="s">
        <v>59</v>
      </c>
      <c r="C50" s="14">
        <f>'B1'!C48</f>
        <v>595000</v>
      </c>
      <c r="D50" s="28">
        <f t="shared" si="1"/>
        <v>595000</v>
      </c>
      <c r="E50" s="28">
        <f>'B1'!E48</f>
        <v>65240</v>
      </c>
      <c r="F50" s="28">
        <f t="shared" si="11"/>
        <v>529760</v>
      </c>
      <c r="G50" s="28">
        <f t="shared" si="2"/>
        <v>39760</v>
      </c>
      <c r="H50" s="28">
        <f>'B1'!G48</f>
        <v>14000</v>
      </c>
      <c r="I50" s="28">
        <f>I48</f>
        <v>14000</v>
      </c>
      <c r="J50" s="28">
        <f>'B1'!H48</f>
        <v>3200</v>
      </c>
      <c r="K50" s="28">
        <f>K48</f>
        <v>3200</v>
      </c>
      <c r="L50" s="28">
        <f>'B1'!I48</f>
        <v>8100</v>
      </c>
      <c r="M50" s="28">
        <f>M48</f>
        <v>8100</v>
      </c>
      <c r="N50" s="28">
        <f>'B1'!J48</f>
        <v>383900</v>
      </c>
      <c r="O50" s="28">
        <f>O48</f>
        <v>3900</v>
      </c>
      <c r="P50" s="28">
        <f>'B1'!K48</f>
        <v>26600</v>
      </c>
      <c r="Q50" s="28">
        <f>Q48</f>
        <v>1600</v>
      </c>
      <c r="R50" s="28">
        <f>'B1'!L48</f>
        <v>910</v>
      </c>
      <c r="S50" s="28">
        <f>S48</f>
        <v>910</v>
      </c>
      <c r="T50" s="28">
        <f>'B1'!M48</f>
        <v>86650</v>
      </c>
      <c r="U50" s="28">
        <f>U48</f>
        <v>1750</v>
      </c>
      <c r="V50" s="28">
        <f>'B1'!N48</f>
        <v>2120</v>
      </c>
      <c r="W50" s="28">
        <f>W48</f>
        <v>2020</v>
      </c>
      <c r="X50" s="28">
        <f>'B1'!O48</f>
        <v>1110</v>
      </c>
      <c r="Y50" s="28">
        <f>Y48</f>
        <v>1110</v>
      </c>
      <c r="Z50" s="28">
        <f>'B1'!P48</f>
        <v>1450</v>
      </c>
      <c r="AA50" s="28">
        <f>AA48</f>
        <v>1450</v>
      </c>
      <c r="AB50" s="28">
        <f>'B1'!Q48</f>
        <v>1720</v>
      </c>
      <c r="AC50" s="28">
        <f>AC48</f>
        <v>1720</v>
      </c>
    </row>
    <row r="51" spans="1:29" s="46" customFormat="1" ht="38.25" customHeight="1">
      <c r="A51" s="42" t="s">
        <v>60</v>
      </c>
      <c r="B51" s="43" t="s">
        <v>61</v>
      </c>
      <c r="C51" s="14">
        <f>'B1'!C49</f>
        <v>525000</v>
      </c>
      <c r="D51" s="44">
        <f t="shared" si="1"/>
        <v>525000</v>
      </c>
      <c r="E51" s="44">
        <f>'B1'!E49</f>
        <v>35000</v>
      </c>
      <c r="F51" s="44">
        <f t="shared" si="11"/>
        <v>490000</v>
      </c>
      <c r="G51" s="44">
        <f t="shared" si="2"/>
        <v>0</v>
      </c>
      <c r="H51" s="44">
        <f>'B1'!G49</f>
        <v>0</v>
      </c>
      <c r="I51" s="44"/>
      <c r="J51" s="44">
        <f>'B1'!H49</f>
        <v>0</v>
      </c>
      <c r="K51" s="44"/>
      <c r="L51" s="44">
        <f>'B1'!I49</f>
        <v>0</v>
      </c>
      <c r="M51" s="44"/>
      <c r="N51" s="44">
        <f>'B1'!J49</f>
        <v>380000</v>
      </c>
      <c r="O51" s="44"/>
      <c r="P51" s="44">
        <f>'B1'!K49</f>
        <v>25000</v>
      </c>
      <c r="Q51" s="44"/>
      <c r="R51" s="44">
        <f>'B1'!L49</f>
        <v>0</v>
      </c>
      <c r="S51" s="44"/>
      <c r="T51" s="44">
        <f>'B1'!M49</f>
        <v>84900</v>
      </c>
      <c r="U51" s="44"/>
      <c r="V51" s="44">
        <f>'B1'!N49</f>
        <v>100</v>
      </c>
      <c r="W51" s="44"/>
      <c r="X51" s="44">
        <f>'B1'!O49</f>
        <v>0</v>
      </c>
      <c r="Y51" s="44"/>
      <c r="Z51" s="44">
        <f>'B1'!P49</f>
        <v>0</v>
      </c>
      <c r="AA51" s="44"/>
      <c r="AB51" s="44">
        <f>'B1'!Q49</f>
        <v>0</v>
      </c>
      <c r="AC51" s="44"/>
    </row>
    <row r="52" spans="1:29" s="41" customFormat="1" ht="29.25" hidden="1" customHeight="1">
      <c r="A52" s="42" t="s">
        <v>60</v>
      </c>
      <c r="B52" s="43" t="s">
        <v>62</v>
      </c>
      <c r="C52" s="14">
        <f>'B1'!C50</f>
        <v>0</v>
      </c>
      <c r="D52" s="44">
        <f t="shared" si="1"/>
        <v>0</v>
      </c>
      <c r="E52" s="45">
        <f>'B1'!E50</f>
        <v>0</v>
      </c>
      <c r="F52" s="44">
        <f t="shared" si="11"/>
        <v>0</v>
      </c>
      <c r="G52" s="44">
        <f t="shared" si="2"/>
        <v>0</v>
      </c>
      <c r="H52" s="44">
        <f>'B1'!G50</f>
        <v>0</v>
      </c>
      <c r="I52" s="44"/>
      <c r="J52" s="44">
        <f>'B1'!H50</f>
        <v>0</v>
      </c>
      <c r="K52" s="44"/>
      <c r="L52" s="47">
        <f>'B1'!I50</f>
        <v>0</v>
      </c>
      <c r="M52" s="47"/>
      <c r="N52" s="47">
        <f>'B1'!J50</f>
        <v>0</v>
      </c>
      <c r="O52" s="44"/>
      <c r="P52" s="47">
        <f>'B1'!K50</f>
        <v>0</v>
      </c>
      <c r="Q52" s="44"/>
      <c r="R52" s="47">
        <f>'B1'!L50</f>
        <v>0</v>
      </c>
      <c r="S52" s="44"/>
      <c r="T52" s="47">
        <f>'B1'!M50</f>
        <v>0</v>
      </c>
      <c r="U52" s="44"/>
      <c r="V52" s="47">
        <f>'B1'!N50</f>
        <v>0</v>
      </c>
      <c r="W52" s="44"/>
      <c r="X52" s="47">
        <f>'B1'!O50</f>
        <v>0</v>
      </c>
      <c r="Y52" s="44"/>
      <c r="Z52" s="47">
        <f>'B1'!P50</f>
        <v>0</v>
      </c>
      <c r="AA52" s="44"/>
      <c r="AB52" s="47">
        <f>'B1'!Q50</f>
        <v>0</v>
      </c>
      <c r="AC52" s="44"/>
    </row>
    <row r="53" spans="1:29" s="41" customFormat="1" ht="34.5" customHeight="1">
      <c r="A53" s="42" t="s">
        <v>60</v>
      </c>
      <c r="B53" s="43" t="s">
        <v>63</v>
      </c>
      <c r="C53" s="14">
        <f>'B1'!C51</f>
        <v>33000</v>
      </c>
      <c r="D53" s="44">
        <f t="shared" si="1"/>
        <v>33000</v>
      </c>
      <c r="E53" s="45"/>
      <c r="F53" s="44">
        <f t="shared" si="11"/>
        <v>16486</v>
      </c>
      <c r="G53" s="44">
        <f t="shared" si="2"/>
        <v>16486</v>
      </c>
      <c r="H53" s="44">
        <f>'B1'!G51</f>
        <v>10000</v>
      </c>
      <c r="I53" s="44">
        <f>H53</f>
        <v>10000</v>
      </c>
      <c r="J53" s="44">
        <f>'B1'!H51</f>
        <v>1836</v>
      </c>
      <c r="K53" s="44">
        <f>J53</f>
        <v>1836</v>
      </c>
      <c r="L53" s="47">
        <f>'B1'!I51</f>
        <v>800</v>
      </c>
      <c r="M53" s="47">
        <f>L53</f>
        <v>800</v>
      </c>
      <c r="N53" s="47">
        <f>'B1'!J51</f>
        <v>2000</v>
      </c>
      <c r="O53" s="44">
        <f>N53</f>
        <v>2000</v>
      </c>
      <c r="P53" s="47">
        <f>'B1'!K51</f>
        <v>20</v>
      </c>
      <c r="Q53" s="44">
        <f>P53</f>
        <v>20</v>
      </c>
      <c r="R53" s="47">
        <f>'B1'!L51</f>
        <v>0</v>
      </c>
      <c r="S53" s="44">
        <f>R53</f>
        <v>0</v>
      </c>
      <c r="T53" s="47">
        <f>'B1'!M51</f>
        <v>600</v>
      </c>
      <c r="U53" s="44">
        <f>T53</f>
        <v>600</v>
      </c>
      <c r="V53" s="47">
        <f>'B1'!N51</f>
        <v>540</v>
      </c>
      <c r="W53" s="44">
        <f>V53</f>
        <v>540</v>
      </c>
      <c r="X53" s="47">
        <f>'B1'!O51</f>
        <v>200</v>
      </c>
      <c r="Y53" s="44">
        <f>X53</f>
        <v>200</v>
      </c>
      <c r="Z53" s="47">
        <f>'B1'!P51</f>
        <v>490</v>
      </c>
      <c r="AA53" s="44">
        <f>Z53</f>
        <v>490</v>
      </c>
      <c r="AB53" s="47">
        <f>'B1'!Q51</f>
        <v>0</v>
      </c>
      <c r="AC53" s="44">
        <f>AB53</f>
        <v>0</v>
      </c>
    </row>
    <row r="54" spans="1:29" s="41" customFormat="1" ht="34.5" customHeight="1">
      <c r="A54" s="42"/>
      <c r="B54" s="43" t="s">
        <v>62</v>
      </c>
      <c r="C54" s="14">
        <f>'B1'!C52</f>
        <v>2300</v>
      </c>
      <c r="D54" s="44">
        <f t="shared" si="1"/>
        <v>2300</v>
      </c>
      <c r="E54" s="45"/>
      <c r="F54" s="44">
        <f t="shared" si="11"/>
        <v>300</v>
      </c>
      <c r="G54" s="44">
        <f t="shared" si="2"/>
        <v>285</v>
      </c>
      <c r="H54" s="44">
        <f>'B1'!G52</f>
        <v>0</v>
      </c>
      <c r="I54" s="44"/>
      <c r="J54" s="44">
        <f>'B1'!H52</f>
        <v>0</v>
      </c>
      <c r="K54" s="44"/>
      <c r="L54" s="47">
        <f>'B1'!I52</f>
        <v>30</v>
      </c>
      <c r="M54" s="47">
        <f>L54</f>
        <v>30</v>
      </c>
      <c r="N54" s="47">
        <f>'B1'!J52</f>
        <v>15</v>
      </c>
      <c r="O54" s="44"/>
      <c r="P54" s="47">
        <f>'B1'!K52</f>
        <v>0</v>
      </c>
      <c r="Q54" s="44">
        <f>P54</f>
        <v>0</v>
      </c>
      <c r="R54" s="47">
        <f>'B1'!L52</f>
        <v>0</v>
      </c>
      <c r="S54" s="44"/>
      <c r="T54" s="47">
        <f>'B1'!M52</f>
        <v>0</v>
      </c>
      <c r="U54" s="44"/>
      <c r="V54" s="47">
        <f>'B1'!N52</f>
        <v>15</v>
      </c>
      <c r="W54" s="44">
        <f>V54</f>
        <v>15</v>
      </c>
      <c r="X54" s="47">
        <f>'B1'!O52</f>
        <v>240</v>
      </c>
      <c r="Y54" s="44">
        <f>X54</f>
        <v>240</v>
      </c>
      <c r="Z54" s="47">
        <f>'B1'!P52</f>
        <v>0</v>
      </c>
      <c r="AA54" s="44"/>
      <c r="AB54" s="47">
        <f>'B1'!Q52</f>
        <v>0</v>
      </c>
      <c r="AC54" s="44"/>
    </row>
    <row r="55" spans="1:29" s="41" customFormat="1" ht="21.75" customHeight="1">
      <c r="A55" s="42" t="s">
        <v>60</v>
      </c>
      <c r="B55" s="43" t="s">
        <v>64</v>
      </c>
      <c r="C55" s="14"/>
      <c r="D55" s="44">
        <f t="shared" si="1"/>
        <v>0</v>
      </c>
      <c r="E55" s="45"/>
      <c r="F55" s="44">
        <f t="shared" si="11"/>
        <v>9244</v>
      </c>
      <c r="G55" s="44">
        <f t="shared" si="2"/>
        <v>9244</v>
      </c>
      <c r="H55" s="44">
        <f>'B1'!G53</f>
        <v>920</v>
      </c>
      <c r="I55" s="44">
        <f>H55</f>
        <v>920</v>
      </c>
      <c r="J55" s="44">
        <f>'B1'!H53</f>
        <v>400</v>
      </c>
      <c r="K55" s="44">
        <f>J55</f>
        <v>400</v>
      </c>
      <c r="L55" s="47">
        <f>'B1'!I53</f>
        <v>4000</v>
      </c>
      <c r="M55" s="47">
        <f>L55</f>
        <v>4000</v>
      </c>
      <c r="N55" s="47">
        <f>'B1'!J53</f>
        <v>1000</v>
      </c>
      <c r="O55" s="44">
        <f>N55</f>
        <v>1000</v>
      </c>
      <c r="P55" s="47">
        <f>'B1'!K53</f>
        <v>500</v>
      </c>
      <c r="Q55" s="44">
        <f>P55</f>
        <v>500</v>
      </c>
      <c r="R55" s="47">
        <f>'B1'!L53</f>
        <v>200</v>
      </c>
      <c r="S55" s="44">
        <f>R55</f>
        <v>200</v>
      </c>
      <c r="T55" s="47">
        <f>'B1'!M53</f>
        <v>750</v>
      </c>
      <c r="U55" s="44">
        <f>T55</f>
        <v>750</v>
      </c>
      <c r="V55" s="47">
        <f>'B1'!N53</f>
        <v>370</v>
      </c>
      <c r="W55" s="44">
        <f>V55</f>
        <v>370</v>
      </c>
      <c r="X55" s="47">
        <f>'B1'!O53</f>
        <v>284</v>
      </c>
      <c r="Y55" s="44">
        <f>X55</f>
        <v>284</v>
      </c>
      <c r="Z55" s="47">
        <f>'B1'!P53</f>
        <v>270</v>
      </c>
      <c r="AA55" s="44">
        <f>Z55</f>
        <v>270</v>
      </c>
      <c r="AB55" s="47">
        <f>'B1'!Q53</f>
        <v>550</v>
      </c>
      <c r="AC55" s="44">
        <f>AB55</f>
        <v>550</v>
      </c>
    </row>
    <row r="56" spans="1:29" s="41" customFormat="1" ht="22.5" customHeight="1">
      <c r="A56" s="25">
        <v>10</v>
      </c>
      <c r="B56" s="22" t="s">
        <v>65</v>
      </c>
      <c r="C56" s="14">
        <f>'B1'!C54</f>
        <v>533000</v>
      </c>
      <c r="D56" s="14">
        <f>C56+837800</f>
        <v>1370800</v>
      </c>
      <c r="E56" s="14">
        <f>'B1'!E54</f>
        <v>1059000</v>
      </c>
      <c r="F56" s="14">
        <f t="shared" si="11"/>
        <v>311800</v>
      </c>
      <c r="G56" s="14">
        <f t="shared" si="2"/>
        <v>311800</v>
      </c>
      <c r="H56" s="14">
        <f>'B1'!G54</f>
        <v>41000</v>
      </c>
      <c r="I56" s="14">
        <f>H56</f>
        <v>41000</v>
      </c>
      <c r="J56" s="14">
        <f>'B1'!H54</f>
        <v>30000</v>
      </c>
      <c r="K56" s="14">
        <f>J56</f>
        <v>30000</v>
      </c>
      <c r="L56" s="32">
        <f>'B1'!I54</f>
        <v>110000</v>
      </c>
      <c r="M56" s="32">
        <f>L56</f>
        <v>110000</v>
      </c>
      <c r="N56" s="32">
        <f>'B1'!J54</f>
        <v>41500</v>
      </c>
      <c r="O56" s="14">
        <f>N56</f>
        <v>41500</v>
      </c>
      <c r="P56" s="32">
        <f>'B1'!K54</f>
        <v>15000</v>
      </c>
      <c r="Q56" s="14">
        <f>P56</f>
        <v>15000</v>
      </c>
      <c r="R56" s="32">
        <f>'B1'!L54</f>
        <v>27000</v>
      </c>
      <c r="S56" s="14">
        <f>R56</f>
        <v>27000</v>
      </c>
      <c r="T56" s="32">
        <f>'B1'!M54</f>
        <v>12000</v>
      </c>
      <c r="U56" s="14">
        <f>T56</f>
        <v>12000</v>
      </c>
      <c r="V56" s="32">
        <f>'B1'!N54</f>
        <v>13000</v>
      </c>
      <c r="W56" s="14">
        <f>V56</f>
        <v>13000</v>
      </c>
      <c r="X56" s="32">
        <f>'B1'!O54</f>
        <v>3500</v>
      </c>
      <c r="Y56" s="14">
        <f>X56</f>
        <v>3500</v>
      </c>
      <c r="Z56" s="32">
        <f>'B1'!P54</f>
        <v>3800</v>
      </c>
      <c r="AA56" s="14">
        <f>Z56</f>
        <v>3800</v>
      </c>
      <c r="AB56" s="32">
        <f>'B1'!Q54</f>
        <v>15000</v>
      </c>
      <c r="AC56" s="14">
        <f>AB56</f>
        <v>15000</v>
      </c>
    </row>
    <row r="57" spans="1:29" s="41" customFormat="1" ht="32.25" customHeight="1">
      <c r="A57" s="25">
        <v>11</v>
      </c>
      <c r="B57" s="22" t="s">
        <v>66</v>
      </c>
      <c r="C57" s="14">
        <f>'B1'!C55</f>
        <v>40000</v>
      </c>
      <c r="D57" s="14">
        <f t="shared" si="1"/>
        <v>40000</v>
      </c>
      <c r="E57" s="14">
        <f>'B1'!E55</f>
        <v>540</v>
      </c>
      <c r="F57" s="14">
        <f t="shared" si="11"/>
        <v>39460</v>
      </c>
      <c r="G57" s="14">
        <f t="shared" si="2"/>
        <v>39460</v>
      </c>
      <c r="H57" s="14">
        <f>'B1'!G55</f>
        <v>4500</v>
      </c>
      <c r="I57" s="14">
        <f>H57</f>
        <v>4500</v>
      </c>
      <c r="J57" s="14">
        <f>'B1'!H55</f>
        <v>1400</v>
      </c>
      <c r="K57" s="14">
        <f>J57</f>
        <v>1400</v>
      </c>
      <c r="L57" s="32">
        <f>'B1'!I55</f>
        <v>22400</v>
      </c>
      <c r="M57" s="32">
        <f>L57</f>
        <v>22400</v>
      </c>
      <c r="N57" s="32">
        <f>'B1'!J55</f>
        <v>3600</v>
      </c>
      <c r="O57" s="14">
        <f>N57</f>
        <v>3600</v>
      </c>
      <c r="P57" s="32">
        <f>'B1'!K55</f>
        <v>4800</v>
      </c>
      <c r="Q57" s="14">
        <f>P57</f>
        <v>4800</v>
      </c>
      <c r="R57" s="32">
        <f>'B1'!L55</f>
        <v>300</v>
      </c>
      <c r="S57" s="14">
        <f>R57</f>
        <v>300</v>
      </c>
      <c r="T57" s="32">
        <f>'B1'!M55</f>
        <v>900</v>
      </c>
      <c r="U57" s="14">
        <f>T57</f>
        <v>900</v>
      </c>
      <c r="V57" s="32">
        <f>'B1'!N55</f>
        <v>430</v>
      </c>
      <c r="W57" s="14">
        <f>V57</f>
        <v>430</v>
      </c>
      <c r="X57" s="32">
        <f>'B1'!O55</f>
        <v>420</v>
      </c>
      <c r="Y57" s="14">
        <f>X57</f>
        <v>420</v>
      </c>
      <c r="Z57" s="32">
        <f>'B1'!P55</f>
        <v>230</v>
      </c>
      <c r="AA57" s="14">
        <f>Z57</f>
        <v>230</v>
      </c>
      <c r="AB57" s="32">
        <f>'B1'!Q55</f>
        <v>480</v>
      </c>
      <c r="AC57" s="14">
        <f>AB57</f>
        <v>480</v>
      </c>
    </row>
    <row r="58" spans="1:29" s="23" customFormat="1" ht="24" customHeight="1">
      <c r="A58" s="25">
        <v>12</v>
      </c>
      <c r="B58" s="22" t="s">
        <v>67</v>
      </c>
      <c r="C58" s="14">
        <f>'B1'!C56</f>
        <v>200000</v>
      </c>
      <c r="D58" s="14">
        <f t="shared" si="1"/>
        <v>200000</v>
      </c>
      <c r="E58" s="14">
        <f>'B1'!E56</f>
        <v>89250</v>
      </c>
      <c r="F58" s="14">
        <f t="shared" si="11"/>
        <v>110750</v>
      </c>
      <c r="G58" s="14">
        <f>I58+K58+M58+O58+Q58+S58+U58+W58+Y58+AA58+AC58</f>
        <v>34150</v>
      </c>
      <c r="H58" s="14">
        <f>'B1'!G56</f>
        <v>14600</v>
      </c>
      <c r="I58" s="14">
        <f>H58-H59-H63</f>
        <v>3720</v>
      </c>
      <c r="J58" s="14">
        <f>'B1'!H56</f>
        <v>11700</v>
      </c>
      <c r="K58" s="14">
        <f>J58-J59-J63</f>
        <v>3660</v>
      </c>
      <c r="L58" s="32">
        <f>'B1'!I56</f>
        <v>26100</v>
      </c>
      <c r="M58" s="14">
        <f>L58-L59-L63</f>
        <v>14530</v>
      </c>
      <c r="N58" s="32">
        <f>'B1'!J56</f>
        <v>14000</v>
      </c>
      <c r="O58" s="14">
        <f>N58-N59-N63</f>
        <v>1990</v>
      </c>
      <c r="P58" s="32">
        <f>'B1'!K56</f>
        <v>9900</v>
      </c>
      <c r="Q58" s="14">
        <f>P58-P59-P63</f>
        <v>2820</v>
      </c>
      <c r="R58" s="32">
        <f>'B1'!L56</f>
        <v>6000</v>
      </c>
      <c r="S58" s="14">
        <f>R58-R59-R63</f>
        <v>2150</v>
      </c>
      <c r="T58" s="32">
        <f>'B1'!M56</f>
        <v>8320</v>
      </c>
      <c r="U58" s="14">
        <f>T58-T59-T63</f>
        <v>950</v>
      </c>
      <c r="V58" s="32">
        <f>'B1'!N56</f>
        <v>6100</v>
      </c>
      <c r="W58" s="14">
        <f>V58-V59-V63</f>
        <v>1390</v>
      </c>
      <c r="X58" s="32">
        <f>'B1'!O56</f>
        <v>3730</v>
      </c>
      <c r="Y58" s="14">
        <f>X58-X59-X63</f>
        <v>630</v>
      </c>
      <c r="Z58" s="32">
        <f>'B1'!P56</f>
        <v>4200</v>
      </c>
      <c r="AA58" s="14">
        <f>Z58-Z59-Z63</f>
        <v>490</v>
      </c>
      <c r="AB58" s="32">
        <f>'B1'!Q56</f>
        <v>6100</v>
      </c>
      <c r="AC58" s="14">
        <f>AB58-AB59-AB63</f>
        <v>1820</v>
      </c>
    </row>
    <row r="59" spans="1:29" s="23" customFormat="1" ht="26.25" customHeight="1">
      <c r="A59" s="48" t="s">
        <v>3</v>
      </c>
      <c r="B59" s="27" t="s">
        <v>68</v>
      </c>
      <c r="C59" s="14">
        <f>'B1'!C57</f>
        <v>110000</v>
      </c>
      <c r="D59" s="35">
        <f t="shared" si="1"/>
        <v>110000</v>
      </c>
      <c r="E59" s="28">
        <f>'B1'!E57</f>
        <v>43400</v>
      </c>
      <c r="F59" s="28">
        <f t="shared" si="11"/>
        <v>66600</v>
      </c>
      <c r="G59" s="28">
        <f t="shared" si="2"/>
        <v>0</v>
      </c>
      <c r="H59" s="28">
        <f>'B1'!G57</f>
        <v>8700</v>
      </c>
      <c r="I59" s="28">
        <f>I60+I61</f>
        <v>0</v>
      </c>
      <c r="J59" s="28">
        <f>'B1'!H57</f>
        <v>7380</v>
      </c>
      <c r="K59" s="28">
        <f>K60+K61</f>
        <v>0</v>
      </c>
      <c r="L59" s="28">
        <f>'B1'!I57</f>
        <v>11500</v>
      </c>
      <c r="M59" s="28">
        <f>M60+M61</f>
        <v>0</v>
      </c>
      <c r="N59" s="28">
        <f>'B1'!J57</f>
        <v>8000</v>
      </c>
      <c r="O59" s="28">
        <f>O60+O61</f>
        <v>0</v>
      </c>
      <c r="P59" s="28">
        <f>'B1'!K57</f>
        <v>6700</v>
      </c>
      <c r="Q59" s="28">
        <f>Q60+Q61</f>
        <v>0</v>
      </c>
      <c r="R59" s="28">
        <f>'B1'!L57</f>
        <v>3670</v>
      </c>
      <c r="S59" s="28">
        <f>S60+S61</f>
        <v>0</v>
      </c>
      <c r="T59" s="28">
        <f>'B1'!M57</f>
        <v>5050</v>
      </c>
      <c r="U59" s="28">
        <f>U60+U61</f>
        <v>0</v>
      </c>
      <c r="V59" s="28">
        <f>'B1'!N57</f>
        <v>4600</v>
      </c>
      <c r="W59" s="28">
        <f>W60+W61</f>
        <v>0</v>
      </c>
      <c r="X59" s="28">
        <f>'B1'!O57</f>
        <v>3050</v>
      </c>
      <c r="Y59" s="28">
        <f>Y60+Y61</f>
        <v>0</v>
      </c>
      <c r="Z59" s="28">
        <f>'B1'!P57</f>
        <v>3700</v>
      </c>
      <c r="AA59" s="28">
        <f>AA60+AA61</f>
        <v>0</v>
      </c>
      <c r="AB59" s="28">
        <f>'B1'!Q57</f>
        <v>4250</v>
      </c>
      <c r="AC59" s="28">
        <f>AC60+AC61</f>
        <v>0</v>
      </c>
    </row>
    <row r="60" spans="1:29" s="23" customFormat="1" ht="22.5" customHeight="1">
      <c r="A60" s="48" t="s">
        <v>60</v>
      </c>
      <c r="B60" s="43" t="s">
        <v>69</v>
      </c>
      <c r="C60" s="14">
        <f>'B1'!C58</f>
        <v>50000</v>
      </c>
      <c r="D60" s="45">
        <f t="shared" si="1"/>
        <v>50000</v>
      </c>
      <c r="E60" s="44">
        <f>'B1'!E58</f>
        <v>1500</v>
      </c>
      <c r="F60" s="44">
        <f t="shared" si="11"/>
        <v>48500</v>
      </c>
      <c r="G60" s="44">
        <f t="shared" si="2"/>
        <v>0</v>
      </c>
      <c r="H60" s="44">
        <f>'B1'!G58</f>
        <v>7000</v>
      </c>
      <c r="I60" s="44"/>
      <c r="J60" s="44">
        <f>'B1'!H58</f>
        <v>6000</v>
      </c>
      <c r="K60" s="44"/>
      <c r="L60" s="47">
        <f>'B1'!I58</f>
        <v>7000</v>
      </c>
      <c r="M60" s="47"/>
      <c r="N60" s="47">
        <f>'B1'!J58</f>
        <v>4500</v>
      </c>
      <c r="O60" s="44"/>
      <c r="P60" s="47">
        <f>'B1'!K58</f>
        <v>5000</v>
      </c>
      <c r="Q60" s="44"/>
      <c r="R60" s="47">
        <f>'B1'!L58</f>
        <v>3000</v>
      </c>
      <c r="S60" s="44"/>
      <c r="T60" s="47">
        <f>'B1'!M58</f>
        <v>4000</v>
      </c>
      <c r="U60" s="44"/>
      <c r="V60" s="47">
        <f>'B1'!N58</f>
        <v>3000</v>
      </c>
      <c r="W60" s="44"/>
      <c r="X60" s="47">
        <f>'B1'!O58</f>
        <v>2500</v>
      </c>
      <c r="Y60" s="44"/>
      <c r="Z60" s="47">
        <f>'B1'!P58</f>
        <v>3000</v>
      </c>
      <c r="AA60" s="44"/>
      <c r="AB60" s="47">
        <f>'B1'!Q58</f>
        <v>3500</v>
      </c>
      <c r="AC60" s="44"/>
    </row>
    <row r="61" spans="1:29" s="50" customFormat="1" ht="20.25" customHeight="1">
      <c r="A61" s="49" t="s">
        <v>60</v>
      </c>
      <c r="B61" s="43" t="s">
        <v>70</v>
      </c>
      <c r="C61" s="14">
        <f>'B1'!C59</f>
        <v>5000</v>
      </c>
      <c r="D61" s="44">
        <f t="shared" si="1"/>
        <v>5000</v>
      </c>
      <c r="E61" s="44">
        <f>'B1'!E59</f>
        <v>1400</v>
      </c>
      <c r="F61" s="44">
        <f t="shared" si="11"/>
        <v>3600</v>
      </c>
      <c r="G61" s="44">
        <f t="shared" si="2"/>
        <v>0</v>
      </c>
      <c r="H61" s="44">
        <f>'B1'!G59</f>
        <v>400</v>
      </c>
      <c r="I61" s="44"/>
      <c r="J61" s="44">
        <f>'B1'!H59</f>
        <v>130</v>
      </c>
      <c r="K61" s="44"/>
      <c r="L61" s="44">
        <f>'B1'!I59</f>
        <v>1000</v>
      </c>
      <c r="M61" s="44"/>
      <c r="N61" s="44">
        <f>'B1'!J59</f>
        <v>1000</v>
      </c>
      <c r="O61" s="44"/>
      <c r="P61" s="44">
        <f>'B1'!K59</f>
        <v>300</v>
      </c>
      <c r="Q61" s="44"/>
      <c r="R61" s="44">
        <f>'B1'!L59</f>
        <v>70</v>
      </c>
      <c r="S61" s="44"/>
      <c r="T61" s="44">
        <f>'B1'!M59</f>
        <v>250</v>
      </c>
      <c r="U61" s="44"/>
      <c r="V61" s="44">
        <f>'B1'!N59</f>
        <v>200</v>
      </c>
      <c r="W61" s="44"/>
      <c r="X61" s="44">
        <f>'B1'!O59</f>
        <v>50</v>
      </c>
      <c r="Y61" s="44"/>
      <c r="Z61" s="44">
        <f>'B1'!P59</f>
        <v>100</v>
      </c>
      <c r="AA61" s="44"/>
      <c r="AB61" s="44">
        <f>'B1'!Q59</f>
        <v>100</v>
      </c>
      <c r="AC61" s="44"/>
    </row>
    <row r="62" spans="1:29" s="50" customFormat="1" ht="20.25" customHeight="1">
      <c r="A62" s="409" t="s">
        <v>276</v>
      </c>
      <c r="B62" s="27" t="s">
        <v>1089</v>
      </c>
      <c r="C62" s="14">
        <f>C58-C59</f>
        <v>90000</v>
      </c>
      <c r="D62" s="44">
        <f t="shared" ref="D62:AC62" si="13">D58-D59</f>
        <v>90000</v>
      </c>
      <c r="E62" s="437">
        <f t="shared" si="13"/>
        <v>45850</v>
      </c>
      <c r="F62" s="44">
        <f t="shared" si="13"/>
        <v>44150</v>
      </c>
      <c r="G62" s="44">
        <f>G58-G59</f>
        <v>34150</v>
      </c>
      <c r="H62" s="44">
        <f t="shared" si="13"/>
        <v>5900</v>
      </c>
      <c r="I62" s="44">
        <f>I58-I59</f>
        <v>3720</v>
      </c>
      <c r="J62" s="44">
        <f t="shared" si="13"/>
        <v>4320</v>
      </c>
      <c r="K62" s="44">
        <f t="shared" si="13"/>
        <v>3660</v>
      </c>
      <c r="L62" s="44">
        <f t="shared" si="13"/>
        <v>14600</v>
      </c>
      <c r="M62" s="44">
        <f t="shared" si="13"/>
        <v>14530</v>
      </c>
      <c r="N62" s="44">
        <f t="shared" si="13"/>
        <v>6000</v>
      </c>
      <c r="O62" s="44">
        <f t="shared" si="13"/>
        <v>1990</v>
      </c>
      <c r="P62" s="44">
        <f t="shared" si="13"/>
        <v>3200</v>
      </c>
      <c r="Q62" s="44">
        <f t="shared" si="13"/>
        <v>2820</v>
      </c>
      <c r="R62" s="44">
        <f t="shared" si="13"/>
        <v>2330</v>
      </c>
      <c r="S62" s="44">
        <f t="shared" si="13"/>
        <v>2150</v>
      </c>
      <c r="T62" s="44">
        <f t="shared" si="13"/>
        <v>3270</v>
      </c>
      <c r="U62" s="44">
        <f t="shared" si="13"/>
        <v>950</v>
      </c>
      <c r="V62" s="44">
        <f t="shared" si="13"/>
        <v>1500</v>
      </c>
      <c r="W62" s="44">
        <f t="shared" si="13"/>
        <v>1390</v>
      </c>
      <c r="X62" s="44">
        <f t="shared" si="13"/>
        <v>680</v>
      </c>
      <c r="Y62" s="44">
        <f t="shared" si="13"/>
        <v>630</v>
      </c>
      <c r="Z62" s="44">
        <f t="shared" si="13"/>
        <v>500</v>
      </c>
      <c r="AA62" s="44">
        <f t="shared" si="13"/>
        <v>490</v>
      </c>
      <c r="AB62" s="44">
        <f t="shared" si="13"/>
        <v>1850</v>
      </c>
      <c r="AC62" s="44">
        <f t="shared" si="13"/>
        <v>1820</v>
      </c>
    </row>
    <row r="63" spans="1:29" s="424" customFormat="1" ht="20.25" customHeight="1">
      <c r="A63" s="420" t="s">
        <v>340</v>
      </c>
      <c r="B63" s="421" t="s">
        <v>1090</v>
      </c>
      <c r="C63" s="422">
        <f>'B1'!C61</f>
        <v>10000</v>
      </c>
      <c r="D63" s="422">
        <f t="shared" si="1"/>
        <v>10000</v>
      </c>
      <c r="E63" s="422">
        <f>'B1'!E61</f>
        <v>0</v>
      </c>
      <c r="F63" s="422">
        <f>H63+J63+L63+N63+P63+R63+T63+V63+X63+Z63+AB63</f>
        <v>10000</v>
      </c>
      <c r="G63" s="422"/>
      <c r="H63" s="422">
        <f>'B1'!G61</f>
        <v>2180</v>
      </c>
      <c r="I63" s="422"/>
      <c r="J63" s="422">
        <f>'B1'!H61</f>
        <v>660</v>
      </c>
      <c r="K63" s="422"/>
      <c r="L63" s="423">
        <f>'B1'!I61</f>
        <v>70</v>
      </c>
      <c r="M63" s="422"/>
      <c r="N63" s="423">
        <f>'B1'!J61</f>
        <v>4010</v>
      </c>
      <c r="O63" s="422"/>
      <c r="P63" s="423">
        <f>'B1'!K61</f>
        <v>380</v>
      </c>
      <c r="Q63" s="422"/>
      <c r="R63" s="423">
        <f>'B1'!L61</f>
        <v>180</v>
      </c>
      <c r="S63" s="422"/>
      <c r="T63" s="423">
        <f>'B1'!M61</f>
        <v>2320</v>
      </c>
      <c r="U63" s="422"/>
      <c r="V63" s="423">
        <f>'B1'!N61</f>
        <v>110</v>
      </c>
      <c r="W63" s="422"/>
      <c r="X63" s="423">
        <f>'B1'!O61</f>
        <v>50</v>
      </c>
      <c r="Y63" s="422"/>
      <c r="Z63" s="423">
        <f>'B1'!P61</f>
        <v>10</v>
      </c>
      <c r="AA63" s="422"/>
      <c r="AB63" s="423">
        <f>'B1'!Q61</f>
        <v>30</v>
      </c>
      <c r="AC63" s="422"/>
    </row>
    <row r="64" spans="1:29" s="41" customFormat="1" ht="34.5" customHeight="1">
      <c r="A64" s="25">
        <v>13</v>
      </c>
      <c r="B64" s="22" t="s">
        <v>71</v>
      </c>
      <c r="C64" s="14">
        <f>'B1'!C62</f>
        <v>42000</v>
      </c>
      <c r="D64" s="14">
        <f t="shared" si="1"/>
        <v>42000</v>
      </c>
      <c r="E64" s="14">
        <f>'B1'!E62</f>
        <v>0</v>
      </c>
      <c r="F64" s="14">
        <f t="shared" si="11"/>
        <v>42000</v>
      </c>
      <c r="G64" s="14">
        <f t="shared" si="2"/>
        <v>0</v>
      </c>
      <c r="H64" s="14">
        <f>'B1'!G62</f>
        <v>14000</v>
      </c>
      <c r="I64" s="14"/>
      <c r="J64" s="14">
        <f>'B1'!H62</f>
        <v>5000</v>
      </c>
      <c r="K64" s="14"/>
      <c r="L64" s="47">
        <f>'B1'!I62</f>
        <v>300</v>
      </c>
      <c r="M64" s="47"/>
      <c r="N64" s="32">
        <f>'B1'!J62</f>
        <v>4000</v>
      </c>
      <c r="O64" s="14"/>
      <c r="P64" s="32">
        <f>'B1'!K62</f>
        <v>12210</v>
      </c>
      <c r="Q64" s="14"/>
      <c r="R64" s="32">
        <f>'B1'!L62</f>
        <v>10</v>
      </c>
      <c r="S64" s="14"/>
      <c r="T64" s="32">
        <f>'B1'!M62</f>
        <v>1320</v>
      </c>
      <c r="U64" s="14"/>
      <c r="V64" s="32">
        <f>'B1'!N62</f>
        <v>4000</v>
      </c>
      <c r="W64" s="14"/>
      <c r="X64" s="32">
        <f>'B1'!O62</f>
        <v>250</v>
      </c>
      <c r="Y64" s="14"/>
      <c r="Z64" s="32">
        <f>'B1'!P62</f>
        <v>820</v>
      </c>
      <c r="AA64" s="14"/>
      <c r="AB64" s="32">
        <f>'B1'!Q62</f>
        <v>90</v>
      </c>
      <c r="AC64" s="14"/>
    </row>
    <row r="65" spans="1:29" s="41" customFormat="1" ht="27.75" customHeight="1">
      <c r="A65" s="25">
        <v>14</v>
      </c>
      <c r="B65" s="22" t="s">
        <v>72</v>
      </c>
      <c r="C65" s="14">
        <f>'B1'!C63</f>
        <v>1000</v>
      </c>
      <c r="D65" s="14">
        <f t="shared" si="1"/>
        <v>1000</v>
      </c>
      <c r="E65" s="14">
        <f>'B1'!E63</f>
        <v>1000</v>
      </c>
      <c r="F65" s="14">
        <f t="shared" si="11"/>
        <v>0</v>
      </c>
      <c r="G65" s="14">
        <f t="shared" si="2"/>
        <v>0</v>
      </c>
      <c r="H65" s="14">
        <f>'B1'!G63</f>
        <v>0</v>
      </c>
      <c r="I65" s="14"/>
      <c r="J65" s="14">
        <f>'B1'!H63</f>
        <v>0</v>
      </c>
      <c r="K65" s="14"/>
      <c r="L65" s="47">
        <f>'B1'!I63</f>
        <v>0</v>
      </c>
      <c r="M65" s="47"/>
      <c r="N65" s="32">
        <f>'B1'!J63</f>
        <v>0</v>
      </c>
      <c r="O65" s="14"/>
      <c r="P65" s="32">
        <f>'B1'!K63</f>
        <v>0</v>
      </c>
      <c r="Q65" s="14"/>
      <c r="R65" s="32">
        <f>'B1'!L63</f>
        <v>0</v>
      </c>
      <c r="S65" s="14"/>
      <c r="T65" s="32">
        <f>'B1'!M63</f>
        <v>0</v>
      </c>
      <c r="U65" s="14"/>
      <c r="V65" s="32">
        <f>'B1'!N63</f>
        <v>0</v>
      </c>
      <c r="W65" s="14"/>
      <c r="X65" s="32">
        <f>'B1'!O63</f>
        <v>0</v>
      </c>
      <c r="Y65" s="14"/>
      <c r="Z65" s="32">
        <f>'B1'!P63</f>
        <v>0</v>
      </c>
      <c r="AA65" s="14"/>
      <c r="AB65" s="32">
        <f>'B1'!Q63</f>
        <v>0</v>
      </c>
      <c r="AC65" s="14"/>
    </row>
    <row r="66" spans="1:29" s="41" customFormat="1" ht="25.5" customHeight="1">
      <c r="A66" s="25">
        <v>15</v>
      </c>
      <c r="B66" s="22" t="s">
        <v>73</v>
      </c>
      <c r="C66" s="14">
        <f>'B1'!C64</f>
        <v>16000</v>
      </c>
      <c r="D66" s="14">
        <f t="shared" si="1"/>
        <v>16000</v>
      </c>
      <c r="E66" s="14">
        <f>'B1'!E64</f>
        <v>16000</v>
      </c>
      <c r="F66" s="14">
        <f t="shared" si="11"/>
        <v>0</v>
      </c>
      <c r="G66" s="14">
        <f t="shared" si="2"/>
        <v>0</v>
      </c>
      <c r="H66" s="14">
        <f>'B1'!G64</f>
        <v>0</v>
      </c>
      <c r="I66" s="14"/>
      <c r="J66" s="14">
        <f>'B1'!H64</f>
        <v>0</v>
      </c>
      <c r="K66" s="14"/>
      <c r="L66" s="32">
        <f>'B1'!I64</f>
        <v>0</v>
      </c>
      <c r="M66" s="32"/>
      <c r="N66" s="32">
        <f>'B1'!J64</f>
        <v>0</v>
      </c>
      <c r="O66" s="14"/>
      <c r="P66" s="32">
        <f>'B1'!K64</f>
        <v>0</v>
      </c>
      <c r="Q66" s="14"/>
      <c r="R66" s="32">
        <f>'B1'!L64</f>
        <v>0</v>
      </c>
      <c r="S66" s="14"/>
      <c r="T66" s="32">
        <f>'B1'!M64</f>
        <v>0</v>
      </c>
      <c r="U66" s="14"/>
      <c r="V66" s="32">
        <f>'B1'!N64</f>
        <v>0</v>
      </c>
      <c r="W66" s="14"/>
      <c r="X66" s="32">
        <f>'B1'!O64</f>
        <v>0</v>
      </c>
      <c r="Y66" s="14"/>
      <c r="Z66" s="32">
        <f>'B1'!P64</f>
        <v>0</v>
      </c>
      <c r="AA66" s="14"/>
      <c r="AB66" s="32">
        <f>'B1'!Q64</f>
        <v>0</v>
      </c>
      <c r="AC66" s="14"/>
    </row>
    <row r="67" spans="1:29" s="56" customFormat="1" ht="37.5" customHeight="1">
      <c r="A67" s="53" t="s">
        <v>28</v>
      </c>
      <c r="B67" s="54" t="s">
        <v>87</v>
      </c>
      <c r="C67" s="436">
        <v>2431600</v>
      </c>
      <c r="D67" s="55">
        <f>C67+837800</f>
        <v>3269400</v>
      </c>
      <c r="E67" s="55">
        <f>D67-G67</f>
        <v>2326810</v>
      </c>
      <c r="F67" s="55"/>
      <c r="G67" s="55">
        <f>G11</f>
        <v>942590</v>
      </c>
      <c r="H67" s="55"/>
      <c r="I67" s="55">
        <f>I11</f>
        <v>170820</v>
      </c>
      <c r="J67" s="55"/>
      <c r="K67" s="55">
        <f>K11</f>
        <v>60360</v>
      </c>
      <c r="L67" s="55"/>
      <c r="M67" s="55">
        <f>M11</f>
        <v>317130</v>
      </c>
      <c r="N67" s="55"/>
      <c r="O67" s="55">
        <f>O11</f>
        <v>103590</v>
      </c>
      <c r="P67" s="55"/>
      <c r="Q67" s="55">
        <f>Q11</f>
        <v>52100</v>
      </c>
      <c r="R67" s="55"/>
      <c r="S67" s="55">
        <f>S11</f>
        <v>63640</v>
      </c>
      <c r="T67" s="55"/>
      <c r="U67" s="55">
        <f>U11</f>
        <v>38010</v>
      </c>
      <c r="V67" s="55"/>
      <c r="W67" s="55">
        <f>W11</f>
        <v>49690</v>
      </c>
      <c r="X67" s="55"/>
      <c r="Y67" s="55">
        <f>Y11</f>
        <v>24450</v>
      </c>
      <c r="Z67" s="55"/>
      <c r="AA67" s="55">
        <f>AA11</f>
        <v>20870</v>
      </c>
      <c r="AB67" s="55"/>
      <c r="AC67" s="55">
        <f>AC11</f>
        <v>41930</v>
      </c>
    </row>
    <row r="68" spans="1:29" ht="12.75">
      <c r="C68" s="51"/>
    </row>
    <row r="69" spans="1:29" ht="12.75">
      <c r="C69" s="52">
        <f>C19-C45-C49-C59-18000*0.7-2000</f>
        <v>2431600</v>
      </c>
      <c r="D69" s="52">
        <f>D19-D45-D49-D59-18000*0.7-2000</f>
        <v>3269400</v>
      </c>
    </row>
    <row r="70" spans="1:29" ht="12.75">
      <c r="C70" s="52">
        <f>C69-C67</f>
        <v>0</v>
      </c>
    </row>
    <row r="71" spans="1:29" ht="12.75" hidden="1">
      <c r="C71" s="52"/>
    </row>
    <row r="72" spans="1:29" hidden="1"/>
    <row r="73" spans="1:29" hidden="1">
      <c r="G73" s="3">
        <f>F11-L36*0.5-L37*0.5-F51-F59-F64-F63</f>
        <v>942660</v>
      </c>
      <c r="H73" s="3">
        <f>H11-H59-H64-H63</f>
        <v>170820</v>
      </c>
      <c r="J73" s="3">
        <f>J11-J59-J64-J63</f>
        <v>60360</v>
      </c>
      <c r="L73" s="3">
        <f>L11-L59-L64-L36*0.5-L37*0.5-L63</f>
        <v>317190</v>
      </c>
      <c r="N73" s="3">
        <f>N11-N59-N64-N63-N51</f>
        <v>103590</v>
      </c>
      <c r="P73" s="3">
        <f>P11-P59-P64-P63-P51</f>
        <v>52110</v>
      </c>
      <c r="R73" s="3">
        <f>R11-R59-R64-R63-R51</f>
        <v>63640</v>
      </c>
      <c r="T73" s="3">
        <f>T11-T59-T64-T63-T51</f>
        <v>38010</v>
      </c>
      <c r="V73" s="3">
        <f>V11-V59-V64-V63-V51</f>
        <v>49690</v>
      </c>
      <c r="X73" s="3">
        <f>X11-X59-X64-X63-X51</f>
        <v>24450</v>
      </c>
      <c r="Z73" s="3">
        <f>Z11-Z59-Z64-Z63-Z51</f>
        <v>20870</v>
      </c>
      <c r="AB73" s="3">
        <f>AB11-AB59-AB64-AB63-AB51</f>
        <v>41930</v>
      </c>
    </row>
  </sheetData>
  <mergeCells count="45">
    <mergeCell ref="A3:AB3"/>
    <mergeCell ref="A4:AB4"/>
    <mergeCell ref="E5:T5"/>
    <mergeCell ref="V5:AB5"/>
    <mergeCell ref="A6:A9"/>
    <mergeCell ref="B6:B9"/>
    <mergeCell ref="C6:C9"/>
    <mergeCell ref="D6:AC6"/>
    <mergeCell ref="D7:D9"/>
    <mergeCell ref="E7:E9"/>
    <mergeCell ref="Z7:AA7"/>
    <mergeCell ref="F7:F9"/>
    <mergeCell ref="G7:G9"/>
    <mergeCell ref="H7:I7"/>
    <mergeCell ref="J7:K7"/>
    <mergeCell ref="L7:M7"/>
    <mergeCell ref="N7:O7"/>
    <mergeCell ref="V8:V9"/>
    <mergeCell ref="AB7:AC7"/>
    <mergeCell ref="H8:H9"/>
    <mergeCell ref="I8:I9"/>
    <mergeCell ref="J8:J9"/>
    <mergeCell ref="K8:K9"/>
    <mergeCell ref="L8:L9"/>
    <mergeCell ref="M8:M9"/>
    <mergeCell ref="N8:N9"/>
    <mergeCell ref="O8:O9"/>
    <mergeCell ref="P8:P9"/>
    <mergeCell ref="P7:Q7"/>
    <mergeCell ref="R7:S7"/>
    <mergeCell ref="T7:U7"/>
    <mergeCell ref="V7:W7"/>
    <mergeCell ref="X7:Y7"/>
    <mergeCell ref="Q8:Q9"/>
    <mergeCell ref="R8:R9"/>
    <mergeCell ref="S8:S9"/>
    <mergeCell ref="T8:T9"/>
    <mergeCell ref="U8:U9"/>
    <mergeCell ref="AC8:AC9"/>
    <mergeCell ref="W8:W9"/>
    <mergeCell ref="X8:X9"/>
    <mergeCell ref="Y8:Y9"/>
    <mergeCell ref="Z8:Z9"/>
    <mergeCell ref="AA8:AA9"/>
    <mergeCell ref="AB8:AB9"/>
  </mergeCells>
  <pageMargins left="0.35433070866141736" right="0.15748031496062992" top="0.39370078740157483" bottom="0.27559055118110237" header="0.31496062992125984" footer="0.31496062992125984"/>
  <pageSetup paperSize="9" scale="5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O214"/>
  <sheetViews>
    <sheetView tabSelected="1" zoomScale="70" zoomScaleNormal="70" workbookViewId="0">
      <pane xSplit="2" ySplit="8" topLeftCell="C18" activePane="bottomRight" state="frozen"/>
      <selection pane="topRight" activeCell="C1" sqref="C1"/>
      <selection pane="bottomLeft" activeCell="A9" sqref="A9"/>
      <selection pane="bottomRight" activeCell="B19" sqref="B19"/>
    </sheetView>
  </sheetViews>
  <sheetFormatPr defaultColWidth="9.125" defaultRowHeight="15.75"/>
  <cols>
    <col min="1" max="1" width="9.125" style="476" customWidth="1"/>
    <col min="2" max="2" width="68.625" style="455" customWidth="1"/>
    <col min="3" max="4" width="13.125" style="455" customWidth="1"/>
    <col min="5" max="5" width="13.875" style="455" customWidth="1"/>
    <col min="6" max="7" width="14.125" style="455" customWidth="1"/>
    <col min="8" max="8" width="13" style="455" customWidth="1"/>
    <col min="9" max="9" width="13.125" style="455" customWidth="1"/>
    <col min="10" max="10" width="13.875" style="455" customWidth="1"/>
    <col min="11" max="11" width="12.875" style="455" customWidth="1"/>
    <col min="12" max="12" width="13" style="455" customWidth="1"/>
    <col min="13" max="13" width="12.875" style="455" customWidth="1"/>
    <col min="14" max="16" width="11.875" style="455" customWidth="1"/>
    <col min="17" max="17" width="13.125" style="455" customWidth="1"/>
    <col min="18" max="18" width="9.125" style="455" hidden="1" customWidth="1"/>
    <col min="19" max="16384" width="9.125" style="455"/>
  </cols>
  <sheetData>
    <row r="1" spans="1:17" ht="22.5" customHeight="1">
      <c r="A1" s="978" t="s">
        <v>1112</v>
      </c>
      <c r="B1" s="978"/>
      <c r="C1" s="978"/>
      <c r="D1" s="978"/>
      <c r="E1" s="978"/>
      <c r="F1" s="978"/>
      <c r="G1" s="978"/>
      <c r="H1" s="978"/>
      <c r="I1" s="978"/>
      <c r="J1" s="978"/>
      <c r="K1" s="978"/>
      <c r="L1" s="978"/>
      <c r="M1" s="978"/>
      <c r="N1" s="978"/>
      <c r="O1" s="978"/>
      <c r="P1" s="978"/>
      <c r="Q1" s="978"/>
    </row>
    <row r="2" spans="1:17" s="615" customFormat="1" ht="21" customHeight="1">
      <c r="A2" s="979" t="str">
        <f>'B1'!A2:Q2</f>
        <v>(Kèm theo Quyết định số: 2255/QĐ-UBND ngày 15 tháng 12 năm 2024 của UBND tỉnh Lạng Sơn)</v>
      </c>
      <c r="B2" s="979"/>
      <c r="C2" s="979"/>
      <c r="D2" s="979"/>
      <c r="E2" s="979"/>
      <c r="F2" s="979"/>
      <c r="G2" s="979"/>
      <c r="H2" s="979"/>
      <c r="I2" s="979"/>
      <c r="J2" s="979"/>
      <c r="K2" s="979"/>
      <c r="L2" s="979"/>
      <c r="M2" s="979"/>
      <c r="N2" s="979"/>
      <c r="O2" s="979"/>
      <c r="P2" s="979"/>
      <c r="Q2" s="979"/>
    </row>
    <row r="3" spans="1:17" ht="18" customHeight="1">
      <c r="A3" s="980"/>
      <c r="B3" s="980"/>
      <c r="C3" s="454"/>
      <c r="D3" s="786"/>
      <c r="E3" s="787"/>
      <c r="F3" s="786"/>
      <c r="G3" s="786"/>
      <c r="H3" s="786"/>
      <c r="I3" s="786"/>
      <c r="J3" s="786"/>
      <c r="K3" s="786"/>
      <c r="L3" s="786"/>
      <c r="N3" s="981" t="s">
        <v>269</v>
      </c>
      <c r="O3" s="981"/>
      <c r="P3" s="981"/>
      <c r="Q3" s="981"/>
    </row>
    <row r="4" spans="1:17" s="457" customFormat="1" ht="24" customHeight="1">
      <c r="A4" s="982" t="s">
        <v>88</v>
      </c>
      <c r="B4" s="982" t="s">
        <v>89</v>
      </c>
      <c r="C4" s="988" t="s">
        <v>12</v>
      </c>
      <c r="D4" s="982" t="s">
        <v>13</v>
      </c>
      <c r="E4" s="982" t="s">
        <v>90</v>
      </c>
      <c r="F4" s="985"/>
      <c r="G4" s="985"/>
      <c r="H4" s="985"/>
      <c r="I4" s="985"/>
      <c r="J4" s="985"/>
      <c r="K4" s="985"/>
      <c r="L4" s="985"/>
      <c r="M4" s="985"/>
      <c r="N4" s="985"/>
      <c r="O4" s="985"/>
      <c r="P4" s="985"/>
      <c r="Q4" s="985"/>
    </row>
    <row r="5" spans="1:17" s="457" customFormat="1" ht="18.75" customHeight="1">
      <c r="A5" s="983"/>
      <c r="B5" s="983"/>
      <c r="C5" s="988"/>
      <c r="D5" s="983"/>
      <c r="E5" s="459"/>
      <c r="F5" s="459"/>
      <c r="G5" s="986" t="s">
        <v>90</v>
      </c>
      <c r="H5" s="987"/>
      <c r="I5" s="987"/>
      <c r="J5" s="987"/>
      <c r="K5" s="987"/>
      <c r="L5" s="987"/>
      <c r="M5" s="987"/>
      <c r="N5" s="987"/>
      <c r="O5" s="987"/>
      <c r="P5" s="987"/>
      <c r="Q5" s="987"/>
    </row>
    <row r="6" spans="1:17" s="457" customFormat="1" ht="19.5" customHeight="1">
      <c r="A6" s="983"/>
      <c r="B6" s="983"/>
      <c r="C6" s="988"/>
      <c r="D6" s="983"/>
      <c r="E6" s="458" t="s">
        <v>91</v>
      </c>
      <c r="F6" s="458" t="s">
        <v>92</v>
      </c>
      <c r="G6" s="456" t="s">
        <v>93</v>
      </c>
      <c r="H6" s="456" t="s">
        <v>94</v>
      </c>
      <c r="I6" s="456" t="s">
        <v>95</v>
      </c>
      <c r="J6" s="456" t="s">
        <v>96</v>
      </c>
      <c r="K6" s="456" t="s">
        <v>97</v>
      </c>
      <c r="L6" s="456" t="s">
        <v>98</v>
      </c>
      <c r="M6" s="456" t="s">
        <v>99</v>
      </c>
      <c r="N6" s="456" t="s">
        <v>100</v>
      </c>
      <c r="O6" s="456" t="s">
        <v>99</v>
      </c>
      <c r="P6" s="456" t="s">
        <v>101</v>
      </c>
      <c r="Q6" s="456" t="s">
        <v>102</v>
      </c>
    </row>
    <row r="7" spans="1:17" s="457" customFormat="1" ht="18.75" customHeight="1">
      <c r="A7" s="984"/>
      <c r="B7" s="984"/>
      <c r="C7" s="988"/>
      <c r="D7" s="984"/>
      <c r="E7" s="461"/>
      <c r="F7" s="460"/>
      <c r="G7" s="460" t="s">
        <v>103</v>
      </c>
      <c r="H7" s="460" t="s">
        <v>104</v>
      </c>
      <c r="I7" s="460" t="s">
        <v>105</v>
      </c>
      <c r="J7" s="460" t="s">
        <v>97</v>
      </c>
      <c r="K7" s="460" t="s">
        <v>101</v>
      </c>
      <c r="L7" s="460" t="s">
        <v>106</v>
      </c>
      <c r="M7" s="460" t="s">
        <v>107</v>
      </c>
      <c r="N7" s="460" t="s">
        <v>108</v>
      </c>
      <c r="O7" s="460" t="s">
        <v>109</v>
      </c>
      <c r="P7" s="460" t="s">
        <v>110</v>
      </c>
      <c r="Q7" s="460" t="s">
        <v>111</v>
      </c>
    </row>
    <row r="8" spans="1:17" s="57" customFormat="1" ht="23.25" customHeight="1">
      <c r="A8" s="462" t="s">
        <v>27</v>
      </c>
      <c r="B8" s="463" t="s">
        <v>28</v>
      </c>
      <c r="C8" s="463">
        <v>1</v>
      </c>
      <c r="D8" s="464" t="s">
        <v>29</v>
      </c>
      <c r="E8" s="462">
        <v>3</v>
      </c>
      <c r="F8" s="462" t="s">
        <v>112</v>
      </c>
      <c r="G8" s="462">
        <v>5</v>
      </c>
      <c r="H8" s="462">
        <v>6</v>
      </c>
      <c r="I8" s="462">
        <v>7</v>
      </c>
      <c r="J8" s="462">
        <v>8</v>
      </c>
      <c r="K8" s="462">
        <v>9</v>
      </c>
      <c r="L8" s="462">
        <v>10</v>
      </c>
      <c r="M8" s="462">
        <v>11</v>
      </c>
      <c r="N8" s="462">
        <v>12</v>
      </c>
      <c r="O8" s="462">
        <v>13</v>
      </c>
      <c r="P8" s="462">
        <v>14</v>
      </c>
      <c r="Q8" s="462">
        <v>15</v>
      </c>
    </row>
    <row r="9" spans="1:17" ht="23.25" customHeight="1">
      <c r="A9" s="511" t="s">
        <v>27</v>
      </c>
      <c r="B9" s="512" t="s">
        <v>31</v>
      </c>
      <c r="C9" s="513">
        <f>C10+C17</f>
        <v>9100000</v>
      </c>
      <c r="D9" s="513">
        <f t="shared" ref="D9:Q9" si="0">D10+D17</f>
        <v>9937800</v>
      </c>
      <c r="E9" s="513">
        <f t="shared" si="0"/>
        <v>8325900</v>
      </c>
      <c r="F9" s="513">
        <f t="shared" si="0"/>
        <v>1611900</v>
      </c>
      <c r="G9" s="513">
        <f t="shared" si="0"/>
        <v>195700</v>
      </c>
      <c r="H9" s="513">
        <f t="shared" si="0"/>
        <v>73400</v>
      </c>
      <c r="I9" s="513">
        <f t="shared" si="0"/>
        <v>389700</v>
      </c>
      <c r="J9" s="513">
        <f t="shared" si="0"/>
        <v>499600</v>
      </c>
      <c r="K9" s="513">
        <f t="shared" si="0"/>
        <v>96400</v>
      </c>
      <c r="L9" s="513">
        <f t="shared" si="0"/>
        <v>67500</v>
      </c>
      <c r="M9" s="513">
        <f t="shared" si="0"/>
        <v>131600</v>
      </c>
      <c r="N9" s="513">
        <f t="shared" si="0"/>
        <v>58500</v>
      </c>
      <c r="O9" s="513">
        <f t="shared" si="0"/>
        <v>27800</v>
      </c>
      <c r="P9" s="513">
        <f t="shared" si="0"/>
        <v>25400</v>
      </c>
      <c r="Q9" s="513">
        <f t="shared" si="0"/>
        <v>46300</v>
      </c>
    </row>
    <row r="10" spans="1:17" ht="23.25" customHeight="1">
      <c r="A10" s="514" t="s">
        <v>1</v>
      </c>
      <c r="B10" s="515" t="s">
        <v>113</v>
      </c>
      <c r="C10" s="516">
        <f>C11+C12+C13+C14+C15+C16</f>
        <v>6450000</v>
      </c>
      <c r="D10" s="516">
        <f>D11+D12+D13+D14+D15+D16</f>
        <v>6450000</v>
      </c>
      <c r="E10" s="516">
        <f>E11+E12+E13+E14+E15+E16</f>
        <v>6450000</v>
      </c>
      <c r="F10" s="516"/>
      <c r="G10" s="516"/>
      <c r="H10" s="516"/>
      <c r="I10" s="516"/>
      <c r="J10" s="516"/>
      <c r="K10" s="516"/>
      <c r="L10" s="516"/>
      <c r="M10" s="516"/>
      <c r="N10" s="516"/>
      <c r="O10" s="516"/>
      <c r="P10" s="516"/>
      <c r="Q10" s="517"/>
    </row>
    <row r="11" spans="1:17" s="457" customFormat="1" ht="23.25" customHeight="1">
      <c r="A11" s="518">
        <v>1</v>
      </c>
      <c r="B11" s="519" t="s">
        <v>33</v>
      </c>
      <c r="C11" s="516">
        <f>'B1'!C11</f>
        <v>4825000</v>
      </c>
      <c r="D11" s="516">
        <f t="shared" ref="D11:E16" si="1">C11</f>
        <v>4825000</v>
      </c>
      <c r="E11" s="516">
        <f t="shared" si="1"/>
        <v>4825000</v>
      </c>
      <c r="F11" s="516"/>
      <c r="G11" s="516"/>
      <c r="H11" s="516"/>
      <c r="I11" s="516"/>
      <c r="J11" s="516"/>
      <c r="K11" s="516"/>
      <c r="L11" s="516"/>
      <c r="M11" s="516"/>
      <c r="N11" s="516"/>
      <c r="O11" s="516"/>
      <c r="P11" s="516"/>
      <c r="Q11" s="517"/>
    </row>
    <row r="12" spans="1:17" s="457" customFormat="1" ht="23.25" customHeight="1">
      <c r="A12" s="518">
        <v>2</v>
      </c>
      <c r="B12" s="519" t="s">
        <v>34</v>
      </c>
      <c r="C12" s="516">
        <f>'B1'!C12</f>
        <v>110000</v>
      </c>
      <c r="D12" s="516">
        <f t="shared" si="1"/>
        <v>110000</v>
      </c>
      <c r="E12" s="516">
        <f t="shared" si="1"/>
        <v>110000</v>
      </c>
      <c r="F12" s="516"/>
      <c r="G12" s="516"/>
      <c r="H12" s="516"/>
      <c r="I12" s="516"/>
      <c r="J12" s="516"/>
      <c r="K12" s="516"/>
      <c r="L12" s="516"/>
      <c r="M12" s="516"/>
      <c r="N12" s="516"/>
      <c r="O12" s="516"/>
      <c r="P12" s="516"/>
      <c r="Q12" s="517"/>
    </row>
    <row r="13" spans="1:17" s="457" customFormat="1" ht="23.25" customHeight="1">
      <c r="A13" s="518">
        <v>3</v>
      </c>
      <c r="B13" s="519" t="s">
        <v>35</v>
      </c>
      <c r="C13" s="516">
        <f>'B1'!C13</f>
        <v>1464000</v>
      </c>
      <c r="D13" s="516">
        <f t="shared" si="1"/>
        <v>1464000</v>
      </c>
      <c r="E13" s="516">
        <f t="shared" si="1"/>
        <v>1464000</v>
      </c>
      <c r="F13" s="516"/>
      <c r="G13" s="516"/>
      <c r="H13" s="516"/>
      <c r="I13" s="516"/>
      <c r="J13" s="516"/>
      <c r="K13" s="516"/>
      <c r="L13" s="516"/>
      <c r="M13" s="516"/>
      <c r="N13" s="516"/>
      <c r="O13" s="516"/>
      <c r="P13" s="516"/>
      <c r="Q13" s="517"/>
    </row>
    <row r="14" spans="1:17" s="457" customFormat="1" ht="23.25" customHeight="1">
      <c r="A14" s="518">
        <v>4</v>
      </c>
      <c r="B14" s="520" t="s">
        <v>36</v>
      </c>
      <c r="C14" s="516">
        <f>'B1'!C14</f>
        <v>30000</v>
      </c>
      <c r="D14" s="516">
        <f t="shared" si="1"/>
        <v>30000</v>
      </c>
      <c r="E14" s="516">
        <f t="shared" si="1"/>
        <v>30000</v>
      </c>
      <c r="F14" s="516"/>
      <c r="G14" s="516"/>
      <c r="H14" s="516"/>
      <c r="I14" s="516"/>
      <c r="J14" s="516"/>
      <c r="K14" s="516"/>
      <c r="L14" s="516"/>
      <c r="M14" s="516"/>
      <c r="N14" s="516"/>
      <c r="O14" s="516"/>
      <c r="P14" s="516"/>
      <c r="Q14" s="517"/>
    </row>
    <row r="15" spans="1:17" s="457" customFormat="1" ht="20.100000000000001" hidden="1" customHeight="1">
      <c r="A15" s="518">
        <v>5</v>
      </c>
      <c r="B15" s="520" t="s">
        <v>37</v>
      </c>
      <c r="C15" s="516">
        <f>'B1'!C15</f>
        <v>1000</v>
      </c>
      <c r="D15" s="516">
        <f t="shared" si="1"/>
        <v>1000</v>
      </c>
      <c r="E15" s="516">
        <f t="shared" si="1"/>
        <v>1000</v>
      </c>
      <c r="F15" s="516"/>
      <c r="G15" s="516"/>
      <c r="H15" s="516"/>
      <c r="I15" s="516"/>
      <c r="J15" s="516"/>
      <c r="K15" s="516"/>
      <c r="L15" s="516"/>
      <c r="M15" s="516"/>
      <c r="N15" s="516"/>
      <c r="O15" s="516"/>
      <c r="P15" s="516"/>
      <c r="Q15" s="517"/>
    </row>
    <row r="16" spans="1:17" s="457" customFormat="1" ht="23.25" customHeight="1">
      <c r="A16" s="518">
        <v>5</v>
      </c>
      <c r="B16" s="520" t="s">
        <v>38</v>
      </c>
      <c r="C16" s="516">
        <f>'B1'!C16</f>
        <v>20000</v>
      </c>
      <c r="D16" s="516">
        <f t="shared" si="1"/>
        <v>20000</v>
      </c>
      <c r="E16" s="516">
        <f t="shared" si="1"/>
        <v>20000</v>
      </c>
      <c r="F16" s="516"/>
      <c r="G16" s="516"/>
      <c r="H16" s="516"/>
      <c r="I16" s="516"/>
      <c r="J16" s="516"/>
      <c r="K16" s="516"/>
      <c r="L16" s="516"/>
      <c r="M16" s="516"/>
      <c r="N16" s="516"/>
      <c r="O16" s="516"/>
      <c r="P16" s="516"/>
      <c r="Q16" s="517"/>
    </row>
    <row r="17" spans="1:18" ht="23.25" customHeight="1">
      <c r="A17" s="514" t="s">
        <v>2</v>
      </c>
      <c r="B17" s="515" t="s">
        <v>114</v>
      </c>
      <c r="C17" s="517">
        <f>'B1'!C17</f>
        <v>2650000</v>
      </c>
      <c r="D17" s="517">
        <f>'B1'!D17</f>
        <v>3487800</v>
      </c>
      <c r="E17" s="517">
        <f>'B1'!E17</f>
        <v>1875900</v>
      </c>
      <c r="F17" s="517">
        <f>'B1'!F17</f>
        <v>1611900</v>
      </c>
      <c r="G17" s="517">
        <f>'B1'!G17</f>
        <v>195700</v>
      </c>
      <c r="H17" s="517">
        <f>'B1'!H17</f>
        <v>73400</v>
      </c>
      <c r="I17" s="517">
        <f>'B1'!I17</f>
        <v>389700</v>
      </c>
      <c r="J17" s="517">
        <f>'B1'!J17</f>
        <v>499600</v>
      </c>
      <c r="K17" s="517">
        <f>'B1'!K17</f>
        <v>96400</v>
      </c>
      <c r="L17" s="517">
        <f>'B1'!L17</f>
        <v>67500</v>
      </c>
      <c r="M17" s="517">
        <f>'B1'!M17</f>
        <v>131600</v>
      </c>
      <c r="N17" s="517">
        <f>'B1'!N17</f>
        <v>58500</v>
      </c>
      <c r="O17" s="517">
        <f>'B1'!O17</f>
        <v>27800</v>
      </c>
      <c r="P17" s="517">
        <f>'B1'!P17</f>
        <v>25400</v>
      </c>
      <c r="Q17" s="517">
        <f>'B1'!Q17</f>
        <v>46300</v>
      </c>
    </row>
    <row r="18" spans="1:18" ht="23.25" customHeight="1">
      <c r="A18" s="514" t="s">
        <v>115</v>
      </c>
      <c r="B18" s="521" t="s">
        <v>116</v>
      </c>
      <c r="C18" s="522">
        <v>2431600</v>
      </c>
      <c r="D18" s="523">
        <f>C18+837800</f>
        <v>3269400</v>
      </c>
      <c r="E18" s="523">
        <f>D18-F18</f>
        <v>2326810</v>
      </c>
      <c r="F18" s="523">
        <f t="shared" ref="F18:F65" si="2">SUM(G18:Q18)</f>
        <v>942590</v>
      </c>
      <c r="G18" s="523">
        <f>'B dieu tiet'!I11</f>
        <v>170820</v>
      </c>
      <c r="H18" s="523">
        <f>'B dieu tiet'!K11</f>
        <v>60360</v>
      </c>
      <c r="I18" s="523">
        <f>'B dieu tiet'!M11</f>
        <v>317130</v>
      </c>
      <c r="J18" s="523">
        <f>'B dieu tiet'!O11</f>
        <v>103590</v>
      </c>
      <c r="K18" s="523">
        <f>'B dieu tiet'!Q11</f>
        <v>52100</v>
      </c>
      <c r="L18" s="523">
        <f>'B dieu tiet'!S11</f>
        <v>63640</v>
      </c>
      <c r="M18" s="523">
        <f>'B dieu tiet'!U11</f>
        <v>38010</v>
      </c>
      <c r="N18" s="523">
        <f>'B dieu tiet'!W11</f>
        <v>49690</v>
      </c>
      <c r="O18" s="523">
        <f>'B dieu tiet'!Y11</f>
        <v>24450</v>
      </c>
      <c r="P18" s="523">
        <f>'B dieu tiet'!AA11</f>
        <v>20870</v>
      </c>
      <c r="Q18" s="523">
        <f>'B dieu tiet'!AC11</f>
        <v>41930</v>
      </c>
      <c r="R18" s="467">
        <f>D18-C18</f>
        <v>837800</v>
      </c>
    </row>
    <row r="19" spans="1:18" s="457" customFormat="1" ht="23.25" customHeight="1">
      <c r="A19" s="514" t="s">
        <v>28</v>
      </c>
      <c r="B19" s="515" t="s">
        <v>117</v>
      </c>
      <c r="C19" s="516">
        <f>C20+C152</f>
        <v>17853637</v>
      </c>
      <c r="D19" s="516">
        <f>D20+D152</f>
        <v>18691437</v>
      </c>
      <c r="E19" s="516">
        <f>E20+E152</f>
        <v>8297937</v>
      </c>
      <c r="F19" s="516">
        <f t="shared" si="2"/>
        <v>10393500</v>
      </c>
      <c r="G19" s="516">
        <f t="shared" ref="G19:Q19" si="3">G20+G152</f>
        <v>1219162</v>
      </c>
      <c r="H19" s="516">
        <f t="shared" si="3"/>
        <v>1005093</v>
      </c>
      <c r="I19" s="516">
        <f t="shared" si="3"/>
        <v>836173</v>
      </c>
      <c r="J19" s="516">
        <f t="shared" si="3"/>
        <v>1064552</v>
      </c>
      <c r="K19" s="516">
        <f t="shared" si="3"/>
        <v>1146316</v>
      </c>
      <c r="L19" s="516">
        <f t="shared" si="3"/>
        <v>643437</v>
      </c>
      <c r="M19" s="516">
        <f t="shared" si="3"/>
        <v>752366</v>
      </c>
      <c r="N19" s="516">
        <f t="shared" si="3"/>
        <v>944121</v>
      </c>
      <c r="O19" s="516">
        <f t="shared" si="3"/>
        <v>897289</v>
      </c>
      <c r="P19" s="516">
        <f t="shared" si="3"/>
        <v>968353</v>
      </c>
      <c r="Q19" s="516">
        <f t="shared" si="3"/>
        <v>916638</v>
      </c>
    </row>
    <row r="20" spans="1:18" ht="23.25" customHeight="1">
      <c r="A20" s="514" t="s">
        <v>1</v>
      </c>
      <c r="B20" s="515" t="s">
        <v>118</v>
      </c>
      <c r="C20" s="516">
        <f>C21+C29+C150+C151+C149</f>
        <v>13464235</v>
      </c>
      <c r="D20" s="516">
        <f>D21+D29+D150+D151+D149</f>
        <v>14302035</v>
      </c>
      <c r="E20" s="524">
        <f>E21+E29+E150+E151+E149</f>
        <v>4987965</v>
      </c>
      <c r="F20" s="524">
        <f t="shared" si="2"/>
        <v>9314070</v>
      </c>
      <c r="G20" s="524">
        <f t="shared" ref="G20:Q20" si="4">G21+G29+G150+G151+G149</f>
        <v>1089507</v>
      </c>
      <c r="H20" s="524">
        <f t="shared" si="4"/>
        <v>902204</v>
      </c>
      <c r="I20" s="524">
        <f t="shared" si="4"/>
        <v>816107</v>
      </c>
      <c r="J20" s="524">
        <f t="shared" si="4"/>
        <v>962511</v>
      </c>
      <c r="K20" s="524">
        <f t="shared" si="4"/>
        <v>1055796</v>
      </c>
      <c r="L20" s="524">
        <f t="shared" si="4"/>
        <v>563873</v>
      </c>
      <c r="M20" s="524">
        <f t="shared" si="4"/>
        <v>677536</v>
      </c>
      <c r="N20" s="524">
        <f t="shared" si="4"/>
        <v>798073</v>
      </c>
      <c r="O20" s="524">
        <f t="shared" si="4"/>
        <v>787908</v>
      </c>
      <c r="P20" s="524">
        <f t="shared" si="4"/>
        <v>850382</v>
      </c>
      <c r="Q20" s="524">
        <f t="shared" si="4"/>
        <v>810173</v>
      </c>
      <c r="R20" s="467">
        <f>D20-C20</f>
        <v>837800</v>
      </c>
    </row>
    <row r="21" spans="1:18" s="457" customFormat="1" ht="23.25" customHeight="1">
      <c r="A21" s="525">
        <v>1</v>
      </c>
      <c r="B21" s="515" t="s">
        <v>5</v>
      </c>
      <c r="C21" s="516">
        <f>C22+C25+C26+C28</f>
        <v>1401000</v>
      </c>
      <c r="D21" s="516">
        <f>D22+D25+D26+D28</f>
        <v>2238800</v>
      </c>
      <c r="E21" s="524">
        <f>E22+E25+E26+E28</f>
        <v>1814467</v>
      </c>
      <c r="F21" s="524">
        <f t="shared" si="2"/>
        <v>424333</v>
      </c>
      <c r="G21" s="524">
        <f t="shared" ref="G21:Q21" si="5">G22+G25+G26</f>
        <v>53550</v>
      </c>
      <c r="H21" s="524">
        <f t="shared" si="5"/>
        <v>39796</v>
      </c>
      <c r="I21" s="524">
        <f t="shared" si="5"/>
        <v>122648</v>
      </c>
      <c r="J21" s="524">
        <f t="shared" si="5"/>
        <v>52406</v>
      </c>
      <c r="K21" s="524">
        <f t="shared" si="5"/>
        <v>25256</v>
      </c>
      <c r="L21" s="524">
        <f t="shared" si="5"/>
        <v>36918</v>
      </c>
      <c r="M21" s="524">
        <f t="shared" si="5"/>
        <v>18849</v>
      </c>
      <c r="N21" s="524">
        <f t="shared" si="5"/>
        <v>24649</v>
      </c>
      <c r="O21" s="524">
        <f t="shared" si="5"/>
        <v>11780</v>
      </c>
      <c r="P21" s="524">
        <f t="shared" si="5"/>
        <v>15751</v>
      </c>
      <c r="Q21" s="524">
        <f t="shared" si="5"/>
        <v>22730</v>
      </c>
    </row>
    <row r="22" spans="1:18" ht="23.25" customHeight="1">
      <c r="A22" s="526" t="s">
        <v>119</v>
      </c>
      <c r="B22" s="521" t="s">
        <v>120</v>
      </c>
      <c r="C22" s="523">
        <v>826700</v>
      </c>
      <c r="D22" s="523">
        <f>C22</f>
        <v>826700</v>
      </c>
      <c r="E22" s="527">
        <f>D22-F22</f>
        <v>714167</v>
      </c>
      <c r="F22" s="527">
        <f>SUM(G22:Q22)</f>
        <v>112533</v>
      </c>
      <c r="G22" s="527">
        <v>12550</v>
      </c>
      <c r="H22" s="527">
        <v>9796</v>
      </c>
      <c r="I22" s="527">
        <v>12648</v>
      </c>
      <c r="J22" s="527">
        <v>10906</v>
      </c>
      <c r="K22" s="527">
        <v>10256</v>
      </c>
      <c r="L22" s="527">
        <v>9918</v>
      </c>
      <c r="M22" s="527">
        <v>6849</v>
      </c>
      <c r="N22" s="527">
        <v>11649</v>
      </c>
      <c r="O22" s="527">
        <v>8280</v>
      </c>
      <c r="P22" s="527">
        <v>11951</v>
      </c>
      <c r="Q22" s="527">
        <v>7730</v>
      </c>
    </row>
    <row r="23" spans="1:18" s="468" customFormat="1" ht="20.100000000000001" hidden="1" customHeight="1">
      <c r="A23" s="528"/>
      <c r="B23" s="529" t="s">
        <v>240</v>
      </c>
      <c r="C23" s="530"/>
      <c r="D23" s="530">
        <v>12270</v>
      </c>
      <c r="E23" s="531">
        <f>D23</f>
        <v>12270</v>
      </c>
      <c r="F23" s="531"/>
      <c r="G23" s="531"/>
      <c r="H23" s="531"/>
      <c r="I23" s="531"/>
      <c r="J23" s="531"/>
      <c r="K23" s="531"/>
      <c r="L23" s="531"/>
      <c r="M23" s="531"/>
      <c r="N23" s="531"/>
      <c r="O23" s="531"/>
      <c r="P23" s="531"/>
      <c r="Q23" s="531"/>
    </row>
    <row r="24" spans="1:18" s="468" customFormat="1" ht="20.100000000000001" hidden="1" customHeight="1">
      <c r="A24" s="528"/>
      <c r="B24" s="529" t="s">
        <v>121</v>
      </c>
      <c r="C24" s="530"/>
      <c r="D24" s="530"/>
      <c r="E24" s="531"/>
      <c r="F24" s="531"/>
      <c r="G24" s="531"/>
      <c r="H24" s="531"/>
      <c r="I24" s="531"/>
      <c r="J24" s="531"/>
      <c r="K24" s="531"/>
      <c r="L24" s="531"/>
      <c r="M24" s="531"/>
      <c r="N24" s="531"/>
      <c r="O24" s="531"/>
      <c r="P24" s="531"/>
      <c r="Q24" s="531"/>
    </row>
    <row r="25" spans="1:18" ht="23.25" customHeight="1">
      <c r="A25" s="526" t="s">
        <v>122</v>
      </c>
      <c r="B25" s="521" t="s">
        <v>123</v>
      </c>
      <c r="C25" s="522">
        <v>16000</v>
      </c>
      <c r="D25" s="523">
        <f>C25</f>
        <v>16000</v>
      </c>
      <c r="E25" s="527">
        <f>D25</f>
        <v>16000</v>
      </c>
      <c r="F25" s="527"/>
      <c r="G25" s="527"/>
      <c r="H25" s="527"/>
      <c r="I25" s="527"/>
      <c r="J25" s="527"/>
      <c r="K25" s="527"/>
      <c r="L25" s="527"/>
      <c r="M25" s="527"/>
      <c r="N25" s="527"/>
      <c r="O25" s="527"/>
      <c r="P25" s="527"/>
      <c r="Q25" s="527"/>
    </row>
    <row r="26" spans="1:18" ht="23.25" customHeight="1">
      <c r="A26" s="526" t="s">
        <v>124</v>
      </c>
      <c r="B26" s="521" t="s">
        <v>125</v>
      </c>
      <c r="C26" s="522">
        <f>'B1'!C54</f>
        <v>533000</v>
      </c>
      <c r="D26" s="522">
        <f>'B1'!D54</f>
        <v>1370800</v>
      </c>
      <c r="E26" s="527">
        <f>'B1'!E54</f>
        <v>1059000</v>
      </c>
      <c r="F26" s="527">
        <f>'B1'!F54</f>
        <v>311800</v>
      </c>
      <c r="G26" s="527">
        <f>'B1'!G54</f>
        <v>41000</v>
      </c>
      <c r="H26" s="527">
        <f>'B1'!H54</f>
        <v>30000</v>
      </c>
      <c r="I26" s="527">
        <f>'B1'!I54</f>
        <v>110000</v>
      </c>
      <c r="J26" s="527">
        <f>'B1'!J54</f>
        <v>41500</v>
      </c>
      <c r="K26" s="527">
        <f>'B1'!K54</f>
        <v>15000</v>
      </c>
      <c r="L26" s="527">
        <f>'B1'!L54</f>
        <v>27000</v>
      </c>
      <c r="M26" s="527">
        <f>'B1'!M54</f>
        <v>12000</v>
      </c>
      <c r="N26" s="527">
        <f>'B1'!N54</f>
        <v>13000</v>
      </c>
      <c r="O26" s="527">
        <f>'B1'!O54</f>
        <v>3500</v>
      </c>
      <c r="P26" s="527">
        <f>'B1'!P54</f>
        <v>3800</v>
      </c>
      <c r="Q26" s="527">
        <f>'B1'!Q54</f>
        <v>15000</v>
      </c>
      <c r="R26" s="466">
        <f>'B1'!R54</f>
        <v>0</v>
      </c>
    </row>
    <row r="27" spans="1:18" ht="54.75" hidden="1" customHeight="1">
      <c r="A27" s="526"/>
      <c r="B27" s="532"/>
      <c r="C27" s="522"/>
      <c r="D27" s="530"/>
      <c r="E27" s="531"/>
      <c r="F27" s="527"/>
      <c r="G27" s="527"/>
      <c r="H27" s="527"/>
      <c r="I27" s="527"/>
      <c r="J27" s="527"/>
      <c r="K27" s="527"/>
      <c r="L27" s="527"/>
      <c r="M27" s="527"/>
      <c r="N27" s="527"/>
      <c r="O27" s="527"/>
      <c r="P27" s="527"/>
      <c r="Q27" s="527"/>
    </row>
    <row r="28" spans="1:18" ht="23.25" customHeight="1">
      <c r="A28" s="526" t="s">
        <v>126</v>
      </c>
      <c r="B28" s="521" t="s">
        <v>127</v>
      </c>
      <c r="C28" s="522">
        <v>25300</v>
      </c>
      <c r="D28" s="523">
        <f>C28</f>
        <v>25300</v>
      </c>
      <c r="E28" s="527">
        <f>D28</f>
        <v>25300</v>
      </c>
      <c r="F28" s="527"/>
      <c r="G28" s="527"/>
      <c r="H28" s="527"/>
      <c r="I28" s="527"/>
      <c r="J28" s="527"/>
      <c r="K28" s="527"/>
      <c r="L28" s="527"/>
      <c r="M28" s="527"/>
      <c r="N28" s="527"/>
      <c r="O28" s="527"/>
      <c r="P28" s="527"/>
      <c r="Q28" s="527"/>
    </row>
    <row r="29" spans="1:18" s="457" customFormat="1" ht="23.25" customHeight="1">
      <c r="A29" s="525">
        <v>2</v>
      </c>
      <c r="B29" s="515" t="s">
        <v>6</v>
      </c>
      <c r="C29" s="517">
        <v>11790056</v>
      </c>
      <c r="D29" s="516">
        <f>C29</f>
        <v>11790056</v>
      </c>
      <c r="E29" s="524">
        <f>D29-F29</f>
        <v>3086599</v>
      </c>
      <c r="F29" s="524">
        <f>SUM(G29:Q29)</f>
        <v>8703457</v>
      </c>
      <c r="G29" s="524">
        <f t="shared" ref="G29:Q29" si="6">G30+G31+G44+G63+G68+G70+G71+G72+G73+G79+G87+G91+G93+G127+G141+G142</f>
        <v>1014167</v>
      </c>
      <c r="H29" s="524">
        <f t="shared" si="6"/>
        <v>844364</v>
      </c>
      <c r="I29" s="524">
        <f t="shared" si="6"/>
        <v>677137</v>
      </c>
      <c r="J29" s="524">
        <f t="shared" si="6"/>
        <v>890855</v>
      </c>
      <c r="K29" s="524">
        <f t="shared" si="6"/>
        <v>1009424</v>
      </c>
      <c r="L29" s="524">
        <f t="shared" si="6"/>
        <v>515678</v>
      </c>
      <c r="M29" s="524">
        <f t="shared" si="6"/>
        <v>645136</v>
      </c>
      <c r="N29" s="524">
        <f t="shared" si="6"/>
        <v>757463</v>
      </c>
      <c r="O29" s="524">
        <f t="shared" si="6"/>
        <v>760370</v>
      </c>
      <c r="P29" s="524">
        <f t="shared" si="6"/>
        <v>817623</v>
      </c>
      <c r="Q29" s="524">
        <f t="shared" si="6"/>
        <v>771240</v>
      </c>
    </row>
    <row r="30" spans="1:18" ht="42.75" customHeight="1">
      <c r="A30" s="514" t="s">
        <v>128</v>
      </c>
      <c r="B30" s="515" t="s">
        <v>129</v>
      </c>
      <c r="C30" s="517"/>
      <c r="D30" s="516">
        <f>E30+F30</f>
        <v>4361</v>
      </c>
      <c r="E30" s="524">
        <v>4361</v>
      </c>
      <c r="F30" s="524"/>
      <c r="G30" s="524"/>
      <c r="H30" s="524"/>
      <c r="I30" s="524"/>
      <c r="J30" s="524"/>
      <c r="K30" s="524"/>
      <c r="L30" s="524"/>
      <c r="M30" s="524"/>
      <c r="N30" s="524"/>
      <c r="O30" s="524"/>
      <c r="P30" s="524"/>
      <c r="Q30" s="524"/>
    </row>
    <row r="31" spans="1:18" ht="23.25" customHeight="1">
      <c r="A31" s="514" t="s">
        <v>130</v>
      </c>
      <c r="B31" s="515" t="s">
        <v>131</v>
      </c>
      <c r="C31" s="517"/>
      <c r="D31" s="516">
        <f>SUM(E31:F31)</f>
        <v>707196</v>
      </c>
      <c r="E31" s="524">
        <f>SUM(E32:E43)-E41-E43</f>
        <v>367782</v>
      </c>
      <c r="F31" s="524">
        <f t="shared" si="2"/>
        <v>339414</v>
      </c>
      <c r="G31" s="524">
        <f t="shared" ref="G31:Q31" si="7">SUM(G32:G43)</f>
        <v>24771</v>
      </c>
      <c r="H31" s="524">
        <f t="shared" si="7"/>
        <v>24982</v>
      </c>
      <c r="I31" s="524">
        <f t="shared" si="7"/>
        <v>80721</v>
      </c>
      <c r="J31" s="524">
        <f t="shared" si="7"/>
        <v>36832</v>
      </c>
      <c r="K31" s="524">
        <f t="shared" si="7"/>
        <v>27257</v>
      </c>
      <c r="L31" s="524">
        <f t="shared" si="7"/>
        <v>26087</v>
      </c>
      <c r="M31" s="524">
        <f t="shared" si="7"/>
        <v>22519</v>
      </c>
      <c r="N31" s="524">
        <f t="shared" si="7"/>
        <v>24054</v>
      </c>
      <c r="O31" s="524">
        <f t="shared" si="7"/>
        <v>24692</v>
      </c>
      <c r="P31" s="524">
        <f t="shared" si="7"/>
        <v>22769</v>
      </c>
      <c r="Q31" s="524">
        <f t="shared" si="7"/>
        <v>24730</v>
      </c>
    </row>
    <row r="32" spans="1:18" s="468" customFormat="1" ht="23.25" customHeight="1">
      <c r="A32" s="526"/>
      <c r="B32" s="533" t="s">
        <v>132</v>
      </c>
      <c r="C32" s="522"/>
      <c r="D32" s="523">
        <f t="shared" ref="D32:D64" si="8">E32+F32</f>
        <v>52614</v>
      </c>
      <c r="E32" s="527">
        <v>41325</v>
      </c>
      <c r="F32" s="527">
        <f t="shared" si="2"/>
        <v>11289</v>
      </c>
      <c r="G32" s="527">
        <v>1534</v>
      </c>
      <c r="H32" s="527">
        <v>1068</v>
      </c>
      <c r="I32" s="534">
        <v>627</v>
      </c>
      <c r="J32" s="534">
        <v>820</v>
      </c>
      <c r="K32" s="534">
        <v>1089</v>
      </c>
      <c r="L32" s="534">
        <v>714</v>
      </c>
      <c r="M32" s="534">
        <v>849</v>
      </c>
      <c r="N32" s="527">
        <v>1100</v>
      </c>
      <c r="O32" s="534">
        <v>1131</v>
      </c>
      <c r="P32" s="534">
        <v>1062</v>
      </c>
      <c r="Q32" s="534">
        <v>1295</v>
      </c>
    </row>
    <row r="33" spans="1:17" s="468" customFormat="1" ht="23.25" customHeight="1">
      <c r="A33" s="526"/>
      <c r="B33" s="533" t="s">
        <v>133</v>
      </c>
      <c r="C33" s="522"/>
      <c r="D33" s="523">
        <f t="shared" si="8"/>
        <v>21998</v>
      </c>
      <c r="E33" s="527">
        <v>17678</v>
      </c>
      <c r="F33" s="527">
        <f t="shared" si="2"/>
        <v>4320</v>
      </c>
      <c r="G33" s="527">
        <v>313</v>
      </c>
      <c r="H33" s="527">
        <v>320</v>
      </c>
      <c r="I33" s="534">
        <v>171</v>
      </c>
      <c r="J33" s="534">
        <v>382</v>
      </c>
      <c r="K33" s="534">
        <v>475</v>
      </c>
      <c r="L33" s="534">
        <v>623</v>
      </c>
      <c r="M33" s="534">
        <v>354</v>
      </c>
      <c r="N33" s="527">
        <v>468</v>
      </c>
      <c r="O33" s="534">
        <v>316</v>
      </c>
      <c r="P33" s="534">
        <v>543</v>
      </c>
      <c r="Q33" s="534">
        <v>355</v>
      </c>
    </row>
    <row r="34" spans="1:17" s="468" customFormat="1" ht="23.25" customHeight="1">
      <c r="A34" s="526"/>
      <c r="B34" s="533" t="s">
        <v>134</v>
      </c>
      <c r="C34" s="522"/>
      <c r="D34" s="523">
        <f t="shared" si="8"/>
        <v>33157</v>
      </c>
      <c r="E34" s="527">
        <v>18227</v>
      </c>
      <c r="F34" s="527">
        <f t="shared" si="2"/>
        <v>14930</v>
      </c>
      <c r="G34" s="527">
        <v>1711</v>
      </c>
      <c r="H34" s="527">
        <v>1183</v>
      </c>
      <c r="I34" s="534">
        <v>825</v>
      </c>
      <c r="J34" s="534">
        <v>974</v>
      </c>
      <c r="K34" s="534">
        <v>1335</v>
      </c>
      <c r="L34" s="534">
        <v>1475</v>
      </c>
      <c r="M34" s="534">
        <v>781</v>
      </c>
      <c r="N34" s="527">
        <v>1264</v>
      </c>
      <c r="O34" s="534">
        <v>2244</v>
      </c>
      <c r="P34" s="534">
        <v>1283</v>
      </c>
      <c r="Q34" s="534">
        <v>1855</v>
      </c>
    </row>
    <row r="35" spans="1:17" s="468" customFormat="1" ht="23.25" customHeight="1">
      <c r="A35" s="526"/>
      <c r="B35" s="533" t="s">
        <v>135</v>
      </c>
      <c r="C35" s="522"/>
      <c r="D35" s="523">
        <f t="shared" si="8"/>
        <v>125733</v>
      </c>
      <c r="E35" s="527">
        <v>66197</v>
      </c>
      <c r="F35" s="527">
        <f t="shared" si="2"/>
        <v>59536</v>
      </c>
      <c r="G35" s="527">
        <v>4929</v>
      </c>
      <c r="H35" s="527">
        <f>4831+39</f>
        <v>4870</v>
      </c>
      <c r="I35" s="534">
        <f>3218+2</f>
        <v>3220</v>
      </c>
      <c r="J35" s="534">
        <f>5949+21</f>
        <v>5970</v>
      </c>
      <c r="K35" s="534">
        <f>6813+55</f>
        <v>6868</v>
      </c>
      <c r="L35" s="534">
        <f>6126+81</f>
        <v>6207</v>
      </c>
      <c r="M35" s="534">
        <f>4756+32</f>
        <v>4788</v>
      </c>
      <c r="N35" s="527">
        <v>6699</v>
      </c>
      <c r="O35" s="534">
        <v>5562</v>
      </c>
      <c r="P35" s="534">
        <f>5154+7</f>
        <v>5161</v>
      </c>
      <c r="Q35" s="534">
        <v>5262</v>
      </c>
    </row>
    <row r="36" spans="1:17" s="468" customFormat="1" ht="23.25" customHeight="1">
      <c r="A36" s="526"/>
      <c r="B36" s="533" t="s">
        <v>136</v>
      </c>
      <c r="C36" s="522"/>
      <c r="D36" s="523">
        <f t="shared" si="8"/>
        <v>144814</v>
      </c>
      <c r="E36" s="527">
        <v>1814</v>
      </c>
      <c r="F36" s="527">
        <f t="shared" si="2"/>
        <v>143000</v>
      </c>
      <c r="G36" s="527">
        <v>5000</v>
      </c>
      <c r="H36" s="527">
        <v>10000</v>
      </c>
      <c r="I36" s="534">
        <v>65000</v>
      </c>
      <c r="J36" s="534">
        <v>18000</v>
      </c>
      <c r="K36" s="534">
        <v>10000</v>
      </c>
      <c r="L36" s="534">
        <v>10000</v>
      </c>
      <c r="M36" s="534">
        <v>5000</v>
      </c>
      <c r="N36" s="527">
        <v>5000</v>
      </c>
      <c r="O36" s="534">
        <v>5000</v>
      </c>
      <c r="P36" s="534">
        <v>5000</v>
      </c>
      <c r="Q36" s="534">
        <v>5000</v>
      </c>
    </row>
    <row r="37" spans="1:17" s="468" customFormat="1" ht="23.25" customHeight="1">
      <c r="A37" s="526"/>
      <c r="B37" s="533" t="s">
        <v>137</v>
      </c>
      <c r="C37" s="522"/>
      <c r="D37" s="523">
        <f t="shared" si="8"/>
        <v>27744</v>
      </c>
      <c r="E37" s="527">
        <v>22975</v>
      </c>
      <c r="F37" s="527">
        <f t="shared" si="2"/>
        <v>4769</v>
      </c>
      <c r="G37" s="527">
        <v>398</v>
      </c>
      <c r="H37" s="527">
        <v>399</v>
      </c>
      <c r="I37" s="534">
        <v>1040</v>
      </c>
      <c r="J37" s="534">
        <v>399</v>
      </c>
      <c r="K37" s="534">
        <v>347</v>
      </c>
      <c r="L37" s="534">
        <v>330</v>
      </c>
      <c r="M37" s="534">
        <v>347</v>
      </c>
      <c r="N37" s="527">
        <v>347</v>
      </c>
      <c r="O37" s="534">
        <v>347</v>
      </c>
      <c r="P37" s="534">
        <v>381</v>
      </c>
      <c r="Q37" s="534">
        <v>434</v>
      </c>
    </row>
    <row r="38" spans="1:17" s="468" customFormat="1" ht="23.25" customHeight="1">
      <c r="A38" s="526"/>
      <c r="B38" s="533" t="s">
        <v>138</v>
      </c>
      <c r="C38" s="522"/>
      <c r="D38" s="523">
        <f t="shared" si="8"/>
        <v>32112</v>
      </c>
      <c r="E38" s="527"/>
      <c r="F38" s="527">
        <f t="shared" si="2"/>
        <v>32112</v>
      </c>
      <c r="G38" s="527">
        <f>2571+235</f>
        <v>2806</v>
      </c>
      <c r="H38" s="527">
        <f>2534+80</f>
        <v>2614</v>
      </c>
      <c r="I38" s="534">
        <f>4456+237+229+332</f>
        <v>5254</v>
      </c>
      <c r="J38" s="534">
        <v>5058</v>
      </c>
      <c r="K38" s="534">
        <f>2702+81</f>
        <v>2783</v>
      </c>
      <c r="L38" s="534">
        <f>2067+0</f>
        <v>2067</v>
      </c>
      <c r="M38" s="534">
        <f>2898+0</f>
        <v>2898</v>
      </c>
      <c r="N38" s="527">
        <f>1997+244</f>
        <v>2241</v>
      </c>
      <c r="O38" s="534">
        <v>2015</v>
      </c>
      <c r="P38" s="534">
        <f>1788+241</f>
        <v>2029</v>
      </c>
      <c r="Q38" s="534">
        <f>2266+81</f>
        <v>2347</v>
      </c>
    </row>
    <row r="39" spans="1:17" s="468" customFormat="1" ht="23.25" customHeight="1">
      <c r="A39" s="526"/>
      <c r="B39" s="533" t="s">
        <v>139</v>
      </c>
      <c r="C39" s="522"/>
      <c r="D39" s="523">
        <f t="shared" si="8"/>
        <v>188567</v>
      </c>
      <c r="E39" s="527">
        <f>123966+5601</f>
        <v>129567</v>
      </c>
      <c r="F39" s="527">
        <f t="shared" si="2"/>
        <v>59000</v>
      </c>
      <c r="G39" s="527">
        <v>6500</v>
      </c>
      <c r="H39" s="527">
        <v>4000</v>
      </c>
      <c r="I39" s="534">
        <v>4000</v>
      </c>
      <c r="J39" s="534">
        <v>4000</v>
      </c>
      <c r="K39" s="534">
        <v>4000</v>
      </c>
      <c r="L39" s="534">
        <v>4000</v>
      </c>
      <c r="M39" s="534">
        <v>6500</v>
      </c>
      <c r="N39" s="527">
        <v>6500</v>
      </c>
      <c r="O39" s="534">
        <v>6500</v>
      </c>
      <c r="P39" s="534">
        <v>6500</v>
      </c>
      <c r="Q39" s="534">
        <v>6500</v>
      </c>
    </row>
    <row r="40" spans="1:17" s="468" customFormat="1" ht="42.75" customHeight="1">
      <c r="A40" s="526"/>
      <c r="B40" s="533" t="s">
        <v>140</v>
      </c>
      <c r="C40" s="522">
        <v>38058</v>
      </c>
      <c r="D40" s="523">
        <v>38058</v>
      </c>
      <c r="E40" s="527">
        <f>D40-F40</f>
        <v>27600</v>
      </c>
      <c r="F40" s="527">
        <f t="shared" si="2"/>
        <v>10458</v>
      </c>
      <c r="G40" s="527">
        <v>1580</v>
      </c>
      <c r="H40" s="527">
        <v>528</v>
      </c>
      <c r="I40" s="534">
        <v>584</v>
      </c>
      <c r="J40" s="534">
        <v>1229</v>
      </c>
      <c r="K40" s="534">
        <v>360</v>
      </c>
      <c r="L40" s="534">
        <v>671</v>
      </c>
      <c r="M40" s="534">
        <v>1002</v>
      </c>
      <c r="N40" s="527">
        <v>435</v>
      </c>
      <c r="O40" s="534">
        <v>1577</v>
      </c>
      <c r="P40" s="534">
        <v>810</v>
      </c>
      <c r="Q40" s="534">
        <v>1682</v>
      </c>
    </row>
    <row r="41" spans="1:17" s="468" customFormat="1" ht="23.25" customHeight="1">
      <c r="A41" s="528"/>
      <c r="B41" s="529" t="s">
        <v>238</v>
      </c>
      <c r="C41" s="535"/>
      <c r="D41" s="530">
        <f>E41</f>
        <v>27600</v>
      </c>
      <c r="E41" s="531">
        <v>27600</v>
      </c>
      <c r="F41" s="531"/>
      <c r="G41" s="531"/>
      <c r="H41" s="531"/>
      <c r="I41" s="536"/>
      <c r="J41" s="536"/>
      <c r="K41" s="536"/>
      <c r="L41" s="536"/>
      <c r="M41" s="536"/>
      <c r="N41" s="531"/>
      <c r="O41" s="536"/>
      <c r="P41" s="536"/>
      <c r="Q41" s="536"/>
    </row>
    <row r="42" spans="1:17" s="468" customFormat="1" ht="42.75" customHeight="1">
      <c r="A42" s="526"/>
      <c r="B42" s="537" t="s">
        <v>1399</v>
      </c>
      <c r="C42" s="522">
        <v>32399</v>
      </c>
      <c r="D42" s="523">
        <f t="shared" si="8"/>
        <v>42399</v>
      </c>
      <c r="E42" s="527">
        <f>C42-F42+10000</f>
        <v>42399</v>
      </c>
      <c r="F42" s="527">
        <f t="shared" si="2"/>
        <v>0</v>
      </c>
      <c r="G42" s="527"/>
      <c r="H42" s="527"/>
      <c r="I42" s="534"/>
      <c r="J42" s="534"/>
      <c r="K42" s="534"/>
      <c r="L42" s="534"/>
      <c r="M42" s="534"/>
      <c r="N42" s="527"/>
      <c r="O42" s="534"/>
      <c r="P42" s="534"/>
      <c r="Q42" s="534"/>
    </row>
    <row r="43" spans="1:17" s="468" customFormat="1" ht="31.5" hidden="1" customHeight="1">
      <c r="A43" s="528"/>
      <c r="B43" s="529" t="s">
        <v>141</v>
      </c>
      <c r="C43" s="535"/>
      <c r="D43" s="530">
        <f>E43</f>
        <v>0</v>
      </c>
      <c r="E43" s="531"/>
      <c r="F43" s="531"/>
      <c r="G43" s="531"/>
      <c r="H43" s="531"/>
      <c r="I43" s="536"/>
      <c r="J43" s="536"/>
      <c r="K43" s="536"/>
      <c r="L43" s="536"/>
      <c r="M43" s="536"/>
      <c r="N43" s="531"/>
      <c r="O43" s="536"/>
      <c r="P43" s="536"/>
      <c r="Q43" s="536"/>
    </row>
    <row r="44" spans="1:17" ht="23.25" customHeight="1">
      <c r="A44" s="514" t="s">
        <v>142</v>
      </c>
      <c r="B44" s="515" t="s">
        <v>143</v>
      </c>
      <c r="C44" s="517">
        <v>6011760</v>
      </c>
      <c r="D44" s="516">
        <f>C44-D96-D98-D95-D114</f>
        <v>4428080</v>
      </c>
      <c r="E44" s="524">
        <f>D44-F44</f>
        <v>1263335</v>
      </c>
      <c r="F44" s="524">
        <f t="shared" si="2"/>
        <v>3164745</v>
      </c>
      <c r="G44" s="524">
        <f t="shared" ref="G44:Q44" si="9">SUM(G45:G52)+G56</f>
        <v>384480</v>
      </c>
      <c r="H44" s="524">
        <f t="shared" si="9"/>
        <v>322692</v>
      </c>
      <c r="I44" s="524">
        <f t="shared" si="9"/>
        <v>217500</v>
      </c>
      <c r="J44" s="524">
        <f t="shared" si="9"/>
        <v>329032</v>
      </c>
      <c r="K44" s="524">
        <f t="shared" si="9"/>
        <v>405337</v>
      </c>
      <c r="L44" s="524">
        <f t="shared" si="9"/>
        <v>184241</v>
      </c>
      <c r="M44" s="524">
        <f t="shared" si="9"/>
        <v>216805</v>
      </c>
      <c r="N44" s="524">
        <f t="shared" si="9"/>
        <v>249346</v>
      </c>
      <c r="O44" s="524">
        <f t="shared" si="9"/>
        <v>267036</v>
      </c>
      <c r="P44" s="524">
        <f t="shared" si="9"/>
        <v>308401</v>
      </c>
      <c r="Q44" s="524">
        <f t="shared" si="9"/>
        <v>279875</v>
      </c>
    </row>
    <row r="45" spans="1:17" ht="23.25" customHeight="1">
      <c r="A45" s="526"/>
      <c r="B45" s="533" t="s">
        <v>1473</v>
      </c>
      <c r="C45" s="522"/>
      <c r="D45" s="523">
        <f t="shared" si="8"/>
        <v>3087581</v>
      </c>
      <c r="E45" s="527">
        <v>580877</v>
      </c>
      <c r="F45" s="527">
        <f t="shared" si="2"/>
        <v>2506704</v>
      </c>
      <c r="G45" s="527">
        <f>313624+6094</f>
        <v>319718</v>
      </c>
      <c r="H45" s="527">
        <f>246695+4411+4962</f>
        <v>256068</v>
      </c>
      <c r="I45" s="527">
        <f>176351+1648+3118</f>
        <v>181117</v>
      </c>
      <c r="J45" s="527">
        <f>257617+5186-748</f>
        <v>262055</v>
      </c>
      <c r="K45" s="527">
        <f>308877+10358+3168</f>
        <v>322403</v>
      </c>
      <c r="L45" s="527">
        <f>134286+5344</f>
        <v>139630</v>
      </c>
      <c r="M45" s="527">
        <f>158331+12091+1805</f>
        <v>172227</v>
      </c>
      <c r="N45" s="527">
        <f>184792+5305+3852</f>
        <v>193949</v>
      </c>
      <c r="O45" s="527">
        <f>195395+3668</f>
        <v>199063</v>
      </c>
      <c r="P45" s="527">
        <f>231465+5018</f>
        <v>236483</v>
      </c>
      <c r="Q45" s="527">
        <f>217498+2500+3993</f>
        <v>223991</v>
      </c>
    </row>
    <row r="46" spans="1:17" ht="23.25" customHeight="1">
      <c r="A46" s="526"/>
      <c r="B46" s="533" t="s">
        <v>144</v>
      </c>
      <c r="C46" s="522"/>
      <c r="D46" s="523">
        <f t="shared" si="8"/>
        <v>95731</v>
      </c>
      <c r="E46" s="527">
        <v>95731</v>
      </c>
      <c r="F46" s="527"/>
      <c r="G46" s="527"/>
      <c r="H46" s="527"/>
      <c r="I46" s="527"/>
      <c r="J46" s="527"/>
      <c r="K46" s="527"/>
      <c r="L46" s="527"/>
      <c r="M46" s="527"/>
      <c r="N46" s="527"/>
      <c r="O46" s="527"/>
      <c r="P46" s="527"/>
      <c r="Q46" s="527"/>
    </row>
    <row r="47" spans="1:17" ht="23.25" customHeight="1">
      <c r="A47" s="526"/>
      <c r="B47" s="533" t="s">
        <v>145</v>
      </c>
      <c r="C47" s="522"/>
      <c r="D47" s="523">
        <f t="shared" si="8"/>
        <v>6270</v>
      </c>
      <c r="E47" s="527"/>
      <c r="F47" s="527">
        <f t="shared" si="2"/>
        <v>6270</v>
      </c>
      <c r="G47" s="527">
        <v>745</v>
      </c>
      <c r="H47" s="527">
        <v>629</v>
      </c>
      <c r="I47" s="527">
        <v>232</v>
      </c>
      <c r="J47" s="527">
        <v>687</v>
      </c>
      <c r="K47" s="527">
        <v>668</v>
      </c>
      <c r="L47" s="527">
        <v>367</v>
      </c>
      <c r="M47" s="527">
        <v>532</v>
      </c>
      <c r="N47" s="527">
        <v>697</v>
      </c>
      <c r="O47" s="527">
        <v>547</v>
      </c>
      <c r="P47" s="527">
        <v>610</v>
      </c>
      <c r="Q47" s="527">
        <v>556</v>
      </c>
    </row>
    <row r="48" spans="1:17" ht="42.75" customHeight="1">
      <c r="A48" s="526"/>
      <c r="B48" s="538" t="s">
        <v>146</v>
      </c>
      <c r="C48" s="522">
        <f>51981+9359+67</f>
        <v>61407</v>
      </c>
      <c r="D48" s="523">
        <f>C48</f>
        <v>61407</v>
      </c>
      <c r="E48" s="527">
        <f>D48</f>
        <v>61407</v>
      </c>
      <c r="F48" s="527"/>
      <c r="G48" s="527"/>
      <c r="H48" s="527"/>
      <c r="I48" s="527"/>
      <c r="J48" s="527"/>
      <c r="K48" s="527"/>
      <c r="L48" s="527"/>
      <c r="M48" s="527"/>
      <c r="N48" s="527"/>
      <c r="O48" s="527"/>
      <c r="P48" s="527"/>
      <c r="Q48" s="527"/>
    </row>
    <row r="49" spans="1:17" ht="55.5" customHeight="1">
      <c r="A49" s="526"/>
      <c r="B49" s="539" t="s">
        <v>1806</v>
      </c>
      <c r="C49" s="522">
        <f>161384-26510</f>
        <v>134874</v>
      </c>
      <c r="D49" s="523">
        <f t="shared" si="8"/>
        <v>134874</v>
      </c>
      <c r="E49" s="527">
        <f>C49-F49</f>
        <v>16679</v>
      </c>
      <c r="F49" s="527">
        <f t="shared" si="2"/>
        <v>118195</v>
      </c>
      <c r="G49" s="527">
        <v>20401</v>
      </c>
      <c r="H49" s="527">
        <v>11124</v>
      </c>
      <c r="I49" s="527">
        <v>6385</v>
      </c>
      <c r="J49" s="527">
        <v>12090</v>
      </c>
      <c r="K49" s="527">
        <v>14895</v>
      </c>
      <c r="L49" s="527">
        <v>6779</v>
      </c>
      <c r="M49" s="527">
        <v>5149</v>
      </c>
      <c r="N49" s="527">
        <v>7850</v>
      </c>
      <c r="O49" s="527">
        <v>12495</v>
      </c>
      <c r="P49" s="527">
        <v>12052</v>
      </c>
      <c r="Q49" s="527">
        <v>8975</v>
      </c>
    </row>
    <row r="50" spans="1:17" ht="42.75" customHeight="1">
      <c r="A50" s="526"/>
      <c r="B50" s="958" t="s">
        <v>147</v>
      </c>
      <c r="C50" s="959">
        <f>42189-8029</f>
        <v>34160</v>
      </c>
      <c r="D50" s="523">
        <f t="shared" si="8"/>
        <v>34160</v>
      </c>
      <c r="E50" s="527">
        <f>C50-F50</f>
        <v>4121</v>
      </c>
      <c r="F50" s="527">
        <f t="shared" si="2"/>
        <v>30039</v>
      </c>
      <c r="G50" s="527">
        <v>4632</v>
      </c>
      <c r="H50" s="527">
        <v>2630</v>
      </c>
      <c r="I50" s="527">
        <v>161</v>
      </c>
      <c r="J50" s="527">
        <v>2695</v>
      </c>
      <c r="K50" s="527">
        <v>4485</v>
      </c>
      <c r="L50" s="527">
        <v>1675</v>
      </c>
      <c r="M50" s="527">
        <v>1656</v>
      </c>
      <c r="N50" s="527">
        <v>1960</v>
      </c>
      <c r="O50" s="527">
        <v>3574</v>
      </c>
      <c r="P50" s="527">
        <v>3674</v>
      </c>
      <c r="Q50" s="527">
        <v>2897</v>
      </c>
    </row>
    <row r="51" spans="1:17" ht="75" customHeight="1">
      <c r="A51" s="526"/>
      <c r="B51" s="958" t="s">
        <v>148</v>
      </c>
      <c r="C51" s="959">
        <f>9687+3885</f>
        <v>13572</v>
      </c>
      <c r="D51" s="523">
        <f t="shared" si="8"/>
        <v>13572</v>
      </c>
      <c r="E51" s="527">
        <f>C51-F51</f>
        <v>1409</v>
      </c>
      <c r="F51" s="527">
        <f t="shared" si="2"/>
        <v>12163</v>
      </c>
      <c r="G51" s="527">
        <v>1392</v>
      </c>
      <c r="H51" s="527">
        <v>1179</v>
      </c>
      <c r="I51" s="527"/>
      <c r="J51" s="527">
        <v>1464</v>
      </c>
      <c r="K51" s="527">
        <v>1382</v>
      </c>
      <c r="L51" s="527">
        <v>446</v>
      </c>
      <c r="M51" s="527">
        <v>660</v>
      </c>
      <c r="N51" s="527">
        <v>1232</v>
      </c>
      <c r="O51" s="527">
        <v>1855</v>
      </c>
      <c r="P51" s="527">
        <v>1464</v>
      </c>
      <c r="Q51" s="527">
        <v>1089</v>
      </c>
    </row>
    <row r="52" spans="1:17" ht="54.75" customHeight="1">
      <c r="A52" s="526"/>
      <c r="B52" s="958" t="s">
        <v>149</v>
      </c>
      <c r="C52" s="959">
        <f>217808+20337</f>
        <v>238145</v>
      </c>
      <c r="D52" s="523">
        <f>C52+920</f>
        <v>239065</v>
      </c>
      <c r="E52" s="527">
        <f>D52-F52</f>
        <v>72537</v>
      </c>
      <c r="F52" s="527">
        <f>SUM(G52:Q52)</f>
        <v>166528</v>
      </c>
      <c r="G52" s="527">
        <v>5830</v>
      </c>
      <c r="H52" s="527">
        <v>20157</v>
      </c>
      <c r="I52" s="527"/>
      <c r="J52" s="527">
        <v>19193</v>
      </c>
      <c r="K52" s="527">
        <v>30605</v>
      </c>
      <c r="L52" s="527">
        <v>9066</v>
      </c>
      <c r="M52" s="527">
        <v>9021</v>
      </c>
      <c r="N52" s="527">
        <v>13827</v>
      </c>
      <c r="O52" s="527">
        <v>20599</v>
      </c>
      <c r="P52" s="527">
        <v>24896</v>
      </c>
      <c r="Q52" s="527">
        <v>13334</v>
      </c>
    </row>
    <row r="53" spans="1:17" ht="14.25" hidden="1" customHeight="1">
      <c r="A53" s="526"/>
      <c r="B53" s="960" t="s">
        <v>236</v>
      </c>
      <c r="C53" s="959">
        <v>0</v>
      </c>
      <c r="D53" s="523">
        <f>C53</f>
        <v>0</v>
      </c>
      <c r="E53" s="527">
        <f>D53</f>
        <v>0</v>
      </c>
      <c r="F53" s="527"/>
      <c r="G53" s="527"/>
      <c r="H53" s="527"/>
      <c r="I53" s="527"/>
      <c r="J53" s="527"/>
      <c r="K53" s="527"/>
      <c r="L53" s="527"/>
      <c r="M53" s="527"/>
      <c r="N53" s="527"/>
      <c r="O53" s="527"/>
      <c r="P53" s="527"/>
      <c r="Q53" s="527"/>
    </row>
    <row r="54" spans="1:17" ht="52.5" customHeight="1">
      <c r="A54" s="526"/>
      <c r="B54" s="960" t="s">
        <v>237</v>
      </c>
      <c r="C54" s="959">
        <f>16719+1222</f>
        <v>17941</v>
      </c>
      <c r="D54" s="523">
        <f>C54</f>
        <v>17941</v>
      </c>
      <c r="E54" s="527">
        <f>D54</f>
        <v>17941</v>
      </c>
      <c r="F54" s="527"/>
      <c r="G54" s="527"/>
      <c r="H54" s="527"/>
      <c r="I54" s="527"/>
      <c r="J54" s="527"/>
      <c r="K54" s="527"/>
      <c r="L54" s="527"/>
      <c r="M54" s="527"/>
      <c r="N54" s="527"/>
      <c r="O54" s="527"/>
      <c r="P54" s="527"/>
      <c r="Q54" s="527"/>
    </row>
    <row r="55" spans="1:17" ht="48" hidden="1" customHeight="1">
      <c r="A55" s="526"/>
      <c r="B55" s="521" t="s">
        <v>1185</v>
      </c>
      <c r="C55" s="959"/>
      <c r="D55" s="523">
        <v>0</v>
      </c>
      <c r="E55" s="527">
        <v>0</v>
      </c>
      <c r="F55" s="527"/>
      <c r="G55" s="527"/>
      <c r="H55" s="527"/>
      <c r="I55" s="527"/>
      <c r="J55" s="527"/>
      <c r="K55" s="527"/>
      <c r="L55" s="527"/>
      <c r="M55" s="527"/>
      <c r="N55" s="527"/>
      <c r="O55" s="527"/>
      <c r="P55" s="527"/>
      <c r="Q55" s="527"/>
    </row>
    <row r="56" spans="1:17" ht="23.25" customHeight="1">
      <c r="A56" s="526"/>
      <c r="B56" s="958" t="s">
        <v>150</v>
      </c>
      <c r="C56" s="959"/>
      <c r="D56" s="523">
        <f>E56+F56</f>
        <v>737479</v>
      </c>
      <c r="E56" s="527">
        <f>E44-E45-E46-E47-E48-E49-E50-E51-E52-E53-E54-E55</f>
        <v>412633</v>
      </c>
      <c r="F56" s="527">
        <f t="shared" si="2"/>
        <v>324846</v>
      </c>
      <c r="G56" s="527">
        <f>G59+G62+G61</f>
        <v>31762</v>
      </c>
      <c r="H56" s="527">
        <f t="shared" ref="H56:Q56" si="10">H59+H62+H61</f>
        <v>30905</v>
      </c>
      <c r="I56" s="527">
        <f t="shared" si="10"/>
        <v>29605</v>
      </c>
      <c r="J56" s="527">
        <f t="shared" si="10"/>
        <v>30848</v>
      </c>
      <c r="K56" s="527">
        <f t="shared" si="10"/>
        <v>30899</v>
      </c>
      <c r="L56" s="527">
        <f t="shared" si="10"/>
        <v>26278</v>
      </c>
      <c r="M56" s="527">
        <f t="shared" si="10"/>
        <v>27560</v>
      </c>
      <c r="N56" s="527">
        <f t="shared" si="10"/>
        <v>29831</v>
      </c>
      <c r="O56" s="527">
        <f t="shared" si="10"/>
        <v>28903</v>
      </c>
      <c r="P56" s="527">
        <f t="shared" si="10"/>
        <v>29222</v>
      </c>
      <c r="Q56" s="527">
        <f t="shared" si="10"/>
        <v>29033</v>
      </c>
    </row>
    <row r="57" spans="1:17" s="468" customFormat="1" ht="42.75" customHeight="1">
      <c r="A57" s="528"/>
      <c r="B57" s="540" t="s">
        <v>1099</v>
      </c>
      <c r="C57" s="541"/>
      <c r="D57" s="530">
        <f>E57+F57</f>
        <v>161751</v>
      </c>
      <c r="E57" s="531">
        <f>11751+150000</f>
        <v>161751</v>
      </c>
      <c r="F57" s="531"/>
      <c r="G57" s="531"/>
      <c r="H57" s="531"/>
      <c r="I57" s="531"/>
      <c r="J57" s="531"/>
      <c r="K57" s="531"/>
      <c r="L57" s="531"/>
      <c r="M57" s="531"/>
      <c r="N57" s="531"/>
      <c r="O57" s="531"/>
      <c r="P57" s="531"/>
      <c r="Q57" s="531"/>
    </row>
    <row r="58" spans="1:17" s="468" customFormat="1" ht="38.25" hidden="1" customHeight="1">
      <c r="A58" s="528"/>
      <c r="B58" s="540" t="s">
        <v>151</v>
      </c>
      <c r="C58" s="541"/>
      <c r="D58" s="530">
        <f>E58+F58</f>
        <v>0</v>
      </c>
      <c r="E58" s="531"/>
      <c r="F58" s="531"/>
      <c r="G58" s="531"/>
      <c r="H58" s="531"/>
      <c r="I58" s="531"/>
      <c r="J58" s="531"/>
      <c r="K58" s="531"/>
      <c r="L58" s="531"/>
      <c r="M58" s="531"/>
      <c r="N58" s="531"/>
      <c r="O58" s="531"/>
      <c r="P58" s="531"/>
      <c r="Q58" s="531"/>
    </row>
    <row r="59" spans="1:17" s="468" customFormat="1" ht="42.75" customHeight="1">
      <c r="A59" s="528"/>
      <c r="B59" s="540" t="s">
        <v>1199</v>
      </c>
      <c r="C59" s="541"/>
      <c r="D59" s="530">
        <f>E59+F59</f>
        <v>258000</v>
      </c>
      <c r="E59" s="531"/>
      <c r="F59" s="531">
        <f t="shared" si="2"/>
        <v>258000</v>
      </c>
      <c r="G59" s="531">
        <f>20000+5000</f>
        <v>25000</v>
      </c>
      <c r="H59" s="531">
        <f>20000+4500</f>
        <v>24500</v>
      </c>
      <c r="I59" s="531">
        <f>20000+4000</f>
        <v>24000</v>
      </c>
      <c r="J59" s="531">
        <f>20000+4500</f>
        <v>24500</v>
      </c>
      <c r="K59" s="531">
        <f>20000+4000</f>
        <v>24000</v>
      </c>
      <c r="L59" s="531">
        <f>20000+1000</f>
        <v>21000</v>
      </c>
      <c r="M59" s="531">
        <f>20000+2000</f>
        <v>22000</v>
      </c>
      <c r="N59" s="531">
        <f>20000+4000</f>
        <v>24000</v>
      </c>
      <c r="O59" s="531">
        <f>20000+3000</f>
        <v>23000</v>
      </c>
      <c r="P59" s="531">
        <f>20000+3000</f>
        <v>23000</v>
      </c>
      <c r="Q59" s="531">
        <f>20000+3000</f>
        <v>23000</v>
      </c>
    </row>
    <row r="60" spans="1:17" ht="68.25" hidden="1" customHeight="1">
      <c r="A60" s="526"/>
      <c r="B60" s="960" t="s">
        <v>1066</v>
      </c>
      <c r="C60" s="959"/>
      <c r="D60" s="530">
        <f t="shared" ref="D60:D61" si="11">E60+F60</f>
        <v>150000</v>
      </c>
      <c r="E60" s="527">
        <v>150000</v>
      </c>
      <c r="F60" s="531">
        <f t="shared" si="2"/>
        <v>0</v>
      </c>
      <c r="G60" s="527"/>
      <c r="H60" s="527"/>
      <c r="I60" s="527"/>
      <c r="J60" s="527"/>
      <c r="K60" s="527"/>
      <c r="L60" s="527"/>
      <c r="M60" s="527"/>
      <c r="N60" s="527"/>
      <c r="O60" s="527"/>
      <c r="P60" s="527"/>
      <c r="Q60" s="527"/>
    </row>
    <row r="61" spans="1:17" s="468" customFormat="1" ht="23.25" customHeight="1">
      <c r="A61" s="528"/>
      <c r="B61" s="542" t="s">
        <v>1388</v>
      </c>
      <c r="C61" s="541"/>
      <c r="D61" s="530">
        <f t="shared" si="11"/>
        <v>22846</v>
      </c>
      <c r="E61" s="531"/>
      <c r="F61" s="531">
        <f t="shared" si="2"/>
        <v>22846</v>
      </c>
      <c r="G61" s="531">
        <v>2762</v>
      </c>
      <c r="H61" s="531">
        <v>2405</v>
      </c>
      <c r="I61" s="531">
        <v>1605</v>
      </c>
      <c r="J61" s="531">
        <v>2348</v>
      </c>
      <c r="K61" s="531">
        <v>2899</v>
      </c>
      <c r="L61" s="531">
        <v>1278</v>
      </c>
      <c r="M61" s="531">
        <v>1560</v>
      </c>
      <c r="N61" s="531">
        <v>1831</v>
      </c>
      <c r="O61" s="531">
        <v>1903</v>
      </c>
      <c r="P61" s="531">
        <v>2222</v>
      </c>
      <c r="Q61" s="531">
        <v>2033</v>
      </c>
    </row>
    <row r="62" spans="1:17" s="468" customFormat="1" ht="52.5" customHeight="1">
      <c r="A62" s="528"/>
      <c r="B62" s="540" t="s">
        <v>1100</v>
      </c>
      <c r="C62" s="541"/>
      <c r="D62" s="530">
        <f t="shared" si="8"/>
        <v>294882</v>
      </c>
      <c r="E62" s="531">
        <f>E56-E57-E58-E59</f>
        <v>250882</v>
      </c>
      <c r="F62" s="531">
        <f t="shared" si="2"/>
        <v>44000</v>
      </c>
      <c r="G62" s="531">
        <v>4000</v>
      </c>
      <c r="H62" s="531">
        <v>4000</v>
      </c>
      <c r="I62" s="531">
        <v>4000</v>
      </c>
      <c r="J62" s="531">
        <v>4000</v>
      </c>
      <c r="K62" s="531">
        <v>4000</v>
      </c>
      <c r="L62" s="531">
        <v>4000</v>
      </c>
      <c r="M62" s="531">
        <v>4000</v>
      </c>
      <c r="N62" s="531">
        <v>4000</v>
      </c>
      <c r="O62" s="531">
        <v>4000</v>
      </c>
      <c r="P62" s="531">
        <v>4000</v>
      </c>
      <c r="Q62" s="531">
        <v>4000</v>
      </c>
    </row>
    <row r="63" spans="1:17" ht="23.25" customHeight="1">
      <c r="A63" s="514" t="s">
        <v>152</v>
      </c>
      <c r="B63" s="515" t="s">
        <v>153</v>
      </c>
      <c r="C63" s="517"/>
      <c r="D63" s="516">
        <f>E63+F63</f>
        <v>765825</v>
      </c>
      <c r="E63" s="524">
        <f>E64+E65+E66+E67</f>
        <v>89423</v>
      </c>
      <c r="F63" s="524">
        <f t="shared" si="2"/>
        <v>676402</v>
      </c>
      <c r="G63" s="524">
        <f t="shared" ref="G63:Q63" si="12">G64+G65+G66</f>
        <v>85175</v>
      </c>
      <c r="H63" s="524">
        <f t="shared" si="12"/>
        <v>54380</v>
      </c>
      <c r="I63" s="524">
        <f t="shared" si="12"/>
        <v>32246</v>
      </c>
      <c r="J63" s="524">
        <f t="shared" si="12"/>
        <v>69621</v>
      </c>
      <c r="K63" s="524">
        <f t="shared" si="12"/>
        <v>85055</v>
      </c>
      <c r="L63" s="524">
        <f t="shared" si="12"/>
        <v>32213</v>
      </c>
      <c r="M63" s="524">
        <f t="shared" si="12"/>
        <v>50714</v>
      </c>
      <c r="N63" s="524">
        <f t="shared" si="12"/>
        <v>64205</v>
      </c>
      <c r="O63" s="524">
        <f t="shared" si="12"/>
        <v>71076</v>
      </c>
      <c r="P63" s="524">
        <f t="shared" si="12"/>
        <v>71101</v>
      </c>
      <c r="Q63" s="524">
        <f t="shared" si="12"/>
        <v>60616</v>
      </c>
    </row>
    <row r="64" spans="1:17" ht="23.25" customHeight="1">
      <c r="A64" s="526"/>
      <c r="B64" s="533" t="s">
        <v>154</v>
      </c>
      <c r="C64" s="522"/>
      <c r="D64" s="523">
        <f t="shared" si="8"/>
        <v>346801</v>
      </c>
      <c r="E64" s="527">
        <v>69423</v>
      </c>
      <c r="F64" s="527">
        <f t="shared" si="2"/>
        <v>277378</v>
      </c>
      <c r="G64" s="527">
        <v>23818</v>
      </c>
      <c r="H64" s="527">
        <v>24049</v>
      </c>
      <c r="I64" s="527">
        <v>11824</v>
      </c>
      <c r="J64" s="527">
        <f>29412+246</f>
        <v>29658</v>
      </c>
      <c r="K64" s="527">
        <f>35591+126</f>
        <v>35717</v>
      </c>
      <c r="L64" s="527">
        <f>17211+180</f>
        <v>17391</v>
      </c>
      <c r="M64" s="527">
        <f>24861+270</f>
        <v>25131</v>
      </c>
      <c r="N64" s="527">
        <f>29694+270</f>
        <v>29964</v>
      </c>
      <c r="O64" s="527">
        <f>29264+0</f>
        <v>29264</v>
      </c>
      <c r="P64" s="527">
        <f>28947+90</f>
        <v>29037</v>
      </c>
      <c r="Q64" s="527">
        <v>21525</v>
      </c>
    </row>
    <row r="65" spans="1:18" ht="23.25" customHeight="1">
      <c r="A65" s="526"/>
      <c r="B65" s="533" t="s">
        <v>155</v>
      </c>
      <c r="C65" s="522">
        <v>394806</v>
      </c>
      <c r="D65" s="523">
        <f>C65+4218</f>
        <v>399024</v>
      </c>
      <c r="E65" s="527">
        <f>D65-F65</f>
        <v>0</v>
      </c>
      <c r="F65" s="527">
        <f t="shared" si="2"/>
        <v>399024</v>
      </c>
      <c r="G65" s="543">
        <f>60901+456</f>
        <v>61357</v>
      </c>
      <c r="H65" s="543">
        <f>29454+877</f>
        <v>30331</v>
      </c>
      <c r="I65" s="543">
        <f>20368+54</f>
        <v>20422</v>
      </c>
      <c r="J65" s="543">
        <f>39408+555</f>
        <v>39963</v>
      </c>
      <c r="K65" s="543">
        <f>48847+491</f>
        <v>49338</v>
      </c>
      <c r="L65" s="543">
        <f>14523+299</f>
        <v>14822</v>
      </c>
      <c r="M65" s="543">
        <f>25087+496</f>
        <v>25583</v>
      </c>
      <c r="N65" s="543">
        <f>33929+312</f>
        <v>34241</v>
      </c>
      <c r="O65" s="543">
        <f>41400+412</f>
        <v>41812</v>
      </c>
      <c r="P65" s="543">
        <f>41798+266</f>
        <v>42064</v>
      </c>
      <c r="Q65" s="543">
        <f>39091+0</f>
        <v>39091</v>
      </c>
    </row>
    <row r="66" spans="1:18" ht="20.25" hidden="1" customHeight="1">
      <c r="A66" s="514"/>
      <c r="B66" s="958"/>
      <c r="C66" s="959"/>
      <c r="D66" s="523"/>
      <c r="E66" s="527"/>
      <c r="F66" s="527"/>
      <c r="G66" s="527"/>
      <c r="H66" s="527"/>
      <c r="I66" s="527"/>
      <c r="J66" s="527"/>
      <c r="K66" s="527"/>
      <c r="L66" s="527"/>
      <c r="M66" s="527"/>
      <c r="N66" s="527"/>
      <c r="O66" s="527"/>
      <c r="P66" s="527"/>
      <c r="Q66" s="527"/>
    </row>
    <row r="67" spans="1:18" ht="23.25" customHeight="1">
      <c r="A67" s="514"/>
      <c r="B67" s="958" t="s">
        <v>156</v>
      </c>
      <c r="C67" s="959"/>
      <c r="D67" s="523">
        <f>E67</f>
        <v>20000</v>
      </c>
      <c r="E67" s="527">
        <v>20000</v>
      </c>
      <c r="F67" s="527"/>
      <c r="G67" s="527"/>
      <c r="H67" s="527"/>
      <c r="I67" s="527"/>
      <c r="J67" s="527"/>
      <c r="K67" s="527"/>
      <c r="L67" s="527"/>
      <c r="M67" s="527"/>
      <c r="N67" s="527"/>
      <c r="O67" s="527"/>
      <c r="P67" s="527"/>
      <c r="Q67" s="527"/>
    </row>
    <row r="68" spans="1:18" ht="23.25" customHeight="1">
      <c r="A68" s="514" t="s">
        <v>157</v>
      </c>
      <c r="B68" s="515" t="s">
        <v>158</v>
      </c>
      <c r="C68" s="517">
        <v>17391</v>
      </c>
      <c r="D68" s="516">
        <f>F68+E68</f>
        <v>17391</v>
      </c>
      <c r="E68" s="524">
        <v>17061</v>
      </c>
      <c r="F68" s="524">
        <f t="shared" ref="F68:F129" si="13">SUM(G68:Q68)</f>
        <v>330</v>
      </c>
      <c r="G68" s="524">
        <v>30</v>
      </c>
      <c r="H68" s="524">
        <v>30</v>
      </c>
      <c r="I68" s="524">
        <v>30</v>
      </c>
      <c r="J68" s="524">
        <v>30</v>
      </c>
      <c r="K68" s="524">
        <v>30</v>
      </c>
      <c r="L68" s="524">
        <v>30</v>
      </c>
      <c r="M68" s="524">
        <v>30</v>
      </c>
      <c r="N68" s="524">
        <v>30</v>
      </c>
      <c r="O68" s="524">
        <v>30</v>
      </c>
      <c r="P68" s="524">
        <v>30</v>
      </c>
      <c r="Q68" s="524">
        <v>30</v>
      </c>
    </row>
    <row r="69" spans="1:18" ht="23.25" customHeight="1">
      <c r="A69" s="526"/>
      <c r="B69" s="533" t="s">
        <v>159</v>
      </c>
      <c r="C69" s="522"/>
      <c r="D69" s="523">
        <f>E69+F69</f>
        <v>330</v>
      </c>
      <c r="E69" s="527"/>
      <c r="F69" s="527">
        <f t="shared" si="13"/>
        <v>330</v>
      </c>
      <c r="G69" s="527">
        <v>30</v>
      </c>
      <c r="H69" s="527">
        <v>30</v>
      </c>
      <c r="I69" s="527">
        <v>30</v>
      </c>
      <c r="J69" s="527">
        <v>30</v>
      </c>
      <c r="K69" s="527">
        <v>30</v>
      </c>
      <c r="L69" s="527">
        <v>30</v>
      </c>
      <c r="M69" s="527">
        <v>30</v>
      </c>
      <c r="N69" s="527">
        <v>30</v>
      </c>
      <c r="O69" s="527">
        <v>30</v>
      </c>
      <c r="P69" s="527">
        <v>30</v>
      </c>
      <c r="Q69" s="527">
        <v>30</v>
      </c>
    </row>
    <row r="70" spans="1:18" ht="23.25" customHeight="1">
      <c r="A70" s="514" t="s">
        <v>160</v>
      </c>
      <c r="B70" s="515" t="s">
        <v>161</v>
      </c>
      <c r="C70" s="517"/>
      <c r="D70" s="516">
        <f>F70+E70</f>
        <v>116320</v>
      </c>
      <c r="E70" s="524">
        <f>106254-5601</f>
        <v>100653</v>
      </c>
      <c r="F70" s="524">
        <f t="shared" si="13"/>
        <v>15667</v>
      </c>
      <c r="G70" s="524">
        <v>1274</v>
      </c>
      <c r="H70" s="524">
        <f>1701+81</f>
        <v>1782</v>
      </c>
      <c r="I70" s="524">
        <v>1298</v>
      </c>
      <c r="J70" s="524">
        <f>1903+77</f>
        <v>1980</v>
      </c>
      <c r="K70" s="524">
        <v>1208</v>
      </c>
      <c r="L70" s="524">
        <v>1054</v>
      </c>
      <c r="M70" s="524">
        <f>1087+159</f>
        <v>1246</v>
      </c>
      <c r="N70" s="524">
        <f>1367+71</f>
        <v>1438</v>
      </c>
      <c r="O70" s="524">
        <f>1545+320</f>
        <v>1865</v>
      </c>
      <c r="P70" s="524">
        <v>1356</v>
      </c>
      <c r="Q70" s="524">
        <f>1008+158</f>
        <v>1166</v>
      </c>
    </row>
    <row r="71" spans="1:18" s="468" customFormat="1" ht="23.25" customHeight="1">
      <c r="A71" s="514" t="s">
        <v>162</v>
      </c>
      <c r="B71" s="515" t="s">
        <v>163</v>
      </c>
      <c r="C71" s="517"/>
      <c r="D71" s="516">
        <f t="shared" ref="D71:D82" si="14">E71+F71</f>
        <v>44233</v>
      </c>
      <c r="E71" s="524">
        <v>24752</v>
      </c>
      <c r="F71" s="524">
        <f t="shared" si="13"/>
        <v>19481</v>
      </c>
      <c r="G71" s="524">
        <f>1885+81</f>
        <v>1966</v>
      </c>
      <c r="H71" s="524">
        <v>2323</v>
      </c>
      <c r="I71" s="524"/>
      <c r="J71" s="524">
        <v>1341</v>
      </c>
      <c r="K71" s="524">
        <v>2079</v>
      </c>
      <c r="L71" s="524">
        <f>1544+79</f>
        <v>1623</v>
      </c>
      <c r="M71" s="524">
        <v>2055</v>
      </c>
      <c r="N71" s="524">
        <f>2888+84</f>
        <v>2972</v>
      </c>
      <c r="O71" s="524">
        <f>2129</f>
        <v>2129</v>
      </c>
      <c r="P71" s="524">
        <v>1648</v>
      </c>
      <c r="Q71" s="524">
        <v>1345</v>
      </c>
    </row>
    <row r="72" spans="1:18" s="468" customFormat="1" ht="23.25" customHeight="1">
      <c r="A72" s="514" t="s">
        <v>164</v>
      </c>
      <c r="B72" s="515" t="s">
        <v>1464</v>
      </c>
      <c r="C72" s="517"/>
      <c r="D72" s="516">
        <f t="shared" si="14"/>
        <v>26510</v>
      </c>
      <c r="E72" s="524">
        <v>18164</v>
      </c>
      <c r="F72" s="524">
        <f t="shared" si="13"/>
        <v>8346</v>
      </c>
      <c r="G72" s="524">
        <v>779</v>
      </c>
      <c r="H72" s="524">
        <v>572</v>
      </c>
      <c r="I72" s="524">
        <v>507</v>
      </c>
      <c r="J72" s="524">
        <v>727</v>
      </c>
      <c r="K72" s="524">
        <v>852</v>
      </c>
      <c r="L72" s="524">
        <v>520</v>
      </c>
      <c r="M72" s="524">
        <v>520</v>
      </c>
      <c r="N72" s="524">
        <v>749</v>
      </c>
      <c r="O72" s="524">
        <v>608</v>
      </c>
      <c r="P72" s="524">
        <v>545</v>
      </c>
      <c r="Q72" s="524">
        <f>1808+159</f>
        <v>1967</v>
      </c>
    </row>
    <row r="73" spans="1:18" s="468" customFormat="1" ht="23.25" customHeight="1">
      <c r="A73" s="514" t="s">
        <v>165</v>
      </c>
      <c r="B73" s="515" t="s">
        <v>166</v>
      </c>
      <c r="C73" s="517"/>
      <c r="D73" s="516">
        <f t="shared" si="14"/>
        <v>340580</v>
      </c>
      <c r="E73" s="524">
        <f>SUM(E74:E78)</f>
        <v>68118</v>
      </c>
      <c r="F73" s="524">
        <f t="shared" si="13"/>
        <v>272462</v>
      </c>
      <c r="G73" s="524">
        <f>SUM(G74:G78)</f>
        <v>38869</v>
      </c>
      <c r="H73" s="524">
        <f t="shared" ref="H73:Q73" si="15">SUM(H74:H78)</f>
        <v>30721</v>
      </c>
      <c r="I73" s="524">
        <f t="shared" si="15"/>
        <v>18150</v>
      </c>
      <c r="J73" s="524">
        <f t="shared" si="15"/>
        <v>25160</v>
      </c>
      <c r="K73" s="524">
        <f t="shared" si="15"/>
        <v>28255</v>
      </c>
      <c r="L73" s="524">
        <f t="shared" si="15"/>
        <v>6890</v>
      </c>
      <c r="M73" s="524">
        <f t="shared" si="15"/>
        <v>18512</v>
      </c>
      <c r="N73" s="524">
        <f t="shared" si="15"/>
        <v>27550</v>
      </c>
      <c r="O73" s="524">
        <f t="shared" si="15"/>
        <v>28869</v>
      </c>
      <c r="P73" s="524">
        <f t="shared" si="15"/>
        <v>24756</v>
      </c>
      <c r="Q73" s="524">
        <f t="shared" si="15"/>
        <v>24730</v>
      </c>
    </row>
    <row r="74" spans="1:18" s="468" customFormat="1" ht="23.25" customHeight="1">
      <c r="A74" s="514"/>
      <c r="B74" s="533" t="s">
        <v>167</v>
      </c>
      <c r="C74" s="522"/>
      <c r="D74" s="523">
        <f t="shared" si="14"/>
        <v>8769</v>
      </c>
      <c r="E74" s="527"/>
      <c r="F74" s="527">
        <f t="shared" si="13"/>
        <v>8769</v>
      </c>
      <c r="G74" s="527">
        <v>946</v>
      </c>
      <c r="H74" s="527">
        <v>847</v>
      </c>
      <c r="I74" s="527">
        <v>1153</v>
      </c>
      <c r="J74" s="527">
        <v>845</v>
      </c>
      <c r="K74" s="527">
        <v>703</v>
      </c>
      <c r="L74" s="527">
        <v>308</v>
      </c>
      <c r="M74" s="527">
        <v>632</v>
      </c>
      <c r="N74" s="527">
        <v>1064</v>
      </c>
      <c r="O74" s="527">
        <v>781</v>
      </c>
      <c r="P74" s="527">
        <v>612</v>
      </c>
      <c r="Q74" s="527">
        <v>878</v>
      </c>
    </row>
    <row r="75" spans="1:18" s="468" customFormat="1" ht="65.25" customHeight="1">
      <c r="A75" s="514"/>
      <c r="B75" s="533" t="s">
        <v>1802</v>
      </c>
      <c r="C75" s="522">
        <f>236583+7364</f>
        <v>243947</v>
      </c>
      <c r="D75" s="523">
        <f>C75</f>
        <v>243947</v>
      </c>
      <c r="E75" s="527">
        <f>C75-F75</f>
        <v>2674</v>
      </c>
      <c r="F75" s="527">
        <f t="shared" si="13"/>
        <v>241273</v>
      </c>
      <c r="G75" s="527">
        <f>34057+1485</f>
        <v>35542</v>
      </c>
      <c r="H75" s="527">
        <v>27527</v>
      </c>
      <c r="I75" s="527">
        <v>16197</v>
      </c>
      <c r="J75" s="527">
        <v>21992</v>
      </c>
      <c r="K75" s="527">
        <v>24606</v>
      </c>
      <c r="L75" s="527">
        <v>5575</v>
      </c>
      <c r="M75" s="527">
        <v>16041</v>
      </c>
      <c r="N75" s="527">
        <v>24546</v>
      </c>
      <c r="O75" s="527">
        <v>25797</v>
      </c>
      <c r="P75" s="527">
        <v>21523</v>
      </c>
      <c r="Q75" s="527">
        <v>21927</v>
      </c>
    </row>
    <row r="76" spans="1:18" s="468" customFormat="1" ht="42" hidden="1" customHeight="1">
      <c r="A76" s="514"/>
      <c r="B76" s="533"/>
      <c r="C76" s="522"/>
      <c r="D76" s="523"/>
      <c r="E76" s="527"/>
      <c r="F76" s="527"/>
      <c r="G76" s="527"/>
      <c r="H76" s="527"/>
      <c r="I76" s="527"/>
      <c r="J76" s="527"/>
      <c r="K76" s="527"/>
      <c r="L76" s="527"/>
      <c r="M76" s="527"/>
      <c r="N76" s="527"/>
      <c r="O76" s="527"/>
      <c r="P76" s="527"/>
      <c r="Q76" s="527"/>
    </row>
    <row r="77" spans="1:18" s="468" customFormat="1" ht="42.75" customHeight="1">
      <c r="A77" s="514"/>
      <c r="B77" s="533" t="s">
        <v>168</v>
      </c>
      <c r="C77" s="522">
        <f>16914-7364</f>
        <v>9550</v>
      </c>
      <c r="D77" s="523">
        <f t="shared" si="14"/>
        <v>9550</v>
      </c>
      <c r="E77" s="527">
        <f>C77-F77</f>
        <v>0</v>
      </c>
      <c r="F77" s="527">
        <f t="shared" si="13"/>
        <v>9550</v>
      </c>
      <c r="G77" s="527">
        <v>991</v>
      </c>
      <c r="H77" s="527">
        <v>947</v>
      </c>
      <c r="I77" s="527">
        <v>40</v>
      </c>
      <c r="J77" s="527">
        <v>853</v>
      </c>
      <c r="K77" s="527">
        <v>1186</v>
      </c>
      <c r="L77" s="527">
        <v>207</v>
      </c>
      <c r="M77" s="527">
        <v>759</v>
      </c>
      <c r="N77" s="527">
        <v>750</v>
      </c>
      <c r="O77" s="527">
        <v>1081</v>
      </c>
      <c r="P77" s="527">
        <v>1641</v>
      </c>
      <c r="Q77" s="527">
        <v>1095</v>
      </c>
    </row>
    <row r="78" spans="1:18" s="468" customFormat="1" ht="23.25" customHeight="1">
      <c r="A78" s="514"/>
      <c r="B78" s="533" t="s">
        <v>169</v>
      </c>
      <c r="C78" s="522"/>
      <c r="D78" s="523">
        <f t="shared" si="14"/>
        <v>78314</v>
      </c>
      <c r="E78" s="527">
        <v>65444</v>
      </c>
      <c r="F78" s="527">
        <f t="shared" si="13"/>
        <v>12870</v>
      </c>
      <c r="G78" s="527">
        <v>1390</v>
      </c>
      <c r="H78" s="527">
        <v>1400</v>
      </c>
      <c r="I78" s="527">
        <v>760</v>
      </c>
      <c r="J78" s="527">
        <v>1470</v>
      </c>
      <c r="K78" s="527">
        <v>1760</v>
      </c>
      <c r="L78" s="527">
        <v>800</v>
      </c>
      <c r="M78" s="527">
        <v>1080</v>
      </c>
      <c r="N78" s="527">
        <v>1190</v>
      </c>
      <c r="O78" s="527">
        <v>1210</v>
      </c>
      <c r="P78" s="527">
        <v>980</v>
      </c>
      <c r="Q78" s="527">
        <v>830</v>
      </c>
      <c r="R78" s="468">
        <v>0</v>
      </c>
    </row>
    <row r="79" spans="1:18" s="469" customFormat="1" ht="23.25" customHeight="1">
      <c r="A79" s="514" t="s">
        <v>170</v>
      </c>
      <c r="B79" s="515" t="s">
        <v>171</v>
      </c>
      <c r="C79" s="517"/>
      <c r="D79" s="516">
        <f t="shared" si="14"/>
        <v>1663314</v>
      </c>
      <c r="E79" s="524">
        <f t="shared" ref="E79:Q79" si="16">SUM(E80:E86)</f>
        <v>591742</v>
      </c>
      <c r="F79" s="524">
        <f t="shared" si="13"/>
        <v>1071572</v>
      </c>
      <c r="G79" s="524">
        <f t="shared" si="16"/>
        <v>119614</v>
      </c>
      <c r="H79" s="524">
        <f t="shared" si="16"/>
        <v>101444</v>
      </c>
      <c r="I79" s="524">
        <f t="shared" si="16"/>
        <v>63090</v>
      </c>
      <c r="J79" s="524">
        <f t="shared" si="16"/>
        <v>105923</v>
      </c>
      <c r="K79" s="524">
        <f t="shared" si="16"/>
        <v>116029</v>
      </c>
      <c r="L79" s="524">
        <f t="shared" si="16"/>
        <v>72848</v>
      </c>
      <c r="M79" s="524">
        <f t="shared" si="16"/>
        <v>93410</v>
      </c>
      <c r="N79" s="524">
        <f t="shared" si="16"/>
        <v>109000</v>
      </c>
      <c r="O79" s="524">
        <f t="shared" si="16"/>
        <v>94538</v>
      </c>
      <c r="P79" s="524">
        <f>SUM(P80:P86)</f>
        <v>100085</v>
      </c>
      <c r="Q79" s="524">
        <f t="shared" si="16"/>
        <v>95591</v>
      </c>
    </row>
    <row r="80" spans="1:18" s="470" customFormat="1" ht="23.25" customHeight="1">
      <c r="A80" s="526"/>
      <c r="B80" s="533" t="s">
        <v>172</v>
      </c>
      <c r="C80" s="523"/>
      <c r="D80" s="523">
        <f>E80+F80</f>
        <v>296960</v>
      </c>
      <c r="E80" s="527">
        <v>120111</v>
      </c>
      <c r="F80" s="527">
        <f t="shared" si="13"/>
        <v>176849</v>
      </c>
      <c r="G80" s="527">
        <f>20094-7278+5185</f>
        <v>18001</v>
      </c>
      <c r="H80" s="527">
        <v>15967</v>
      </c>
      <c r="I80" s="527">
        <f>9424+1316+255</f>
        <v>10995</v>
      </c>
      <c r="J80" s="527">
        <f>16369+338+222</f>
        <v>16929</v>
      </c>
      <c r="K80" s="527">
        <f>18373+1610</f>
        <v>19983</v>
      </c>
      <c r="L80" s="527">
        <f>11162+652</f>
        <v>11814</v>
      </c>
      <c r="M80" s="527">
        <f>14044+2302+600</f>
        <v>16946</v>
      </c>
      <c r="N80" s="527">
        <f>16808+1843</f>
        <v>18651</v>
      </c>
      <c r="O80" s="527">
        <f>15225+650-6054+4737</f>
        <v>14558</v>
      </c>
      <c r="P80" s="527">
        <f>15423+222+1360</f>
        <v>17005</v>
      </c>
      <c r="Q80" s="527">
        <f>15131+869</f>
        <v>16000</v>
      </c>
    </row>
    <row r="81" spans="1:18" s="470" customFormat="1" ht="23.25" customHeight="1">
      <c r="A81" s="526"/>
      <c r="B81" s="533" t="s">
        <v>173</v>
      </c>
      <c r="C81" s="523"/>
      <c r="D81" s="523">
        <f t="shared" si="14"/>
        <v>235088</v>
      </c>
      <c r="E81" s="527">
        <v>61718</v>
      </c>
      <c r="F81" s="527">
        <f t="shared" si="13"/>
        <v>173370</v>
      </c>
      <c r="G81" s="527">
        <v>19608</v>
      </c>
      <c r="H81" s="527">
        <v>17709</v>
      </c>
      <c r="I81" s="527">
        <v>9674</v>
      </c>
      <c r="J81" s="527">
        <v>16802</v>
      </c>
      <c r="K81" s="527">
        <v>18859</v>
      </c>
      <c r="L81" s="527">
        <v>11457</v>
      </c>
      <c r="M81" s="527">
        <f>14416+600</f>
        <v>15016</v>
      </c>
      <c r="N81" s="527">
        <v>17253</v>
      </c>
      <c r="O81" s="527">
        <v>15628</v>
      </c>
      <c r="P81" s="527">
        <v>15832</v>
      </c>
      <c r="Q81" s="527">
        <v>15532</v>
      </c>
    </row>
    <row r="82" spans="1:18" s="470" customFormat="1" ht="23.25" customHeight="1">
      <c r="A82" s="526"/>
      <c r="B82" s="533" t="s">
        <v>1474</v>
      </c>
      <c r="C82" s="523"/>
      <c r="D82" s="523">
        <f t="shared" si="14"/>
        <v>1072804</v>
      </c>
      <c r="E82" s="527">
        <v>394913</v>
      </c>
      <c r="F82" s="527">
        <f t="shared" si="13"/>
        <v>677891</v>
      </c>
      <c r="G82" s="527">
        <f>76400+232+578</f>
        <v>77210</v>
      </c>
      <c r="H82" s="527">
        <v>63898</v>
      </c>
      <c r="I82" s="527">
        <f>37194+1701</f>
        <v>38895</v>
      </c>
      <c r="J82" s="527">
        <f>65964+2999+129-1690/2</f>
        <v>68247</v>
      </c>
      <c r="K82" s="527">
        <f>74787+123-300-3276/2</f>
        <v>72972</v>
      </c>
      <c r="L82" s="527">
        <f>44366+1100+853</f>
        <v>46319</v>
      </c>
      <c r="M82" s="527">
        <f>56302+160-590+518+96+1300</f>
        <v>57786</v>
      </c>
      <c r="N82" s="527">
        <f>66827+2181-718+221+101</f>
        <v>68612</v>
      </c>
      <c r="O82" s="527">
        <f>60666+821-1918/2</f>
        <v>60528</v>
      </c>
      <c r="P82" s="527">
        <f>61653+1739+182+200</f>
        <v>63774</v>
      </c>
      <c r="Q82" s="527">
        <f>58516+889+245</f>
        <v>59650</v>
      </c>
    </row>
    <row r="83" spans="1:18" s="470" customFormat="1" ht="42.75" customHeight="1">
      <c r="A83" s="526"/>
      <c r="B83" s="533" t="s">
        <v>174</v>
      </c>
      <c r="C83" s="523"/>
      <c r="D83" s="523">
        <f>E83</f>
        <v>15000</v>
      </c>
      <c r="E83" s="527">
        <v>15000</v>
      </c>
      <c r="F83" s="527"/>
      <c r="G83" s="527"/>
      <c r="H83" s="527"/>
      <c r="I83" s="527"/>
      <c r="J83" s="527"/>
      <c r="K83" s="527"/>
      <c r="L83" s="527"/>
      <c r="M83" s="527"/>
      <c r="N83" s="527"/>
      <c r="O83" s="527"/>
      <c r="P83" s="527"/>
      <c r="Q83" s="527"/>
    </row>
    <row r="84" spans="1:18" s="470" customFormat="1" ht="23.25" customHeight="1">
      <c r="A84" s="526"/>
      <c r="B84" s="533" t="s">
        <v>175</v>
      </c>
      <c r="C84" s="522"/>
      <c r="D84" s="523">
        <f t="shared" ref="D84:D116" si="17">E84+F84</f>
        <v>4103</v>
      </c>
      <c r="E84" s="527"/>
      <c r="F84" s="527">
        <f t="shared" si="13"/>
        <v>4103</v>
      </c>
      <c r="G84" s="527">
        <v>468</v>
      </c>
      <c r="H84" s="527">
        <v>432</v>
      </c>
      <c r="I84" s="527">
        <v>215</v>
      </c>
      <c r="J84" s="527">
        <v>358</v>
      </c>
      <c r="K84" s="527">
        <v>468</v>
      </c>
      <c r="L84" s="527">
        <v>263</v>
      </c>
      <c r="M84" s="527">
        <v>401</v>
      </c>
      <c r="N84" s="527">
        <v>460</v>
      </c>
      <c r="O84" s="527">
        <v>373</v>
      </c>
      <c r="P84" s="527">
        <v>333</v>
      </c>
      <c r="Q84" s="527">
        <v>332</v>
      </c>
    </row>
    <row r="85" spans="1:18" s="470" customFormat="1" ht="23.25" customHeight="1">
      <c r="A85" s="526"/>
      <c r="B85" s="533" t="s">
        <v>176</v>
      </c>
      <c r="C85" s="522"/>
      <c r="D85" s="523">
        <f t="shared" si="17"/>
        <v>7859</v>
      </c>
      <c r="E85" s="527"/>
      <c r="F85" s="527">
        <f t="shared" si="13"/>
        <v>7859</v>
      </c>
      <c r="G85" s="527">
        <v>1327</v>
      </c>
      <c r="H85" s="527">
        <v>438</v>
      </c>
      <c r="I85" s="527">
        <v>311</v>
      </c>
      <c r="J85" s="527">
        <v>587</v>
      </c>
      <c r="K85" s="527">
        <v>747</v>
      </c>
      <c r="L85" s="527">
        <v>295</v>
      </c>
      <c r="M85" s="527">
        <v>561</v>
      </c>
      <c r="N85" s="527">
        <v>1324</v>
      </c>
      <c r="O85" s="527">
        <v>751</v>
      </c>
      <c r="P85" s="527">
        <v>441</v>
      </c>
      <c r="Q85" s="527">
        <v>1077</v>
      </c>
    </row>
    <row r="86" spans="1:18" s="470" customFormat="1" ht="23.25" customHeight="1">
      <c r="A86" s="526"/>
      <c r="B86" s="533" t="s">
        <v>177</v>
      </c>
      <c r="C86" s="522"/>
      <c r="D86" s="523">
        <f t="shared" si="17"/>
        <v>31500</v>
      </c>
      <c r="E86" s="527"/>
      <c r="F86" s="527">
        <f t="shared" si="13"/>
        <v>31500</v>
      </c>
      <c r="G86" s="527">
        <v>3000</v>
      </c>
      <c r="H86" s="527">
        <v>3000</v>
      </c>
      <c r="I86" s="527">
        <v>3000</v>
      </c>
      <c r="J86" s="527">
        <v>3000</v>
      </c>
      <c r="K86" s="527">
        <v>3000</v>
      </c>
      <c r="L86" s="527">
        <v>2700</v>
      </c>
      <c r="M86" s="527">
        <v>2700</v>
      </c>
      <c r="N86" s="527">
        <v>2700</v>
      </c>
      <c r="O86" s="527">
        <v>2700</v>
      </c>
      <c r="P86" s="527">
        <v>2700</v>
      </c>
      <c r="Q86" s="527">
        <v>3000</v>
      </c>
    </row>
    <row r="87" spans="1:18" s="469" customFormat="1" ht="23.25" customHeight="1">
      <c r="A87" s="514" t="s">
        <v>178</v>
      </c>
      <c r="B87" s="515" t="s">
        <v>179</v>
      </c>
      <c r="C87" s="517"/>
      <c r="D87" s="516">
        <f t="shared" si="17"/>
        <v>299523</v>
      </c>
      <c r="E87" s="524">
        <f>E88+E89+E90</f>
        <v>119628</v>
      </c>
      <c r="F87" s="524">
        <f t="shared" si="13"/>
        <v>179895</v>
      </c>
      <c r="G87" s="524">
        <f>G88+G89+G90</f>
        <v>17378</v>
      </c>
      <c r="H87" s="524">
        <f t="shared" ref="H87:Q87" si="18">H88+H89+H90</f>
        <v>13741</v>
      </c>
      <c r="I87" s="524">
        <f t="shared" si="18"/>
        <v>11229</v>
      </c>
      <c r="J87" s="524">
        <f t="shared" si="18"/>
        <v>24788</v>
      </c>
      <c r="K87" s="524">
        <f t="shared" si="18"/>
        <v>22510</v>
      </c>
      <c r="L87" s="524">
        <f t="shared" si="18"/>
        <v>12395</v>
      </c>
      <c r="M87" s="524">
        <f t="shared" si="18"/>
        <v>20531</v>
      </c>
      <c r="N87" s="524">
        <f t="shared" si="18"/>
        <v>21613</v>
      </c>
      <c r="O87" s="524">
        <f t="shared" si="18"/>
        <v>11093</v>
      </c>
      <c r="P87" s="524">
        <f t="shared" si="18"/>
        <v>12010</v>
      </c>
      <c r="Q87" s="524">
        <f t="shared" si="18"/>
        <v>12607</v>
      </c>
    </row>
    <row r="88" spans="1:18" s="470" customFormat="1" ht="23.25" customHeight="1">
      <c r="A88" s="526"/>
      <c r="B88" s="533" t="s">
        <v>180</v>
      </c>
      <c r="C88" s="522"/>
      <c r="D88" s="523">
        <f t="shared" si="17"/>
        <v>65188</v>
      </c>
      <c r="E88" s="527">
        <v>31038</v>
      </c>
      <c r="F88" s="527">
        <f t="shared" si="13"/>
        <v>34150</v>
      </c>
      <c r="G88" s="527">
        <v>3845</v>
      </c>
      <c r="H88" s="527">
        <v>2945</v>
      </c>
      <c r="I88" s="527">
        <v>1866</v>
      </c>
      <c r="J88" s="527">
        <v>4006</v>
      </c>
      <c r="K88" s="527">
        <v>4213</v>
      </c>
      <c r="L88" s="527">
        <v>2356</v>
      </c>
      <c r="M88" s="527">
        <v>3469</v>
      </c>
      <c r="N88" s="527">
        <v>3719</v>
      </c>
      <c r="O88" s="527">
        <v>2266</v>
      </c>
      <c r="P88" s="527">
        <v>2535</v>
      </c>
      <c r="Q88" s="527">
        <v>2930</v>
      </c>
    </row>
    <row r="89" spans="1:18" s="470" customFormat="1" ht="23.25" customHeight="1">
      <c r="A89" s="526"/>
      <c r="B89" s="533" t="s">
        <v>181</v>
      </c>
      <c r="C89" s="522"/>
      <c r="D89" s="523">
        <f t="shared" si="17"/>
        <v>232335</v>
      </c>
      <c r="E89" s="527">
        <v>88590</v>
      </c>
      <c r="F89" s="527">
        <f t="shared" si="13"/>
        <v>143745</v>
      </c>
      <c r="G89" s="527">
        <f>9833+3700</f>
        <v>13533</v>
      </c>
      <c r="H89" s="527">
        <f>8259+2537</f>
        <v>10796</v>
      </c>
      <c r="I89" s="527">
        <v>9363</v>
      </c>
      <c r="J89" s="527">
        <f>16790+6888-5696+2400</f>
        <v>20382</v>
      </c>
      <c r="K89" s="527">
        <f>14280+4592-3797+2822</f>
        <v>17897</v>
      </c>
      <c r="L89" s="527">
        <f>8102+2296-1899+1140</f>
        <v>9639</v>
      </c>
      <c r="M89" s="527">
        <f>13081+5740-4746+2587</f>
        <v>16662</v>
      </c>
      <c r="N89" s="527">
        <f>12972+4592-3797+3727</f>
        <v>17494</v>
      </c>
      <c r="O89" s="527">
        <f>6837+1990</f>
        <v>8827</v>
      </c>
      <c r="P89" s="527">
        <f>7116+2359</f>
        <v>9475</v>
      </c>
      <c r="Q89" s="527">
        <f>7426+2251</f>
        <v>9677</v>
      </c>
    </row>
    <row r="90" spans="1:18" s="470" customFormat="1" ht="23.25" customHeight="1">
      <c r="A90" s="526"/>
      <c r="B90" s="544" t="s">
        <v>182</v>
      </c>
      <c r="C90" s="522"/>
      <c r="D90" s="523">
        <f t="shared" si="17"/>
        <v>2000</v>
      </c>
      <c r="E90" s="527"/>
      <c r="F90" s="527">
        <f t="shared" si="13"/>
        <v>2000</v>
      </c>
      <c r="G90" s="527"/>
      <c r="H90" s="527"/>
      <c r="I90" s="527"/>
      <c r="J90" s="527">
        <v>400</v>
      </c>
      <c r="K90" s="527">
        <v>400</v>
      </c>
      <c r="L90" s="527">
        <v>400</v>
      </c>
      <c r="M90" s="527">
        <v>400</v>
      </c>
      <c r="N90" s="527">
        <v>400</v>
      </c>
      <c r="O90" s="527"/>
      <c r="P90" s="527"/>
      <c r="Q90" s="527"/>
    </row>
    <row r="91" spans="1:18" s="469" customFormat="1" ht="23.25" customHeight="1">
      <c r="A91" s="514" t="s">
        <v>183</v>
      </c>
      <c r="B91" s="515" t="s">
        <v>184</v>
      </c>
      <c r="C91" s="517"/>
      <c r="D91" s="516">
        <f t="shared" si="17"/>
        <v>127792</v>
      </c>
      <c r="E91" s="524">
        <v>3278</v>
      </c>
      <c r="F91" s="524">
        <f t="shared" si="13"/>
        <v>124514</v>
      </c>
      <c r="G91" s="524">
        <v>10842</v>
      </c>
      <c r="H91" s="524">
        <v>6400</v>
      </c>
      <c r="I91" s="524">
        <v>34764</v>
      </c>
      <c r="J91" s="524">
        <v>19235</v>
      </c>
      <c r="K91" s="524">
        <v>10418</v>
      </c>
      <c r="L91" s="524">
        <v>5343</v>
      </c>
      <c r="M91" s="524">
        <v>21152</v>
      </c>
      <c r="N91" s="524">
        <v>4002</v>
      </c>
      <c r="O91" s="524">
        <v>6074</v>
      </c>
      <c r="P91" s="524">
        <v>2648</v>
      </c>
      <c r="Q91" s="524">
        <v>3636</v>
      </c>
    </row>
    <row r="92" spans="1:18" s="470" customFormat="1" ht="23.25" customHeight="1">
      <c r="A92" s="526"/>
      <c r="B92" s="521" t="s">
        <v>1101</v>
      </c>
      <c r="C92" s="522"/>
      <c r="D92" s="523">
        <f t="shared" si="17"/>
        <v>8000</v>
      </c>
      <c r="E92" s="527"/>
      <c r="F92" s="527">
        <f t="shared" si="13"/>
        <v>8000</v>
      </c>
      <c r="G92" s="527"/>
      <c r="H92" s="527"/>
      <c r="I92" s="527"/>
      <c r="J92" s="527"/>
      <c r="K92" s="527"/>
      <c r="L92" s="527"/>
      <c r="M92" s="527">
        <v>8000</v>
      </c>
      <c r="N92" s="527"/>
      <c r="O92" s="527"/>
      <c r="P92" s="527"/>
      <c r="Q92" s="527"/>
    </row>
    <row r="93" spans="1:18" s="469" customFormat="1" ht="21.75" customHeight="1">
      <c r="A93" s="514" t="s">
        <v>185</v>
      </c>
      <c r="B93" s="515" t="s">
        <v>1093</v>
      </c>
      <c r="C93" s="517"/>
      <c r="D93" s="516">
        <f>E93+F93</f>
        <v>2741576</v>
      </c>
      <c r="E93" s="524">
        <f>SUM(E94:E123)-E120-E95+E124-E98</f>
        <v>76022</v>
      </c>
      <c r="F93" s="524">
        <f>SUM(G93:Q93)</f>
        <v>2665554</v>
      </c>
      <c r="G93" s="524">
        <f>SUM(G94:G123)-G120-G95+G124-G98</f>
        <v>320414</v>
      </c>
      <c r="H93" s="524">
        <f t="shared" ref="H93:R93" si="19">SUM(H94:H123)-H120-H95+H124-H98</f>
        <v>275841</v>
      </c>
      <c r="I93" s="524">
        <f t="shared" si="19"/>
        <v>212058</v>
      </c>
      <c r="J93" s="524">
        <f t="shared" si="19"/>
        <v>262764</v>
      </c>
      <c r="K93" s="524">
        <f t="shared" si="19"/>
        <v>299994</v>
      </c>
      <c r="L93" s="524">
        <f t="shared" si="19"/>
        <v>165002</v>
      </c>
      <c r="M93" s="524">
        <f t="shared" si="19"/>
        <v>188333</v>
      </c>
      <c r="N93" s="524">
        <f t="shared" si="19"/>
        <v>240275</v>
      </c>
      <c r="O93" s="524">
        <f t="shared" si="19"/>
        <v>224564</v>
      </c>
      <c r="P93" s="524">
        <f t="shared" si="19"/>
        <v>239946</v>
      </c>
      <c r="Q93" s="524">
        <f t="shared" si="19"/>
        <v>236363</v>
      </c>
      <c r="R93" s="425">
        <f t="shared" si="19"/>
        <v>0</v>
      </c>
    </row>
    <row r="94" spans="1:18" s="470" customFormat="1" ht="73.5" customHeight="1">
      <c r="A94" s="526"/>
      <c r="B94" s="521" t="s">
        <v>1191</v>
      </c>
      <c r="C94" s="522"/>
      <c r="D94" s="523">
        <f>E94+F94</f>
        <v>1920904</v>
      </c>
      <c r="E94" s="527"/>
      <c r="F94" s="527">
        <f t="shared" si="13"/>
        <v>1920904</v>
      </c>
      <c r="G94" s="545">
        <v>222868</v>
      </c>
      <c r="H94" s="545">
        <v>210762</v>
      </c>
      <c r="I94" s="545">
        <v>119065</v>
      </c>
      <c r="J94" s="545">
        <v>201032</v>
      </c>
      <c r="K94" s="545">
        <v>234624</v>
      </c>
      <c r="L94" s="545">
        <v>102312</v>
      </c>
      <c r="M94" s="545">
        <v>137254</v>
      </c>
      <c r="N94" s="545">
        <v>165729</v>
      </c>
      <c r="O94" s="545">
        <v>166052</v>
      </c>
      <c r="P94" s="545">
        <v>185604</v>
      </c>
      <c r="Q94" s="545">
        <v>175602</v>
      </c>
    </row>
    <row r="95" spans="1:18" s="471" customFormat="1" ht="23.25" customHeight="1">
      <c r="A95" s="528"/>
      <c r="B95" s="529" t="s">
        <v>1094</v>
      </c>
      <c r="C95" s="535"/>
      <c r="D95" s="530">
        <f t="shared" si="17"/>
        <v>1329345</v>
      </c>
      <c r="E95" s="531"/>
      <c r="F95" s="531">
        <f t="shared" si="13"/>
        <v>1329345</v>
      </c>
      <c r="G95" s="546">
        <v>165924</v>
      </c>
      <c r="H95" s="546">
        <v>150086</v>
      </c>
      <c r="I95" s="546">
        <v>88404</v>
      </c>
      <c r="J95" s="546">
        <v>136621</v>
      </c>
      <c r="K95" s="546">
        <v>169383</v>
      </c>
      <c r="L95" s="546">
        <v>66314</v>
      </c>
      <c r="M95" s="546">
        <v>91819</v>
      </c>
      <c r="N95" s="546">
        <v>106297</v>
      </c>
      <c r="O95" s="546">
        <v>105698</v>
      </c>
      <c r="P95" s="546">
        <v>128251</v>
      </c>
      <c r="Q95" s="546">
        <v>120548</v>
      </c>
    </row>
    <row r="96" spans="1:18" s="469" customFormat="1" ht="42.75" customHeight="1">
      <c r="A96" s="526"/>
      <c r="B96" s="958" t="s">
        <v>186</v>
      </c>
      <c r="C96" s="959"/>
      <c r="D96" s="523">
        <f t="shared" si="17"/>
        <v>2442</v>
      </c>
      <c r="E96" s="527"/>
      <c r="F96" s="527">
        <f t="shared" si="13"/>
        <v>2442</v>
      </c>
      <c r="G96" s="527">
        <v>56</v>
      </c>
      <c r="H96" s="527"/>
      <c r="I96" s="527">
        <v>2274</v>
      </c>
      <c r="J96" s="527">
        <v>112</v>
      </c>
      <c r="K96" s="527"/>
      <c r="L96" s="527"/>
      <c r="M96" s="527"/>
      <c r="N96" s="527"/>
      <c r="O96" s="527"/>
      <c r="P96" s="527"/>
      <c r="Q96" s="527"/>
    </row>
    <row r="97" spans="1:17" s="469" customFormat="1" ht="42.75" customHeight="1">
      <c r="A97" s="514"/>
      <c r="B97" s="958" t="s">
        <v>1193</v>
      </c>
      <c r="C97" s="959"/>
      <c r="D97" s="523">
        <f>F97+E97</f>
        <v>240711</v>
      </c>
      <c r="E97" s="527">
        <f>E98</f>
        <v>60000</v>
      </c>
      <c r="F97" s="527">
        <f t="shared" si="13"/>
        <v>180711</v>
      </c>
      <c r="G97" s="527">
        <v>19803</v>
      </c>
      <c r="H97" s="527">
        <v>20939</v>
      </c>
      <c r="I97" s="527">
        <v>29055</v>
      </c>
      <c r="J97" s="527">
        <v>15735</v>
      </c>
      <c r="K97" s="527">
        <v>12826</v>
      </c>
      <c r="L97" s="527">
        <v>8734</v>
      </c>
      <c r="M97" s="527">
        <v>8308</v>
      </c>
      <c r="N97" s="527">
        <v>21415</v>
      </c>
      <c r="O97" s="527">
        <v>15881</v>
      </c>
      <c r="P97" s="527">
        <v>14574</v>
      </c>
      <c r="Q97" s="527">
        <v>13441</v>
      </c>
    </row>
    <row r="98" spans="1:17" s="472" customFormat="1" ht="42.75" customHeight="1">
      <c r="A98" s="547"/>
      <c r="B98" s="540" t="s">
        <v>1192</v>
      </c>
      <c r="C98" s="541"/>
      <c r="D98" s="530">
        <f>F98+E98</f>
        <v>239072</v>
      </c>
      <c r="E98" s="531">
        <v>60000</v>
      </c>
      <c r="F98" s="531">
        <f t="shared" si="13"/>
        <v>179072</v>
      </c>
      <c r="G98" s="531">
        <v>19803</v>
      </c>
      <c r="H98" s="531">
        <v>20889</v>
      </c>
      <c r="I98" s="531">
        <v>28608</v>
      </c>
      <c r="J98" s="531">
        <v>15594</v>
      </c>
      <c r="K98" s="531">
        <v>12659</v>
      </c>
      <c r="L98" s="531">
        <v>8576</v>
      </c>
      <c r="M98" s="531">
        <v>8091</v>
      </c>
      <c r="N98" s="531">
        <v>21382</v>
      </c>
      <c r="O98" s="531">
        <v>15705</v>
      </c>
      <c r="P98" s="531">
        <v>14359</v>
      </c>
      <c r="Q98" s="531">
        <v>13406</v>
      </c>
    </row>
    <row r="99" spans="1:17" s="469" customFormat="1" ht="41.25" customHeight="1">
      <c r="A99" s="526"/>
      <c r="B99" s="533" t="s">
        <v>187</v>
      </c>
      <c r="C99" s="522"/>
      <c r="D99" s="523">
        <f>E99+F99</f>
        <v>24269</v>
      </c>
      <c r="E99" s="527"/>
      <c r="F99" s="527">
        <f t="shared" si="13"/>
        <v>24269</v>
      </c>
      <c r="G99" s="527">
        <v>2023</v>
      </c>
      <c r="H99" s="527">
        <v>2524</v>
      </c>
      <c r="I99" s="527">
        <v>1404</v>
      </c>
      <c r="J99" s="527">
        <v>2340</v>
      </c>
      <c r="K99" s="527">
        <v>2265</v>
      </c>
      <c r="L99" s="527">
        <v>720</v>
      </c>
      <c r="M99" s="527">
        <v>2574</v>
      </c>
      <c r="N99" s="527">
        <v>4022</v>
      </c>
      <c r="O99" s="527">
        <v>3210</v>
      </c>
      <c r="P99" s="527">
        <v>1662</v>
      </c>
      <c r="Q99" s="527">
        <v>1525</v>
      </c>
    </row>
    <row r="100" spans="1:17" s="469" customFormat="1" ht="42.75" customHeight="1">
      <c r="A100" s="514"/>
      <c r="B100" s="958" t="s">
        <v>1465</v>
      </c>
      <c r="C100" s="959"/>
      <c r="D100" s="523">
        <f t="shared" si="17"/>
        <v>911</v>
      </c>
      <c r="E100" s="527"/>
      <c r="F100" s="527">
        <f t="shared" si="13"/>
        <v>911</v>
      </c>
      <c r="G100" s="527">
        <v>108</v>
      </c>
      <c r="H100" s="527">
        <v>90</v>
      </c>
      <c r="I100" s="527">
        <v>36</v>
      </c>
      <c r="J100" s="527">
        <v>99</v>
      </c>
      <c r="K100" s="527">
        <v>95</v>
      </c>
      <c r="L100" s="527">
        <v>54</v>
      </c>
      <c r="M100" s="527">
        <v>77</v>
      </c>
      <c r="N100" s="527">
        <v>99</v>
      </c>
      <c r="O100" s="527">
        <v>77</v>
      </c>
      <c r="P100" s="527">
        <v>86</v>
      </c>
      <c r="Q100" s="527">
        <v>90</v>
      </c>
    </row>
    <row r="101" spans="1:17" s="469" customFormat="1" ht="42.75" customHeight="1">
      <c r="A101" s="514"/>
      <c r="B101" s="533" t="s">
        <v>188</v>
      </c>
      <c r="C101" s="522"/>
      <c r="D101" s="523">
        <f t="shared" si="17"/>
        <v>3745</v>
      </c>
      <c r="E101" s="527"/>
      <c r="F101" s="527">
        <f t="shared" si="13"/>
        <v>3745</v>
      </c>
      <c r="G101" s="527">
        <v>538</v>
      </c>
      <c r="H101" s="527">
        <v>360</v>
      </c>
      <c r="I101" s="527">
        <v>458</v>
      </c>
      <c r="J101" s="527">
        <v>380</v>
      </c>
      <c r="K101" s="527">
        <v>351</v>
      </c>
      <c r="L101" s="527">
        <v>143</v>
      </c>
      <c r="M101" s="527">
        <v>227</v>
      </c>
      <c r="N101" s="527">
        <v>388</v>
      </c>
      <c r="O101" s="527">
        <v>277</v>
      </c>
      <c r="P101" s="527">
        <v>268</v>
      </c>
      <c r="Q101" s="527">
        <v>355</v>
      </c>
    </row>
    <row r="102" spans="1:17" s="469" customFormat="1" ht="43.5" customHeight="1">
      <c r="A102" s="514"/>
      <c r="B102" s="958" t="s">
        <v>189</v>
      </c>
      <c r="C102" s="959"/>
      <c r="D102" s="523">
        <f>E102+F102</f>
        <v>2430</v>
      </c>
      <c r="E102" s="527"/>
      <c r="F102" s="527">
        <f t="shared" si="13"/>
        <v>2430</v>
      </c>
      <c r="G102" s="527">
        <v>273</v>
      </c>
      <c r="H102" s="527">
        <v>226</v>
      </c>
      <c r="I102" s="527">
        <v>162</v>
      </c>
      <c r="J102" s="527">
        <v>246</v>
      </c>
      <c r="K102" s="527">
        <v>242</v>
      </c>
      <c r="L102" s="527">
        <v>137</v>
      </c>
      <c r="M102" s="527">
        <v>215</v>
      </c>
      <c r="N102" s="527">
        <v>252</v>
      </c>
      <c r="O102" s="527">
        <v>242</v>
      </c>
      <c r="P102" s="527">
        <v>219</v>
      </c>
      <c r="Q102" s="527">
        <v>216</v>
      </c>
    </row>
    <row r="103" spans="1:17" s="469" customFormat="1" ht="120" customHeight="1">
      <c r="A103" s="514"/>
      <c r="B103" s="958" t="s">
        <v>1190</v>
      </c>
      <c r="C103" s="959"/>
      <c r="D103" s="523">
        <f>E103+F103</f>
        <v>4190</v>
      </c>
      <c r="E103" s="527"/>
      <c r="F103" s="527">
        <f t="shared" si="13"/>
        <v>4190</v>
      </c>
      <c r="G103" s="527">
        <f>288+126+28</f>
        <v>442</v>
      </c>
      <c r="H103" s="527">
        <f>288+106+24</f>
        <v>418</v>
      </c>
      <c r="I103" s="527">
        <f>46+12</f>
        <v>58</v>
      </c>
      <c r="J103" s="527">
        <f>288+116+26</f>
        <v>430</v>
      </c>
      <c r="K103" s="527">
        <f>288+111+25</f>
        <v>424</v>
      </c>
      <c r="L103" s="527">
        <v>370</v>
      </c>
      <c r="M103" s="527">
        <f>288+91+21</f>
        <v>400</v>
      </c>
      <c r="N103" s="527">
        <f>288+116+26</f>
        <v>430</v>
      </c>
      <c r="O103" s="527">
        <f>288+91+21</f>
        <v>400</v>
      </c>
      <c r="P103" s="527">
        <f>288+101+23</f>
        <v>412</v>
      </c>
      <c r="Q103" s="527">
        <f>288+96+22</f>
        <v>406</v>
      </c>
    </row>
    <row r="104" spans="1:17" s="469" customFormat="1" ht="106.5" customHeight="1">
      <c r="A104" s="514"/>
      <c r="B104" s="958" t="s">
        <v>1466</v>
      </c>
      <c r="C104" s="959"/>
      <c r="D104" s="523">
        <f>E104+F104</f>
        <v>141636</v>
      </c>
      <c r="E104" s="527"/>
      <c r="F104" s="527">
        <f t="shared" si="13"/>
        <v>141636</v>
      </c>
      <c r="G104" s="527">
        <v>17376</v>
      </c>
      <c r="H104" s="527">
        <v>13462</v>
      </c>
      <c r="I104" s="527">
        <v>6942</v>
      </c>
      <c r="J104" s="527">
        <v>14491</v>
      </c>
      <c r="K104" s="527">
        <v>15944</v>
      </c>
      <c r="L104" s="527">
        <v>7615</v>
      </c>
      <c r="M104" s="527">
        <v>14105</v>
      </c>
      <c r="N104" s="527">
        <v>15321</v>
      </c>
      <c r="O104" s="527">
        <v>12345</v>
      </c>
      <c r="P104" s="527">
        <v>10943</v>
      </c>
      <c r="Q104" s="527">
        <v>13092</v>
      </c>
    </row>
    <row r="105" spans="1:17" s="469" customFormat="1" ht="52.5" customHeight="1">
      <c r="A105" s="514"/>
      <c r="B105" s="533" t="s">
        <v>190</v>
      </c>
      <c r="C105" s="522"/>
      <c r="D105" s="523">
        <f t="shared" si="17"/>
        <v>2024</v>
      </c>
      <c r="E105" s="527"/>
      <c r="F105" s="527">
        <f t="shared" si="13"/>
        <v>2024</v>
      </c>
      <c r="G105" s="527">
        <v>250</v>
      </c>
      <c r="H105" s="527">
        <v>202</v>
      </c>
      <c r="I105" s="527">
        <v>77</v>
      </c>
      <c r="J105" s="527">
        <v>250</v>
      </c>
      <c r="K105" s="527">
        <v>210</v>
      </c>
      <c r="L105" s="527">
        <v>100</v>
      </c>
      <c r="M105" s="527">
        <v>151</v>
      </c>
      <c r="N105" s="527">
        <v>192</v>
      </c>
      <c r="O105" s="527">
        <v>220</v>
      </c>
      <c r="P105" s="527">
        <v>200</v>
      </c>
      <c r="Q105" s="527">
        <v>172</v>
      </c>
    </row>
    <row r="106" spans="1:17" s="469" customFormat="1" ht="52.5" customHeight="1">
      <c r="A106" s="526"/>
      <c r="B106" s="533" t="s">
        <v>903</v>
      </c>
      <c r="C106" s="523"/>
      <c r="D106" s="523">
        <f t="shared" si="17"/>
        <v>15800</v>
      </c>
      <c r="E106" s="527"/>
      <c r="F106" s="527">
        <f t="shared" si="13"/>
        <v>15800</v>
      </c>
      <c r="G106" s="527">
        <v>1572</v>
      </c>
      <c r="H106" s="527">
        <v>1117</v>
      </c>
      <c r="I106" s="527">
        <v>2524</v>
      </c>
      <c r="J106" s="527">
        <v>752</v>
      </c>
      <c r="K106" s="527">
        <v>713</v>
      </c>
      <c r="L106" s="527">
        <v>501</v>
      </c>
      <c r="M106" s="527">
        <v>826</v>
      </c>
      <c r="N106" s="527">
        <v>1979</v>
      </c>
      <c r="O106" s="527">
        <v>1670</v>
      </c>
      <c r="P106" s="527">
        <v>1298</v>
      </c>
      <c r="Q106" s="527">
        <v>2848</v>
      </c>
    </row>
    <row r="107" spans="1:17" s="470" customFormat="1" ht="52.5" customHeight="1">
      <c r="A107" s="526"/>
      <c r="B107" s="533" t="s">
        <v>191</v>
      </c>
      <c r="C107" s="522"/>
      <c r="D107" s="523">
        <f t="shared" si="17"/>
        <v>11360</v>
      </c>
      <c r="E107" s="527"/>
      <c r="F107" s="527">
        <f t="shared" si="13"/>
        <v>11360</v>
      </c>
      <c r="G107" s="527">
        <v>1970</v>
      </c>
      <c r="H107" s="527">
        <v>910</v>
      </c>
      <c r="I107" s="527"/>
      <c r="J107" s="527">
        <v>260</v>
      </c>
      <c r="K107" s="527">
        <v>330</v>
      </c>
      <c r="L107" s="527">
        <v>540</v>
      </c>
      <c r="M107" s="527">
        <v>1650</v>
      </c>
      <c r="N107" s="527">
        <v>3030</v>
      </c>
      <c r="O107" s="527">
        <v>960</v>
      </c>
      <c r="P107" s="527">
        <v>1030</v>
      </c>
      <c r="Q107" s="527">
        <v>680</v>
      </c>
    </row>
    <row r="108" spans="1:17" s="470" customFormat="1" ht="60" customHeight="1">
      <c r="A108" s="526"/>
      <c r="B108" s="533" t="s">
        <v>192</v>
      </c>
      <c r="C108" s="522"/>
      <c r="D108" s="523">
        <f t="shared" si="17"/>
        <v>40150</v>
      </c>
      <c r="E108" s="527"/>
      <c r="F108" s="527">
        <f t="shared" si="13"/>
        <v>40150</v>
      </c>
      <c r="G108" s="527">
        <v>3600</v>
      </c>
      <c r="H108" s="527">
        <v>2900</v>
      </c>
      <c r="I108" s="527">
        <v>350</v>
      </c>
      <c r="J108" s="527">
        <v>1100</v>
      </c>
      <c r="K108" s="527">
        <v>5000</v>
      </c>
      <c r="L108" s="527">
        <v>10000</v>
      </c>
      <c r="M108" s="527">
        <v>2100</v>
      </c>
      <c r="N108" s="527">
        <v>4000</v>
      </c>
      <c r="O108" s="527">
        <v>3600</v>
      </c>
      <c r="P108" s="527">
        <v>3500</v>
      </c>
      <c r="Q108" s="527">
        <v>4000</v>
      </c>
    </row>
    <row r="109" spans="1:17" s="470" customFormat="1" ht="42.75" customHeight="1">
      <c r="A109" s="526"/>
      <c r="B109" s="533" t="s">
        <v>904</v>
      </c>
      <c r="C109" s="522"/>
      <c r="D109" s="523">
        <f t="shared" si="17"/>
        <v>3946</v>
      </c>
      <c r="E109" s="527"/>
      <c r="F109" s="527">
        <f t="shared" si="13"/>
        <v>3946</v>
      </c>
      <c r="G109" s="527">
        <v>450</v>
      </c>
      <c r="H109" s="527">
        <v>140</v>
      </c>
      <c r="I109" s="527">
        <v>2240</v>
      </c>
      <c r="J109" s="527">
        <v>360</v>
      </c>
      <c r="K109" s="527">
        <v>480</v>
      </c>
      <c r="L109" s="527">
        <v>30</v>
      </c>
      <c r="M109" s="527">
        <v>90</v>
      </c>
      <c r="N109" s="527">
        <v>43</v>
      </c>
      <c r="O109" s="527">
        <v>42</v>
      </c>
      <c r="P109" s="527">
        <v>23</v>
      </c>
      <c r="Q109" s="527">
        <v>48</v>
      </c>
    </row>
    <row r="110" spans="1:17" s="469" customFormat="1" ht="42.75" customHeight="1">
      <c r="A110" s="514"/>
      <c r="B110" s="958" t="s">
        <v>193</v>
      </c>
      <c r="C110" s="959"/>
      <c r="D110" s="523">
        <f>F110</f>
        <v>7579</v>
      </c>
      <c r="E110" s="527"/>
      <c r="F110" s="527">
        <f t="shared" si="13"/>
        <v>7579</v>
      </c>
      <c r="G110" s="527">
        <v>689</v>
      </c>
      <c r="H110" s="527">
        <v>689</v>
      </c>
      <c r="I110" s="527">
        <v>689</v>
      </c>
      <c r="J110" s="527">
        <v>689</v>
      </c>
      <c r="K110" s="527">
        <v>689</v>
      </c>
      <c r="L110" s="527">
        <v>689</v>
      </c>
      <c r="M110" s="527">
        <v>689</v>
      </c>
      <c r="N110" s="527">
        <v>689</v>
      </c>
      <c r="O110" s="527">
        <v>689</v>
      </c>
      <c r="P110" s="527">
        <v>689</v>
      </c>
      <c r="Q110" s="527">
        <v>689</v>
      </c>
    </row>
    <row r="111" spans="1:17" s="469" customFormat="1" ht="42.75" customHeight="1">
      <c r="A111" s="514"/>
      <c r="B111" s="960" t="s">
        <v>239</v>
      </c>
      <c r="C111" s="959"/>
      <c r="D111" s="523">
        <f>F111</f>
        <v>5307</v>
      </c>
      <c r="E111" s="527"/>
      <c r="F111" s="527">
        <f t="shared" si="13"/>
        <v>5307</v>
      </c>
      <c r="G111" s="527">
        <v>630</v>
      </c>
      <c r="H111" s="527">
        <v>471</v>
      </c>
      <c r="I111" s="527">
        <v>596</v>
      </c>
      <c r="J111" s="527">
        <v>462</v>
      </c>
      <c r="K111" s="527">
        <v>605</v>
      </c>
      <c r="L111" s="527">
        <v>338</v>
      </c>
      <c r="M111" s="527">
        <v>483</v>
      </c>
      <c r="N111" s="527">
        <v>504</v>
      </c>
      <c r="O111" s="527">
        <v>363</v>
      </c>
      <c r="P111" s="527">
        <v>411</v>
      </c>
      <c r="Q111" s="527">
        <v>444</v>
      </c>
    </row>
    <row r="112" spans="1:17" s="469" customFormat="1" ht="42.75" customHeight="1">
      <c r="A112" s="514"/>
      <c r="B112" s="960" t="s">
        <v>1189</v>
      </c>
      <c r="C112" s="959"/>
      <c r="D112" s="523">
        <f>F112</f>
        <v>66829</v>
      </c>
      <c r="E112" s="527"/>
      <c r="F112" s="527">
        <f t="shared" si="13"/>
        <v>66829</v>
      </c>
      <c r="G112" s="527">
        <v>8109</v>
      </c>
      <c r="H112" s="527">
        <v>5764</v>
      </c>
      <c r="I112" s="527">
        <v>6155</v>
      </c>
      <c r="J112" s="527">
        <v>5934</v>
      </c>
      <c r="K112" s="527">
        <v>7854</v>
      </c>
      <c r="L112" s="527">
        <v>4401</v>
      </c>
      <c r="M112" s="527">
        <v>6507</v>
      </c>
      <c r="N112" s="527">
        <v>5993</v>
      </c>
      <c r="O112" s="527">
        <v>4553</v>
      </c>
      <c r="P112" s="527">
        <v>5549</v>
      </c>
      <c r="Q112" s="527">
        <v>6010</v>
      </c>
    </row>
    <row r="113" spans="1:17" s="469" customFormat="1" ht="42.75" customHeight="1">
      <c r="A113" s="514"/>
      <c r="B113" s="960" t="s">
        <v>1467</v>
      </c>
      <c r="C113" s="959"/>
      <c r="D113" s="523">
        <f>F113</f>
        <v>12277</v>
      </c>
      <c r="E113" s="527"/>
      <c r="F113" s="527">
        <f t="shared" si="13"/>
        <v>12277</v>
      </c>
      <c r="G113" s="527">
        <v>826</v>
      </c>
      <c r="H113" s="527">
        <v>644</v>
      </c>
      <c r="I113" s="527"/>
      <c r="J113" s="527">
        <v>1159</v>
      </c>
      <c r="K113" s="527"/>
      <c r="L113" s="527">
        <v>4022</v>
      </c>
      <c r="M113" s="527">
        <v>2268</v>
      </c>
      <c r="N113" s="527">
        <v>3066</v>
      </c>
      <c r="O113" s="527">
        <v>136</v>
      </c>
      <c r="P113" s="527"/>
      <c r="Q113" s="527">
        <v>156</v>
      </c>
    </row>
    <row r="114" spans="1:17" s="469" customFormat="1" ht="42.75" customHeight="1">
      <c r="A114" s="514"/>
      <c r="B114" s="960" t="s">
        <v>1197</v>
      </c>
      <c r="C114" s="959"/>
      <c r="D114" s="523">
        <f>F114</f>
        <v>12821</v>
      </c>
      <c r="E114" s="527"/>
      <c r="F114" s="527">
        <f t="shared" si="13"/>
        <v>12821</v>
      </c>
      <c r="G114" s="527">
        <f>185+1346</f>
        <v>1531</v>
      </c>
      <c r="H114" s="527">
        <f>172+1158</f>
        <v>1330</v>
      </c>
      <c r="I114" s="527">
        <f>216+1182</f>
        <v>1398</v>
      </c>
      <c r="J114" s="527">
        <f>183+773</f>
        <v>956</v>
      </c>
      <c r="K114" s="527">
        <f>366+476</f>
        <v>842</v>
      </c>
      <c r="L114" s="527">
        <f>75+681</f>
        <v>756</v>
      </c>
      <c r="M114" s="527">
        <f>260+999</f>
        <v>1259</v>
      </c>
      <c r="N114" s="527">
        <f>189+994</f>
        <v>1183</v>
      </c>
      <c r="O114" s="527">
        <f>173+744</f>
        <v>917</v>
      </c>
      <c r="P114" s="527">
        <f>167+938</f>
        <v>1105</v>
      </c>
      <c r="Q114" s="527">
        <f>120+1424</f>
        <v>1544</v>
      </c>
    </row>
    <row r="115" spans="1:17" s="469" customFormat="1" ht="42.75" customHeight="1">
      <c r="A115" s="514"/>
      <c r="B115" s="533" t="s">
        <v>1389</v>
      </c>
      <c r="C115" s="522"/>
      <c r="D115" s="523">
        <f t="shared" si="17"/>
        <v>32850</v>
      </c>
      <c r="E115" s="527"/>
      <c r="F115" s="527">
        <f t="shared" si="13"/>
        <v>32850</v>
      </c>
      <c r="G115" s="527">
        <v>3850</v>
      </c>
      <c r="H115" s="527">
        <v>3150</v>
      </c>
      <c r="I115" s="527">
        <v>2750</v>
      </c>
      <c r="J115" s="527">
        <v>3450</v>
      </c>
      <c r="K115" s="527">
        <v>3900</v>
      </c>
      <c r="L115" s="527">
        <v>2000</v>
      </c>
      <c r="M115" s="527">
        <v>2400</v>
      </c>
      <c r="N115" s="527">
        <v>2750</v>
      </c>
      <c r="O115" s="527">
        <v>2700</v>
      </c>
      <c r="P115" s="527">
        <v>3000</v>
      </c>
      <c r="Q115" s="527">
        <v>2900</v>
      </c>
    </row>
    <row r="116" spans="1:17" s="469" customFormat="1" ht="52.5" customHeight="1">
      <c r="A116" s="526"/>
      <c r="B116" s="521" t="s">
        <v>1468</v>
      </c>
      <c r="C116" s="522"/>
      <c r="D116" s="523">
        <f t="shared" si="17"/>
        <v>20000</v>
      </c>
      <c r="E116" s="527"/>
      <c r="F116" s="527">
        <f t="shared" si="13"/>
        <v>20000</v>
      </c>
      <c r="G116" s="527"/>
      <c r="H116" s="527"/>
      <c r="I116" s="527">
        <v>20000</v>
      </c>
      <c r="J116" s="527"/>
      <c r="K116" s="527"/>
      <c r="L116" s="527"/>
      <c r="M116" s="527"/>
      <c r="N116" s="527"/>
      <c r="O116" s="527"/>
      <c r="P116" s="527"/>
      <c r="Q116" s="527"/>
    </row>
    <row r="117" spans="1:17" s="469" customFormat="1" ht="23.25" customHeight="1">
      <c r="A117" s="526"/>
      <c r="B117" s="533" t="s">
        <v>194</v>
      </c>
      <c r="C117" s="522"/>
      <c r="D117" s="523">
        <v>15000</v>
      </c>
      <c r="E117" s="527">
        <f>D117-F117</f>
        <v>10022</v>
      </c>
      <c r="F117" s="527">
        <f t="shared" si="13"/>
        <v>4978</v>
      </c>
      <c r="G117" s="527">
        <v>500</v>
      </c>
      <c r="H117" s="527">
        <v>500</v>
      </c>
      <c r="I117" s="527"/>
      <c r="J117" s="527"/>
      <c r="K117" s="527">
        <v>600</v>
      </c>
      <c r="L117" s="527">
        <v>400</v>
      </c>
      <c r="M117" s="527">
        <v>500</v>
      </c>
      <c r="N117" s="527">
        <v>500</v>
      </c>
      <c r="O117" s="527">
        <v>500</v>
      </c>
      <c r="P117" s="527">
        <v>753</v>
      </c>
      <c r="Q117" s="527">
        <v>725</v>
      </c>
    </row>
    <row r="118" spans="1:17" s="469" customFormat="1" ht="60.75" hidden="1" customHeight="1">
      <c r="A118" s="526"/>
      <c r="B118" s="533" t="s">
        <v>231</v>
      </c>
      <c r="C118" s="522"/>
      <c r="D118" s="523">
        <f>E118</f>
        <v>0</v>
      </c>
      <c r="E118" s="527"/>
      <c r="F118" s="527"/>
      <c r="G118" s="527"/>
      <c r="H118" s="527"/>
      <c r="I118" s="527"/>
      <c r="J118" s="527"/>
      <c r="K118" s="527"/>
      <c r="L118" s="527"/>
      <c r="M118" s="527"/>
      <c r="N118" s="527"/>
      <c r="O118" s="527"/>
      <c r="P118" s="527"/>
      <c r="Q118" s="527"/>
    </row>
    <row r="119" spans="1:17" s="469" customFormat="1" ht="31.5" hidden="1" customHeight="1">
      <c r="A119" s="526"/>
      <c r="B119" s="533" t="s">
        <v>195</v>
      </c>
      <c r="C119" s="522"/>
      <c r="D119" s="523">
        <f>E119</f>
        <v>0</v>
      </c>
      <c r="E119" s="527">
        <f>E120</f>
        <v>0</v>
      </c>
      <c r="F119" s="527"/>
      <c r="G119" s="527"/>
      <c r="H119" s="527"/>
      <c r="I119" s="527"/>
      <c r="J119" s="527"/>
      <c r="K119" s="527"/>
      <c r="L119" s="527"/>
      <c r="M119" s="527"/>
      <c r="N119" s="527"/>
      <c r="O119" s="527"/>
      <c r="P119" s="527"/>
      <c r="Q119" s="527"/>
    </row>
    <row r="120" spans="1:17" s="469" customFormat="1" ht="41.25" hidden="1" customHeight="1">
      <c r="A120" s="528"/>
      <c r="B120" s="548" t="s">
        <v>905</v>
      </c>
      <c r="C120" s="535"/>
      <c r="D120" s="530">
        <f>E120</f>
        <v>0</v>
      </c>
      <c r="E120" s="531"/>
      <c r="F120" s="531"/>
      <c r="G120" s="531"/>
      <c r="H120" s="531"/>
      <c r="I120" s="531"/>
      <c r="J120" s="531"/>
      <c r="K120" s="527"/>
      <c r="L120" s="527"/>
      <c r="M120" s="527"/>
      <c r="N120" s="527"/>
      <c r="O120" s="527"/>
      <c r="P120" s="527"/>
      <c r="Q120" s="527"/>
    </row>
    <row r="121" spans="1:17" s="469" customFormat="1" ht="23.25" customHeight="1">
      <c r="A121" s="526"/>
      <c r="B121" s="533" t="s">
        <v>196</v>
      </c>
      <c r="C121" s="522"/>
      <c r="D121" s="523">
        <f>E121+F121</f>
        <v>6000</v>
      </c>
      <c r="E121" s="527">
        <v>6000</v>
      </c>
      <c r="F121" s="527"/>
      <c r="G121" s="527"/>
      <c r="H121" s="527"/>
      <c r="I121" s="527"/>
      <c r="J121" s="527"/>
      <c r="K121" s="527"/>
      <c r="L121" s="527"/>
      <c r="M121" s="527"/>
      <c r="N121" s="527"/>
      <c r="O121" s="527"/>
      <c r="P121" s="527"/>
      <c r="Q121" s="527"/>
    </row>
    <row r="122" spans="1:17" s="469" customFormat="1" ht="30.75" hidden="1" customHeight="1">
      <c r="A122" s="526"/>
      <c r="B122" s="533"/>
      <c r="C122" s="522"/>
      <c r="D122" s="523"/>
      <c r="E122" s="527"/>
      <c r="F122" s="527"/>
      <c r="G122" s="527"/>
      <c r="H122" s="527"/>
      <c r="I122" s="527"/>
      <c r="J122" s="527"/>
      <c r="K122" s="527"/>
      <c r="L122" s="527"/>
      <c r="M122" s="527"/>
      <c r="N122" s="527"/>
      <c r="O122" s="527"/>
      <c r="P122" s="527"/>
      <c r="Q122" s="527"/>
    </row>
    <row r="123" spans="1:17" s="469" customFormat="1" ht="23.25" customHeight="1">
      <c r="A123" s="526"/>
      <c r="B123" s="533" t="s">
        <v>197</v>
      </c>
      <c r="C123" s="522"/>
      <c r="D123" s="523">
        <f t="shared" ref="D123:D126" si="20">E123+F123</f>
        <v>73500</v>
      </c>
      <c r="E123" s="527"/>
      <c r="F123" s="527">
        <f t="shared" si="13"/>
        <v>73500</v>
      </c>
      <c r="G123" s="527">
        <v>8000</v>
      </c>
      <c r="H123" s="527">
        <v>7000</v>
      </c>
      <c r="I123" s="527">
        <v>5500</v>
      </c>
      <c r="J123" s="527">
        <v>7500</v>
      </c>
      <c r="K123" s="527">
        <v>7250</v>
      </c>
      <c r="L123" s="527">
        <v>5000</v>
      </c>
      <c r="M123" s="527">
        <v>6250</v>
      </c>
      <c r="N123" s="527">
        <v>7500</v>
      </c>
      <c r="O123" s="527">
        <v>6250</v>
      </c>
      <c r="P123" s="527">
        <v>6750</v>
      </c>
      <c r="Q123" s="527">
        <v>6500</v>
      </c>
    </row>
    <row r="124" spans="1:17" s="469" customFormat="1" ht="42.75" customHeight="1">
      <c r="A124" s="526"/>
      <c r="B124" s="521" t="s">
        <v>1201</v>
      </c>
      <c r="C124" s="522"/>
      <c r="D124" s="523">
        <f t="shared" si="20"/>
        <v>74895</v>
      </c>
      <c r="E124" s="527"/>
      <c r="F124" s="527">
        <f t="shared" si="13"/>
        <v>74895</v>
      </c>
      <c r="G124" s="549">
        <f>G125+G126</f>
        <v>24950</v>
      </c>
      <c r="H124" s="549">
        <f t="shared" ref="H124:Q124" si="21">H125+H126</f>
        <v>2243</v>
      </c>
      <c r="I124" s="549">
        <f t="shared" si="21"/>
        <v>10325</v>
      </c>
      <c r="J124" s="549">
        <f t="shared" si="21"/>
        <v>5027</v>
      </c>
      <c r="K124" s="549">
        <f t="shared" si="21"/>
        <v>4750</v>
      </c>
      <c r="L124" s="549">
        <f t="shared" si="21"/>
        <v>16140</v>
      </c>
      <c r="M124" s="549">
        <f t="shared" si="21"/>
        <v>0</v>
      </c>
      <c r="N124" s="549">
        <f t="shared" si="21"/>
        <v>1190</v>
      </c>
      <c r="O124" s="549">
        <f t="shared" si="21"/>
        <v>3480</v>
      </c>
      <c r="P124" s="549">
        <f t="shared" si="21"/>
        <v>1870</v>
      </c>
      <c r="Q124" s="549">
        <f t="shared" si="21"/>
        <v>4920</v>
      </c>
    </row>
    <row r="125" spans="1:17" s="472" customFormat="1" ht="23.25" customHeight="1">
      <c r="A125" s="528"/>
      <c r="B125" s="529" t="s">
        <v>1095</v>
      </c>
      <c r="C125" s="535"/>
      <c r="D125" s="530">
        <f t="shared" si="20"/>
        <v>45157</v>
      </c>
      <c r="E125" s="531"/>
      <c r="F125" s="531">
        <f t="shared" si="13"/>
        <v>45157</v>
      </c>
      <c r="G125" s="550">
        <v>17290</v>
      </c>
      <c r="H125" s="550">
        <v>2243</v>
      </c>
      <c r="I125" s="550">
        <v>4851</v>
      </c>
      <c r="J125" s="550">
        <v>5027</v>
      </c>
      <c r="K125" s="550">
        <v>2260</v>
      </c>
      <c r="L125" s="550">
        <v>8065</v>
      </c>
      <c r="M125" s="550">
        <v>0</v>
      </c>
      <c r="N125" s="550">
        <v>538</v>
      </c>
      <c r="O125" s="550">
        <v>1693</v>
      </c>
      <c r="P125" s="550">
        <v>704</v>
      </c>
      <c r="Q125" s="550">
        <v>2486</v>
      </c>
    </row>
    <row r="126" spans="1:17" s="472" customFormat="1" ht="23.25" customHeight="1">
      <c r="A126" s="528"/>
      <c r="B126" s="529" t="s">
        <v>1096</v>
      </c>
      <c r="C126" s="535"/>
      <c r="D126" s="530">
        <f t="shared" si="20"/>
        <v>29738</v>
      </c>
      <c r="E126" s="531"/>
      <c r="F126" s="531">
        <f t="shared" si="13"/>
        <v>29738</v>
      </c>
      <c r="G126" s="550">
        <v>7660</v>
      </c>
      <c r="H126" s="550"/>
      <c r="I126" s="550">
        <v>5474</v>
      </c>
      <c r="J126" s="550"/>
      <c r="K126" s="550">
        <v>2490</v>
      </c>
      <c r="L126" s="550">
        <v>8075</v>
      </c>
      <c r="M126" s="550"/>
      <c r="N126" s="550">
        <v>652</v>
      </c>
      <c r="O126" s="550">
        <v>1787</v>
      </c>
      <c r="P126" s="550">
        <v>1166</v>
      </c>
      <c r="Q126" s="550">
        <v>2434</v>
      </c>
    </row>
    <row r="127" spans="1:17" s="469" customFormat="1" ht="23.25" customHeight="1">
      <c r="A127" s="514" t="s">
        <v>198</v>
      </c>
      <c r="B127" s="515" t="s">
        <v>199</v>
      </c>
      <c r="C127" s="517"/>
      <c r="D127" s="516">
        <f>E127+F127</f>
        <v>125900</v>
      </c>
      <c r="E127" s="524">
        <f>E130+E131+E138+E134+E128</f>
        <v>22200</v>
      </c>
      <c r="F127" s="524">
        <f>SUM(G127:Q127)</f>
        <v>103700</v>
      </c>
      <c r="G127" s="524">
        <f>G128+G130+G131+G129</f>
        <v>3300</v>
      </c>
      <c r="H127" s="524">
        <f t="shared" ref="H127:Q127" si="22">H128+H130+H131+H129</f>
        <v>3200</v>
      </c>
      <c r="I127" s="524">
        <f t="shared" si="22"/>
        <v>2300</v>
      </c>
      <c r="J127" s="524">
        <f t="shared" si="22"/>
        <v>6700</v>
      </c>
      <c r="K127" s="524">
        <f t="shared" si="22"/>
        <v>3000</v>
      </c>
      <c r="L127" s="524">
        <f t="shared" si="22"/>
        <v>1900</v>
      </c>
      <c r="M127" s="524">
        <f t="shared" si="22"/>
        <v>3900</v>
      </c>
      <c r="N127" s="524">
        <f t="shared" si="22"/>
        <v>7000</v>
      </c>
      <c r="O127" s="524">
        <f t="shared" si="22"/>
        <v>21700</v>
      </c>
      <c r="P127" s="524">
        <f t="shared" si="22"/>
        <v>27000</v>
      </c>
      <c r="Q127" s="524">
        <f t="shared" si="22"/>
        <v>23700</v>
      </c>
    </row>
    <row r="128" spans="1:17" s="469" customFormat="1" ht="42.75" customHeight="1">
      <c r="A128" s="526"/>
      <c r="B128" s="533" t="s">
        <v>1393</v>
      </c>
      <c r="C128" s="522"/>
      <c r="D128" s="523">
        <f>E128+F128</f>
        <v>70000</v>
      </c>
      <c r="E128" s="527"/>
      <c r="F128" s="527">
        <f t="shared" si="13"/>
        <v>70000</v>
      </c>
      <c r="G128" s="527"/>
      <c r="H128" s="527"/>
      <c r="I128" s="527"/>
      <c r="J128" s="527">
        <v>3000</v>
      </c>
      <c r="K128" s="527"/>
      <c r="L128" s="527"/>
      <c r="M128" s="527">
        <v>1000</v>
      </c>
      <c r="N128" s="527">
        <v>4000</v>
      </c>
      <c r="O128" s="527">
        <v>19000</v>
      </c>
      <c r="P128" s="527">
        <f>20000+8*500</f>
        <v>24000</v>
      </c>
      <c r="Q128" s="527">
        <v>19000</v>
      </c>
    </row>
    <row r="129" spans="1:18" s="469" customFormat="1" ht="23.25" customHeight="1">
      <c r="A129" s="526"/>
      <c r="B129" s="521" t="s">
        <v>1400</v>
      </c>
      <c r="C129" s="522"/>
      <c r="D129" s="523">
        <f>E129+F129</f>
        <v>33700</v>
      </c>
      <c r="E129" s="527"/>
      <c r="F129" s="527">
        <f t="shared" si="13"/>
        <v>33700</v>
      </c>
      <c r="G129" s="527">
        <v>3300</v>
      </c>
      <c r="H129" s="527">
        <v>3200</v>
      </c>
      <c r="I129" s="527">
        <v>2300</v>
      </c>
      <c r="J129" s="527">
        <v>3700</v>
      </c>
      <c r="K129" s="527">
        <v>3000</v>
      </c>
      <c r="L129" s="527">
        <v>1900</v>
      </c>
      <c r="M129" s="527">
        <v>2900</v>
      </c>
      <c r="N129" s="527">
        <v>3000</v>
      </c>
      <c r="O129" s="527">
        <v>2700</v>
      </c>
      <c r="P129" s="527">
        <v>3000</v>
      </c>
      <c r="Q129" s="527">
        <f>2000+2700</f>
        <v>4700</v>
      </c>
    </row>
    <row r="130" spans="1:18" s="469" customFormat="1" ht="23.25" customHeight="1">
      <c r="A130" s="526"/>
      <c r="B130" s="533" t="s">
        <v>1105</v>
      </c>
      <c r="C130" s="522"/>
      <c r="D130" s="523">
        <f>E130</f>
        <v>22200</v>
      </c>
      <c r="E130" s="527">
        <f>E139+E140</f>
        <v>22200</v>
      </c>
      <c r="F130" s="527"/>
      <c r="G130" s="527"/>
      <c r="H130" s="527"/>
      <c r="I130" s="527"/>
      <c r="J130" s="527"/>
      <c r="K130" s="527"/>
      <c r="L130" s="527"/>
      <c r="M130" s="527"/>
      <c r="N130" s="527"/>
      <c r="O130" s="527"/>
      <c r="P130" s="527"/>
      <c r="Q130" s="527"/>
    </row>
    <row r="131" spans="1:18" s="469" customFormat="1" ht="27" hidden="1" customHeight="1">
      <c r="A131" s="526"/>
      <c r="B131" s="533" t="s">
        <v>1103</v>
      </c>
      <c r="C131" s="522"/>
      <c r="D131" s="523">
        <f>D132+D133</f>
        <v>0</v>
      </c>
      <c r="E131" s="527">
        <f>E132+E133</f>
        <v>0</v>
      </c>
      <c r="F131" s="527"/>
      <c r="G131" s="527"/>
      <c r="H131" s="527"/>
      <c r="I131" s="527"/>
      <c r="J131" s="527"/>
      <c r="K131" s="527"/>
      <c r="L131" s="527"/>
      <c r="M131" s="527"/>
      <c r="N131" s="527"/>
      <c r="O131" s="527"/>
      <c r="P131" s="527"/>
      <c r="Q131" s="527"/>
    </row>
    <row r="132" spans="1:18" s="472" customFormat="1" ht="27" hidden="1" customHeight="1">
      <c r="A132" s="528"/>
      <c r="B132" s="533" t="s">
        <v>1103</v>
      </c>
      <c r="C132" s="535"/>
      <c r="D132" s="530">
        <f>E132</f>
        <v>0</v>
      </c>
      <c r="E132" s="531"/>
      <c r="F132" s="531"/>
      <c r="G132" s="531"/>
      <c r="H132" s="531"/>
      <c r="I132" s="531"/>
      <c r="J132" s="531"/>
      <c r="K132" s="531"/>
      <c r="L132" s="531"/>
      <c r="M132" s="531"/>
      <c r="N132" s="531"/>
      <c r="O132" s="531"/>
      <c r="P132" s="531"/>
      <c r="Q132" s="531"/>
    </row>
    <row r="133" spans="1:18" s="472" customFormat="1" ht="27" hidden="1" customHeight="1">
      <c r="A133" s="528"/>
      <c r="B133" s="533" t="s">
        <v>1103</v>
      </c>
      <c r="C133" s="535"/>
      <c r="D133" s="530">
        <f>E133</f>
        <v>0</v>
      </c>
      <c r="E133" s="531"/>
      <c r="F133" s="531"/>
      <c r="G133" s="531"/>
      <c r="H133" s="531"/>
      <c r="I133" s="531"/>
      <c r="J133" s="531"/>
      <c r="K133" s="531"/>
      <c r="L133" s="531"/>
      <c r="M133" s="531"/>
      <c r="N133" s="531"/>
      <c r="O133" s="531"/>
      <c r="P133" s="531"/>
      <c r="Q133" s="531"/>
    </row>
    <row r="134" spans="1:18" s="469" customFormat="1" ht="72.75" hidden="1" customHeight="1">
      <c r="A134" s="526"/>
      <c r="B134" s="533" t="s">
        <v>1103</v>
      </c>
      <c r="C134" s="522"/>
      <c r="D134" s="523"/>
      <c r="E134" s="527"/>
      <c r="F134" s="527"/>
      <c r="G134" s="527"/>
      <c r="H134" s="527"/>
      <c r="I134" s="527"/>
      <c r="J134" s="527"/>
      <c r="K134" s="527"/>
      <c r="L134" s="527"/>
      <c r="M134" s="527"/>
      <c r="N134" s="527"/>
      <c r="O134" s="527"/>
      <c r="P134" s="527"/>
      <c r="Q134" s="527"/>
    </row>
    <row r="135" spans="1:18" s="472" customFormat="1" ht="28.5" hidden="1" customHeight="1">
      <c r="A135" s="528"/>
      <c r="B135" s="533" t="s">
        <v>1103</v>
      </c>
      <c r="C135" s="535"/>
      <c r="D135" s="530">
        <f>E135</f>
        <v>0</v>
      </c>
      <c r="E135" s="531"/>
      <c r="F135" s="531"/>
      <c r="G135" s="531"/>
      <c r="H135" s="531"/>
      <c r="I135" s="531"/>
      <c r="J135" s="531"/>
      <c r="K135" s="531"/>
      <c r="L135" s="531"/>
      <c r="M135" s="531"/>
      <c r="N135" s="531"/>
      <c r="O135" s="531"/>
      <c r="P135" s="531"/>
      <c r="Q135" s="531"/>
    </row>
    <row r="136" spans="1:18" s="472" customFormat="1" ht="39.75" hidden="1" customHeight="1">
      <c r="A136" s="528"/>
      <c r="B136" s="533" t="s">
        <v>1103</v>
      </c>
      <c r="C136" s="535"/>
      <c r="D136" s="530">
        <f>E136</f>
        <v>0</v>
      </c>
      <c r="E136" s="531"/>
      <c r="F136" s="531"/>
      <c r="G136" s="531"/>
      <c r="H136" s="531"/>
      <c r="I136" s="531"/>
      <c r="J136" s="531"/>
      <c r="K136" s="531"/>
      <c r="L136" s="531"/>
      <c r="M136" s="531"/>
      <c r="N136" s="531"/>
      <c r="O136" s="531"/>
      <c r="P136" s="531"/>
      <c r="Q136" s="531"/>
    </row>
    <row r="137" spans="1:18" s="472" customFormat="1" ht="35.25" hidden="1" customHeight="1">
      <c r="A137" s="528"/>
      <c r="B137" s="533" t="s">
        <v>1103</v>
      </c>
      <c r="C137" s="535"/>
      <c r="D137" s="530">
        <f>E137</f>
        <v>0</v>
      </c>
      <c r="E137" s="531"/>
      <c r="F137" s="531"/>
      <c r="G137" s="531"/>
      <c r="H137" s="531"/>
      <c r="I137" s="531"/>
      <c r="J137" s="531"/>
      <c r="K137" s="531"/>
      <c r="L137" s="531"/>
      <c r="M137" s="531"/>
      <c r="N137" s="531"/>
      <c r="O137" s="531"/>
      <c r="P137" s="531"/>
      <c r="Q137" s="531"/>
    </row>
    <row r="138" spans="1:18" s="469" customFormat="1" ht="36" hidden="1" customHeight="1">
      <c r="A138" s="551"/>
      <c r="B138" s="533" t="s">
        <v>1103</v>
      </c>
      <c r="C138" s="535"/>
      <c r="D138" s="523">
        <f>E138</f>
        <v>0</v>
      </c>
      <c r="E138" s="527"/>
      <c r="F138" s="527"/>
      <c r="G138" s="527"/>
      <c r="H138" s="527"/>
      <c r="I138" s="527"/>
      <c r="J138" s="527"/>
      <c r="K138" s="527"/>
      <c r="L138" s="527"/>
      <c r="M138" s="527"/>
      <c r="N138" s="527"/>
      <c r="O138" s="527"/>
      <c r="P138" s="527"/>
      <c r="Q138" s="527"/>
    </row>
    <row r="139" spans="1:18" s="472" customFormat="1" ht="23.25" customHeight="1">
      <c r="A139" s="551"/>
      <c r="B139" s="548" t="s">
        <v>1106</v>
      </c>
      <c r="C139" s="535"/>
      <c r="D139" s="530"/>
      <c r="E139" s="531">
        <v>20000</v>
      </c>
      <c r="F139" s="531"/>
      <c r="G139" s="531"/>
      <c r="H139" s="531"/>
      <c r="I139" s="531"/>
      <c r="J139" s="531"/>
      <c r="K139" s="531"/>
      <c r="L139" s="531"/>
      <c r="M139" s="531"/>
      <c r="N139" s="531"/>
      <c r="O139" s="531"/>
      <c r="P139" s="531"/>
      <c r="Q139" s="531"/>
    </row>
    <row r="140" spans="1:18" s="472" customFormat="1" ht="42.75" customHeight="1">
      <c r="A140" s="551"/>
      <c r="B140" s="552" t="s">
        <v>1469</v>
      </c>
      <c r="C140" s="535"/>
      <c r="D140" s="530"/>
      <c r="E140" s="531">
        <v>2200</v>
      </c>
      <c r="F140" s="531"/>
      <c r="G140" s="531"/>
      <c r="H140" s="531"/>
      <c r="I140" s="531"/>
      <c r="J140" s="531"/>
      <c r="K140" s="531"/>
      <c r="L140" s="531"/>
      <c r="M140" s="531"/>
      <c r="N140" s="531"/>
      <c r="O140" s="531"/>
      <c r="P140" s="531"/>
      <c r="Q140" s="531"/>
    </row>
    <row r="141" spans="1:18" s="469" customFormat="1" ht="42.75" customHeight="1">
      <c r="A141" s="514" t="s">
        <v>200</v>
      </c>
      <c r="B141" s="553" t="s">
        <v>1104</v>
      </c>
      <c r="C141" s="517"/>
      <c r="D141" s="516">
        <f>E141</f>
        <v>100000</v>
      </c>
      <c r="E141" s="524">
        <v>100000</v>
      </c>
      <c r="F141" s="531"/>
      <c r="G141" s="524"/>
      <c r="H141" s="524"/>
      <c r="I141" s="524"/>
      <c r="J141" s="524"/>
      <c r="K141" s="524"/>
      <c r="L141" s="524"/>
      <c r="M141" s="524"/>
      <c r="N141" s="524"/>
      <c r="O141" s="524"/>
      <c r="P141" s="524"/>
      <c r="Q141" s="524"/>
    </row>
    <row r="142" spans="1:18" s="469" customFormat="1" ht="23.25" customHeight="1">
      <c r="A142" s="514" t="s">
        <v>201</v>
      </c>
      <c r="B142" s="515" t="s">
        <v>202</v>
      </c>
      <c r="C142" s="517"/>
      <c r="D142" s="516">
        <f>D29-D30-D31-D44-D63-D68-D70-D71-D72-D73-D79-D87-D91-D93-D127-D141</f>
        <v>281455</v>
      </c>
      <c r="E142" s="524">
        <f>D142-F142</f>
        <v>220080</v>
      </c>
      <c r="F142" s="524">
        <f>SUM(G142:Q142)</f>
        <v>61375</v>
      </c>
      <c r="G142" s="524">
        <f>G147+G146</f>
        <v>5275</v>
      </c>
      <c r="H142" s="524">
        <f t="shared" ref="H142:Q142" si="23">H147+H146</f>
        <v>6256</v>
      </c>
      <c r="I142" s="524">
        <f t="shared" si="23"/>
        <v>3244</v>
      </c>
      <c r="J142" s="524">
        <f t="shared" si="23"/>
        <v>6722</v>
      </c>
      <c r="K142" s="524">
        <f t="shared" si="23"/>
        <v>7400</v>
      </c>
      <c r="L142" s="524">
        <f t="shared" si="23"/>
        <v>5532</v>
      </c>
      <c r="M142" s="524">
        <f t="shared" si="23"/>
        <v>5409</v>
      </c>
      <c r="N142" s="524">
        <f t="shared" si="23"/>
        <v>5229</v>
      </c>
      <c r="O142" s="524">
        <f t="shared" si="23"/>
        <v>6096</v>
      </c>
      <c r="P142" s="524">
        <f t="shared" si="23"/>
        <v>5328</v>
      </c>
      <c r="Q142" s="524">
        <f t="shared" si="23"/>
        <v>4884</v>
      </c>
      <c r="R142" s="58">
        <f t="shared" ref="R142" si="24">R147</f>
        <v>0</v>
      </c>
    </row>
    <row r="143" spans="1:18" s="470" customFormat="1" ht="23.25" customHeight="1">
      <c r="A143" s="526"/>
      <c r="B143" s="521" t="s">
        <v>203</v>
      </c>
      <c r="C143" s="522"/>
      <c r="D143" s="523"/>
      <c r="E143" s="527"/>
      <c r="F143" s="527"/>
      <c r="G143" s="527"/>
      <c r="H143" s="527"/>
      <c r="I143" s="527"/>
      <c r="J143" s="527"/>
      <c r="K143" s="527"/>
      <c r="L143" s="527"/>
      <c r="M143" s="527"/>
      <c r="N143" s="527"/>
      <c r="O143" s="527"/>
      <c r="P143" s="527"/>
      <c r="Q143" s="527"/>
    </row>
    <row r="144" spans="1:18" s="457" customFormat="1" ht="23.25" customHeight="1">
      <c r="A144" s="514"/>
      <c r="B144" s="533" t="s">
        <v>204</v>
      </c>
      <c r="C144" s="522"/>
      <c r="D144" s="523">
        <f>E144+F144</f>
        <v>60000</v>
      </c>
      <c r="E144" s="527">
        <f>60000-E145</f>
        <v>60000</v>
      </c>
      <c r="F144" s="527"/>
      <c r="G144" s="527"/>
      <c r="H144" s="527"/>
      <c r="I144" s="527"/>
      <c r="J144" s="527"/>
      <c r="K144" s="527"/>
      <c r="L144" s="527"/>
      <c r="M144" s="527"/>
      <c r="N144" s="527"/>
      <c r="O144" s="527"/>
      <c r="P144" s="527"/>
      <c r="Q144" s="527"/>
    </row>
    <row r="145" spans="1:171" s="457" customFormat="1" ht="33.950000000000003" hidden="1" customHeight="1">
      <c r="A145" s="514"/>
      <c r="B145" s="533" t="s">
        <v>1402</v>
      </c>
      <c r="C145" s="522"/>
      <c r="D145" s="523">
        <f>E145+F145</f>
        <v>0</v>
      </c>
      <c r="E145" s="527"/>
      <c r="F145" s="527"/>
      <c r="G145" s="527"/>
      <c r="H145" s="527"/>
      <c r="I145" s="527"/>
      <c r="J145" s="527"/>
      <c r="K145" s="527"/>
      <c r="L145" s="527"/>
      <c r="M145" s="527"/>
      <c r="N145" s="527"/>
      <c r="O145" s="527"/>
      <c r="P145" s="527"/>
      <c r="Q145" s="527"/>
    </row>
    <row r="146" spans="1:171" s="457" customFormat="1" ht="42.75" customHeight="1">
      <c r="A146" s="514"/>
      <c r="B146" s="521" t="s">
        <v>1401</v>
      </c>
      <c r="C146" s="522"/>
      <c r="D146" s="523">
        <v>34115</v>
      </c>
      <c r="E146" s="527">
        <f>D146-F146</f>
        <v>5532</v>
      </c>
      <c r="F146" s="527">
        <f>SUM(G146:Q146)</f>
        <v>28583</v>
      </c>
      <c r="G146" s="527">
        <v>1400</v>
      </c>
      <c r="H146" s="527">
        <v>3130</v>
      </c>
      <c r="I146" s="527">
        <v>700</v>
      </c>
      <c r="J146" s="527">
        <v>3350</v>
      </c>
      <c r="K146" s="527">
        <v>3500</v>
      </c>
      <c r="L146" s="527">
        <v>3580</v>
      </c>
      <c r="M146" s="527">
        <v>2950</v>
      </c>
      <c r="N146" s="527">
        <v>2400</v>
      </c>
      <c r="O146" s="527">
        <v>3280</v>
      </c>
      <c r="P146" s="527">
        <v>2253</v>
      </c>
      <c r="Q146" s="527">
        <v>2040</v>
      </c>
    </row>
    <row r="147" spans="1:171" s="457" customFormat="1" ht="23.25" customHeight="1">
      <c r="A147" s="514"/>
      <c r="B147" s="554" t="s">
        <v>205</v>
      </c>
      <c r="C147" s="522"/>
      <c r="D147" s="523">
        <f>E147+F147</f>
        <v>187340</v>
      </c>
      <c r="E147" s="527">
        <f>E142-E144-E146-E145-E148</f>
        <v>154548</v>
      </c>
      <c r="F147" s="527">
        <f>SUM(G147:Q147)</f>
        <v>32792</v>
      </c>
      <c r="G147" s="555">
        <v>3875</v>
      </c>
      <c r="H147" s="555">
        <v>3126</v>
      </c>
      <c r="I147" s="555">
        <v>2544</v>
      </c>
      <c r="J147" s="555">
        <v>3372</v>
      </c>
      <c r="K147" s="555">
        <v>3900</v>
      </c>
      <c r="L147" s="555">
        <v>1952</v>
      </c>
      <c r="M147" s="555">
        <v>2459</v>
      </c>
      <c r="N147" s="555">
        <v>2829</v>
      </c>
      <c r="O147" s="555">
        <v>2816</v>
      </c>
      <c r="P147" s="555">
        <v>3075</v>
      </c>
      <c r="Q147" s="555">
        <v>2844</v>
      </c>
      <c r="R147" s="473">
        <v>0</v>
      </c>
      <c r="S147" s="59"/>
      <c r="T147" s="59"/>
      <c r="U147" s="59"/>
      <c r="V147" s="59"/>
      <c r="W147" s="59"/>
      <c r="X147" s="59"/>
      <c r="Y147" s="59"/>
      <c r="Z147" s="59"/>
      <c r="AA147" s="59"/>
      <c r="AB147" s="60"/>
      <c r="AC147" s="474"/>
      <c r="AD147" s="61"/>
      <c r="AE147" s="59"/>
      <c r="AF147" s="59"/>
      <c r="AG147" s="59"/>
      <c r="AH147" s="59"/>
      <c r="AI147" s="59"/>
      <c r="AJ147" s="59"/>
      <c r="AK147" s="59"/>
      <c r="AL147" s="59"/>
      <c r="AM147" s="59"/>
      <c r="AN147" s="59"/>
      <c r="AO147" s="59"/>
      <c r="AP147" s="59"/>
      <c r="AQ147" s="59"/>
      <c r="AR147" s="60"/>
      <c r="AS147" s="474"/>
      <c r="AT147" s="61"/>
      <c r="AU147" s="59"/>
      <c r="AV147" s="59"/>
      <c r="AW147" s="59"/>
      <c r="AX147" s="59"/>
      <c r="AY147" s="59"/>
      <c r="AZ147" s="59"/>
      <c r="BA147" s="59"/>
      <c r="BB147" s="59"/>
      <c r="BC147" s="59"/>
      <c r="BD147" s="59"/>
      <c r="BE147" s="59"/>
      <c r="BF147" s="59"/>
      <c r="BG147" s="59"/>
      <c r="BH147" s="60"/>
      <c r="BI147" s="474"/>
      <c r="BJ147" s="61"/>
      <c r="BK147" s="59"/>
      <c r="BL147" s="59"/>
      <c r="BM147" s="59"/>
      <c r="BN147" s="59"/>
      <c r="BO147" s="59"/>
      <c r="BP147" s="59"/>
      <c r="BQ147" s="59"/>
      <c r="BR147" s="59"/>
      <c r="BS147" s="59"/>
      <c r="BT147" s="59"/>
      <c r="BU147" s="59"/>
      <c r="BV147" s="59"/>
      <c r="BW147" s="59"/>
      <c r="BX147" s="60"/>
      <c r="BY147" s="474"/>
      <c r="BZ147" s="61"/>
      <c r="CA147" s="59"/>
      <c r="CB147" s="59"/>
      <c r="CC147" s="59"/>
      <c r="CD147" s="59"/>
      <c r="CE147" s="59"/>
      <c r="CF147" s="59"/>
      <c r="CG147" s="59"/>
      <c r="CH147" s="59"/>
      <c r="CI147" s="59"/>
      <c r="CJ147" s="59"/>
      <c r="CK147" s="59"/>
      <c r="CL147" s="59"/>
      <c r="CM147" s="59"/>
      <c r="CN147" s="60"/>
      <c r="CO147" s="474"/>
      <c r="CP147" s="61"/>
      <c r="CQ147" s="59"/>
      <c r="CR147" s="59"/>
      <c r="CS147" s="59"/>
      <c r="CT147" s="59"/>
      <c r="CU147" s="59"/>
      <c r="CV147" s="59"/>
      <c r="CW147" s="59"/>
      <c r="CX147" s="59"/>
      <c r="CY147" s="59"/>
      <c r="CZ147" s="59"/>
      <c r="DA147" s="59"/>
      <c r="DB147" s="59"/>
      <c r="DC147" s="59"/>
      <c r="DD147" s="60"/>
      <c r="DE147" s="474"/>
      <c r="DF147" s="61"/>
      <c r="DG147" s="59"/>
      <c r="DH147" s="59"/>
      <c r="DI147" s="59"/>
      <c r="DJ147" s="59"/>
      <c r="DK147" s="59"/>
      <c r="DL147" s="59"/>
      <c r="DM147" s="59"/>
      <c r="DN147" s="59"/>
      <c r="DO147" s="59"/>
      <c r="DP147" s="59"/>
      <c r="DQ147" s="59"/>
      <c r="DR147" s="59"/>
      <c r="DS147" s="59"/>
      <c r="DT147" s="60"/>
      <c r="DU147" s="474"/>
      <c r="DV147" s="61"/>
      <c r="DW147" s="59"/>
      <c r="DX147" s="59"/>
      <c r="DY147" s="59"/>
      <c r="DZ147" s="59"/>
      <c r="EA147" s="59"/>
      <c r="EB147" s="59"/>
      <c r="EC147" s="59"/>
      <c r="ED147" s="59"/>
      <c r="EE147" s="59"/>
      <c r="EF147" s="59"/>
      <c r="EG147" s="59"/>
      <c r="EH147" s="59"/>
      <c r="EI147" s="59"/>
      <c r="EJ147" s="60"/>
      <c r="EK147" s="474"/>
      <c r="EL147" s="61"/>
      <c r="EM147" s="59"/>
      <c r="EN147" s="59"/>
      <c r="EO147" s="59"/>
      <c r="EP147" s="59"/>
      <c r="EQ147" s="59"/>
      <c r="ER147" s="59"/>
      <c r="ES147" s="59"/>
      <c r="ET147" s="59"/>
      <c r="EU147" s="59"/>
      <c r="EV147" s="59"/>
      <c r="EW147" s="59"/>
      <c r="EX147" s="59"/>
      <c r="EY147" s="59"/>
      <c r="EZ147" s="60"/>
      <c r="FA147" s="474"/>
      <c r="FB147" s="61"/>
      <c r="FC147" s="59"/>
      <c r="FD147" s="59"/>
      <c r="FE147" s="59"/>
      <c r="FF147" s="59"/>
      <c r="FG147" s="59"/>
      <c r="FH147" s="59"/>
      <c r="FI147" s="59"/>
      <c r="FJ147" s="59"/>
      <c r="FK147" s="59"/>
      <c r="FL147" s="59"/>
      <c r="FM147" s="59"/>
      <c r="FN147" s="59"/>
      <c r="FO147" s="59"/>
    </row>
    <row r="148" spans="1:171" s="457" customFormat="1" ht="23.25" hidden="1" customHeight="1">
      <c r="A148" s="514"/>
      <c r="B148" s="554" t="s">
        <v>1394</v>
      </c>
      <c r="C148" s="522"/>
      <c r="D148" s="523">
        <f>E148+F148</f>
        <v>0</v>
      </c>
      <c r="E148" s="527"/>
      <c r="F148" s="527"/>
      <c r="G148" s="555"/>
      <c r="H148" s="555"/>
      <c r="I148" s="555"/>
      <c r="J148" s="555"/>
      <c r="K148" s="555"/>
      <c r="L148" s="555"/>
      <c r="M148" s="555"/>
      <c r="N148" s="555"/>
      <c r="O148" s="555"/>
      <c r="P148" s="555"/>
      <c r="Q148" s="555"/>
      <c r="R148" s="473"/>
      <c r="S148" s="59"/>
      <c r="T148" s="59"/>
      <c r="U148" s="59"/>
      <c r="V148" s="59"/>
      <c r="W148" s="59"/>
      <c r="X148" s="59"/>
      <c r="Y148" s="59"/>
      <c r="Z148" s="59"/>
      <c r="AA148" s="59"/>
      <c r="AB148" s="60"/>
      <c r="AC148" s="474"/>
      <c r="AD148" s="61"/>
      <c r="AE148" s="59"/>
      <c r="AF148" s="59"/>
      <c r="AG148" s="59"/>
      <c r="AH148" s="59"/>
      <c r="AI148" s="59"/>
      <c r="AJ148" s="59"/>
      <c r="AK148" s="59"/>
      <c r="AL148" s="59"/>
      <c r="AM148" s="59"/>
      <c r="AN148" s="59"/>
      <c r="AO148" s="59"/>
      <c r="AP148" s="59"/>
      <c r="AQ148" s="59"/>
      <c r="AR148" s="60"/>
      <c r="AS148" s="474"/>
      <c r="AT148" s="61"/>
      <c r="AU148" s="59"/>
      <c r="AV148" s="59"/>
      <c r="AW148" s="59"/>
      <c r="AX148" s="59"/>
      <c r="AY148" s="59"/>
      <c r="AZ148" s="59"/>
      <c r="BA148" s="59"/>
      <c r="BB148" s="59"/>
      <c r="BC148" s="59"/>
      <c r="BD148" s="59"/>
      <c r="BE148" s="59"/>
      <c r="BF148" s="59"/>
      <c r="BG148" s="59"/>
      <c r="BH148" s="60"/>
      <c r="BI148" s="474"/>
      <c r="BJ148" s="61"/>
      <c r="BK148" s="59"/>
      <c r="BL148" s="59"/>
      <c r="BM148" s="59"/>
      <c r="BN148" s="59"/>
      <c r="BO148" s="59"/>
      <c r="BP148" s="59"/>
      <c r="BQ148" s="59"/>
      <c r="BR148" s="59"/>
      <c r="BS148" s="59"/>
      <c r="BT148" s="59"/>
      <c r="BU148" s="59"/>
      <c r="BV148" s="59"/>
      <c r="BW148" s="59"/>
      <c r="BX148" s="60"/>
      <c r="BY148" s="474"/>
      <c r="BZ148" s="61"/>
      <c r="CA148" s="59"/>
      <c r="CB148" s="59"/>
      <c r="CC148" s="59"/>
      <c r="CD148" s="59"/>
      <c r="CE148" s="59"/>
      <c r="CF148" s="59"/>
      <c r="CG148" s="59"/>
      <c r="CH148" s="59"/>
      <c r="CI148" s="59"/>
      <c r="CJ148" s="59"/>
      <c r="CK148" s="59"/>
      <c r="CL148" s="59"/>
      <c r="CM148" s="59"/>
      <c r="CN148" s="60"/>
      <c r="CO148" s="474"/>
      <c r="CP148" s="61"/>
      <c r="CQ148" s="59"/>
      <c r="CR148" s="59"/>
      <c r="CS148" s="59"/>
      <c r="CT148" s="59"/>
      <c r="CU148" s="59"/>
      <c r="CV148" s="59"/>
      <c r="CW148" s="59"/>
      <c r="CX148" s="59"/>
      <c r="CY148" s="59"/>
      <c r="CZ148" s="59"/>
      <c r="DA148" s="59"/>
      <c r="DB148" s="59"/>
      <c r="DC148" s="59"/>
      <c r="DD148" s="60"/>
      <c r="DE148" s="474"/>
      <c r="DF148" s="61"/>
      <c r="DG148" s="59"/>
      <c r="DH148" s="59"/>
      <c r="DI148" s="59"/>
      <c r="DJ148" s="59"/>
      <c r="DK148" s="59"/>
      <c r="DL148" s="59"/>
      <c r="DM148" s="59"/>
      <c r="DN148" s="59"/>
      <c r="DO148" s="59"/>
      <c r="DP148" s="59"/>
      <c r="DQ148" s="59"/>
      <c r="DR148" s="59"/>
      <c r="DS148" s="59"/>
      <c r="DT148" s="60"/>
      <c r="DU148" s="474"/>
      <c r="DV148" s="61"/>
      <c r="DW148" s="59"/>
      <c r="DX148" s="59"/>
      <c r="DY148" s="59"/>
      <c r="DZ148" s="59"/>
      <c r="EA148" s="59"/>
      <c r="EB148" s="59"/>
      <c r="EC148" s="59"/>
      <c r="ED148" s="59"/>
      <c r="EE148" s="59"/>
      <c r="EF148" s="59"/>
      <c r="EG148" s="59"/>
      <c r="EH148" s="59"/>
      <c r="EI148" s="59"/>
      <c r="EJ148" s="60"/>
      <c r="EK148" s="474"/>
      <c r="EL148" s="61"/>
      <c r="EM148" s="59"/>
      <c r="EN148" s="59"/>
      <c r="EO148" s="59"/>
      <c r="EP148" s="59"/>
      <c r="EQ148" s="59"/>
      <c r="ER148" s="59"/>
      <c r="ES148" s="59"/>
      <c r="ET148" s="59"/>
      <c r="EU148" s="59"/>
      <c r="EV148" s="59"/>
      <c r="EW148" s="59"/>
      <c r="EX148" s="59"/>
      <c r="EY148" s="59"/>
      <c r="EZ148" s="60"/>
      <c r="FA148" s="474"/>
      <c r="FB148" s="61"/>
      <c r="FC148" s="59"/>
      <c r="FD148" s="59"/>
      <c r="FE148" s="59"/>
      <c r="FF148" s="59"/>
      <c r="FG148" s="59"/>
      <c r="FH148" s="59"/>
      <c r="FI148" s="59"/>
      <c r="FJ148" s="59"/>
      <c r="FK148" s="59"/>
      <c r="FL148" s="59"/>
      <c r="FM148" s="59"/>
      <c r="FN148" s="59"/>
      <c r="FO148" s="59"/>
    </row>
    <row r="149" spans="1:171" s="457" customFormat="1" ht="23.25" customHeight="1">
      <c r="A149" s="525">
        <v>3</v>
      </c>
      <c r="B149" s="556" t="s">
        <v>1098</v>
      </c>
      <c r="C149" s="517">
        <v>3000</v>
      </c>
      <c r="D149" s="516">
        <f>C149</f>
        <v>3000</v>
      </c>
      <c r="E149" s="524">
        <f>D149</f>
        <v>3000</v>
      </c>
      <c r="F149" s="524"/>
      <c r="G149" s="524"/>
      <c r="H149" s="524"/>
      <c r="I149" s="524"/>
      <c r="J149" s="524"/>
      <c r="K149" s="524"/>
      <c r="L149" s="524"/>
      <c r="M149" s="524"/>
      <c r="N149" s="524"/>
      <c r="O149" s="524"/>
      <c r="P149" s="524"/>
      <c r="Q149" s="524"/>
      <c r="R149" s="59"/>
      <c r="S149" s="59"/>
      <c r="T149" s="59"/>
      <c r="U149" s="59"/>
      <c r="V149" s="59"/>
      <c r="W149" s="59"/>
      <c r="X149" s="59"/>
      <c r="Y149" s="59"/>
      <c r="Z149" s="59"/>
      <c r="AA149" s="59"/>
      <c r="AB149" s="60"/>
      <c r="AC149" s="474"/>
      <c r="AD149" s="61"/>
      <c r="AE149" s="59"/>
      <c r="AF149" s="59"/>
      <c r="AG149" s="59"/>
      <c r="AH149" s="59"/>
      <c r="AI149" s="59"/>
      <c r="AJ149" s="59"/>
      <c r="AK149" s="59"/>
      <c r="AL149" s="59"/>
      <c r="AM149" s="59"/>
      <c r="AN149" s="59"/>
      <c r="AO149" s="59"/>
      <c r="AP149" s="59"/>
      <c r="AQ149" s="59"/>
      <c r="AR149" s="60"/>
      <c r="AS149" s="474"/>
      <c r="AT149" s="61"/>
      <c r="AU149" s="59"/>
      <c r="AV149" s="59"/>
      <c r="AW149" s="59"/>
      <c r="AX149" s="59"/>
      <c r="AY149" s="59"/>
      <c r="AZ149" s="59"/>
      <c r="BA149" s="59"/>
      <c r="BB149" s="59"/>
      <c r="BC149" s="59"/>
      <c r="BD149" s="59"/>
      <c r="BE149" s="59"/>
      <c r="BF149" s="59"/>
      <c r="BG149" s="59"/>
      <c r="BH149" s="60"/>
      <c r="BI149" s="474"/>
      <c r="BJ149" s="61"/>
      <c r="BK149" s="59"/>
      <c r="BL149" s="59"/>
      <c r="BM149" s="59"/>
      <c r="BN149" s="59"/>
      <c r="BO149" s="59"/>
      <c r="BP149" s="59"/>
      <c r="BQ149" s="59"/>
      <c r="BR149" s="59"/>
      <c r="BS149" s="59"/>
      <c r="BT149" s="59"/>
      <c r="BU149" s="59"/>
      <c r="BV149" s="59"/>
      <c r="BW149" s="59"/>
      <c r="BX149" s="60"/>
      <c r="BY149" s="474"/>
      <c r="BZ149" s="61"/>
      <c r="CA149" s="59"/>
      <c r="CB149" s="59"/>
      <c r="CC149" s="59"/>
      <c r="CD149" s="59"/>
      <c r="CE149" s="59"/>
      <c r="CF149" s="59"/>
      <c r="CG149" s="59"/>
      <c r="CH149" s="59"/>
      <c r="CI149" s="59"/>
      <c r="CJ149" s="59"/>
      <c r="CK149" s="59"/>
      <c r="CL149" s="59"/>
      <c r="CM149" s="59"/>
      <c r="CN149" s="60"/>
      <c r="CO149" s="474"/>
      <c r="CP149" s="61"/>
      <c r="CQ149" s="59"/>
      <c r="CR149" s="59"/>
      <c r="CS149" s="59"/>
      <c r="CT149" s="59"/>
      <c r="CU149" s="59"/>
      <c r="CV149" s="59"/>
      <c r="CW149" s="59"/>
      <c r="CX149" s="59"/>
      <c r="CY149" s="59"/>
      <c r="CZ149" s="59"/>
      <c r="DA149" s="59"/>
      <c r="DB149" s="59"/>
      <c r="DC149" s="59"/>
      <c r="DD149" s="60"/>
      <c r="DE149" s="474"/>
      <c r="DF149" s="61"/>
      <c r="DG149" s="59"/>
      <c r="DH149" s="59"/>
      <c r="DI149" s="59"/>
      <c r="DJ149" s="59"/>
      <c r="DK149" s="59"/>
      <c r="DL149" s="59"/>
      <c r="DM149" s="59"/>
      <c r="DN149" s="59"/>
      <c r="DO149" s="59"/>
      <c r="DP149" s="59"/>
      <c r="DQ149" s="59"/>
      <c r="DR149" s="59"/>
      <c r="DS149" s="59"/>
      <c r="DT149" s="60"/>
      <c r="DU149" s="474"/>
      <c r="DV149" s="61"/>
      <c r="DW149" s="59"/>
      <c r="DX149" s="59"/>
      <c r="DY149" s="59"/>
      <c r="DZ149" s="59"/>
      <c r="EA149" s="59"/>
      <c r="EB149" s="59"/>
      <c r="EC149" s="59"/>
      <c r="ED149" s="59"/>
      <c r="EE149" s="59"/>
      <c r="EF149" s="59"/>
      <c r="EG149" s="59"/>
      <c r="EH149" s="59"/>
      <c r="EI149" s="59"/>
      <c r="EJ149" s="60"/>
      <c r="EK149" s="474"/>
      <c r="EL149" s="61"/>
      <c r="EM149" s="59"/>
      <c r="EN149" s="59"/>
      <c r="EO149" s="59"/>
      <c r="EP149" s="59"/>
      <c r="EQ149" s="59"/>
      <c r="ER149" s="59"/>
      <c r="ES149" s="59"/>
      <c r="ET149" s="59"/>
      <c r="EU149" s="59"/>
      <c r="EV149" s="59"/>
      <c r="EW149" s="59"/>
      <c r="EX149" s="59"/>
      <c r="EY149" s="59"/>
      <c r="EZ149" s="60"/>
      <c r="FA149" s="474"/>
      <c r="FB149" s="61"/>
      <c r="FC149" s="59"/>
      <c r="FD149" s="59"/>
      <c r="FE149" s="59"/>
      <c r="FF149" s="59"/>
      <c r="FG149" s="59"/>
      <c r="FH149" s="59"/>
      <c r="FI149" s="59"/>
      <c r="FJ149" s="59"/>
      <c r="FK149" s="59"/>
      <c r="FL149" s="59"/>
      <c r="FM149" s="59"/>
      <c r="FN149" s="59"/>
      <c r="FO149" s="59"/>
    </row>
    <row r="150" spans="1:171" s="469" customFormat="1" ht="23.25" customHeight="1">
      <c r="A150" s="525">
        <v>4</v>
      </c>
      <c r="B150" s="515" t="s">
        <v>206</v>
      </c>
      <c r="C150" s="517">
        <v>268779</v>
      </c>
      <c r="D150" s="516">
        <f>C150</f>
        <v>268779</v>
      </c>
      <c r="E150" s="524">
        <f>D150-F150</f>
        <v>82499</v>
      </c>
      <c r="F150" s="524">
        <f>SUM(G150:Q150)</f>
        <v>186280</v>
      </c>
      <c r="G150" s="524">
        <f t="shared" ref="G150:Q150" si="25">ROUND((G21+G29)/0.98*0.02,0)</f>
        <v>21790</v>
      </c>
      <c r="H150" s="524">
        <f t="shared" si="25"/>
        <v>18044</v>
      </c>
      <c r="I150" s="524">
        <f t="shared" si="25"/>
        <v>16322</v>
      </c>
      <c r="J150" s="524">
        <f t="shared" si="25"/>
        <v>19250</v>
      </c>
      <c r="K150" s="524">
        <f t="shared" si="25"/>
        <v>21116</v>
      </c>
      <c r="L150" s="524">
        <f t="shared" si="25"/>
        <v>11277</v>
      </c>
      <c r="M150" s="524">
        <f t="shared" si="25"/>
        <v>13551</v>
      </c>
      <c r="N150" s="524">
        <f t="shared" si="25"/>
        <v>15961</v>
      </c>
      <c r="O150" s="524">
        <f t="shared" si="25"/>
        <v>15758</v>
      </c>
      <c r="P150" s="524">
        <f t="shared" si="25"/>
        <v>17008</v>
      </c>
      <c r="Q150" s="524">
        <f t="shared" si="25"/>
        <v>16203</v>
      </c>
    </row>
    <row r="151" spans="1:171" s="469" customFormat="1" ht="23.25" customHeight="1">
      <c r="A151" s="525">
        <v>5</v>
      </c>
      <c r="B151" s="515" t="s">
        <v>7</v>
      </c>
      <c r="C151" s="517">
        <v>1400</v>
      </c>
      <c r="D151" s="516">
        <f>E151+F151</f>
        <v>1400</v>
      </c>
      <c r="E151" s="524">
        <v>1400</v>
      </c>
      <c r="F151" s="524"/>
      <c r="G151" s="524"/>
      <c r="H151" s="524"/>
      <c r="I151" s="524"/>
      <c r="J151" s="524"/>
      <c r="K151" s="524"/>
      <c r="L151" s="524"/>
      <c r="M151" s="524"/>
      <c r="N151" s="524"/>
      <c r="O151" s="524"/>
      <c r="P151" s="524"/>
      <c r="Q151" s="524"/>
    </row>
    <row r="152" spans="1:171" s="457" customFormat="1" ht="42.75" customHeight="1">
      <c r="A152" s="514" t="s">
        <v>2</v>
      </c>
      <c r="B152" s="556" t="s">
        <v>207</v>
      </c>
      <c r="C152" s="517">
        <f>C153+C158+C159+C157</f>
        <v>4389402</v>
      </c>
      <c r="D152" s="517">
        <f>D153+D158+D159+D157</f>
        <v>4389402</v>
      </c>
      <c r="E152" s="524">
        <f>E153+E158+E159+E157</f>
        <v>3309972</v>
      </c>
      <c r="F152" s="524">
        <f>SUM(G152:Q152)</f>
        <v>1079430</v>
      </c>
      <c r="G152" s="524">
        <f t="shared" ref="G152:Q152" si="26">G153+G158+G159+G157</f>
        <v>129655</v>
      </c>
      <c r="H152" s="524">
        <f t="shared" si="26"/>
        <v>102889</v>
      </c>
      <c r="I152" s="524">
        <f t="shared" si="26"/>
        <v>20066</v>
      </c>
      <c r="J152" s="524">
        <f t="shared" si="26"/>
        <v>102041</v>
      </c>
      <c r="K152" s="524">
        <f t="shared" si="26"/>
        <v>90520</v>
      </c>
      <c r="L152" s="524">
        <f t="shared" si="26"/>
        <v>79564</v>
      </c>
      <c r="M152" s="524">
        <f t="shared" si="26"/>
        <v>74830</v>
      </c>
      <c r="N152" s="524">
        <f t="shared" si="26"/>
        <v>146048</v>
      </c>
      <c r="O152" s="524">
        <f t="shared" si="26"/>
        <v>109381</v>
      </c>
      <c r="P152" s="524">
        <f t="shared" si="26"/>
        <v>117971</v>
      </c>
      <c r="Q152" s="524">
        <f t="shared" si="26"/>
        <v>106465</v>
      </c>
    </row>
    <row r="153" spans="1:171" ht="23.25" customHeight="1">
      <c r="A153" s="525">
        <v>1</v>
      </c>
      <c r="B153" s="556" t="s">
        <v>208</v>
      </c>
      <c r="C153" s="517">
        <f>C154+C155+C156</f>
        <v>808087</v>
      </c>
      <c r="D153" s="516">
        <f t="shared" ref="D153:D158" si="27">C153</f>
        <v>808087</v>
      </c>
      <c r="E153" s="524">
        <f>E154+E155+E156</f>
        <v>55804</v>
      </c>
      <c r="F153" s="524">
        <f t="shared" ref="F153:F163" si="28">SUM(G153:Q153)</f>
        <v>752283</v>
      </c>
      <c r="G153" s="524">
        <f t="shared" ref="G153:Q153" si="29">G154+G155+G156</f>
        <v>91011</v>
      </c>
      <c r="H153" s="524">
        <f t="shared" si="29"/>
        <v>66273</v>
      </c>
      <c r="I153" s="524">
        <f t="shared" si="29"/>
        <v>3736</v>
      </c>
      <c r="J153" s="524">
        <f t="shared" si="29"/>
        <v>67825</v>
      </c>
      <c r="K153" s="524">
        <f t="shared" si="29"/>
        <v>59834</v>
      </c>
      <c r="L153" s="524">
        <f t="shared" si="29"/>
        <v>65303</v>
      </c>
      <c r="M153" s="524">
        <f t="shared" si="29"/>
        <v>50857</v>
      </c>
      <c r="N153" s="524">
        <f t="shared" si="29"/>
        <v>110871</v>
      </c>
      <c r="O153" s="524">
        <f t="shared" si="29"/>
        <v>79851</v>
      </c>
      <c r="P153" s="524">
        <f t="shared" si="29"/>
        <v>92061</v>
      </c>
      <c r="Q153" s="524">
        <f t="shared" si="29"/>
        <v>64661</v>
      </c>
    </row>
    <row r="154" spans="1:171" ht="42.75" customHeight="1">
      <c r="A154" s="557" t="s">
        <v>276</v>
      </c>
      <c r="B154" s="558" t="s">
        <v>906</v>
      </c>
      <c r="C154" s="522">
        <v>516161</v>
      </c>
      <c r="D154" s="523">
        <f t="shared" si="27"/>
        <v>516161</v>
      </c>
      <c r="E154" s="527">
        <f>D154-F154</f>
        <v>9010</v>
      </c>
      <c r="F154" s="527">
        <f t="shared" si="28"/>
        <v>507151</v>
      </c>
      <c r="G154" s="527">
        <v>56127</v>
      </c>
      <c r="H154" s="527">
        <v>47587</v>
      </c>
      <c r="I154" s="527"/>
      <c r="J154" s="527">
        <v>46016</v>
      </c>
      <c r="K154" s="527">
        <v>50904</v>
      </c>
      <c r="L154" s="527">
        <v>36435</v>
      </c>
      <c r="M154" s="527">
        <v>34529</v>
      </c>
      <c r="N154" s="527">
        <v>87644</v>
      </c>
      <c r="O154" s="527">
        <v>43672</v>
      </c>
      <c r="P154" s="527">
        <v>65346</v>
      </c>
      <c r="Q154" s="527">
        <v>38891</v>
      </c>
    </row>
    <row r="155" spans="1:171" ht="23.25" customHeight="1">
      <c r="A155" s="557" t="s">
        <v>276</v>
      </c>
      <c r="B155" s="558" t="s">
        <v>907</v>
      </c>
      <c r="C155" s="522">
        <v>83707</v>
      </c>
      <c r="D155" s="523">
        <f t="shared" si="27"/>
        <v>83707</v>
      </c>
      <c r="E155" s="527">
        <f>D155-F155</f>
        <v>35975</v>
      </c>
      <c r="F155" s="527">
        <f t="shared" si="28"/>
        <v>47732</v>
      </c>
      <c r="G155" s="527"/>
      <c r="H155" s="527"/>
      <c r="I155" s="527"/>
      <c r="J155" s="527"/>
      <c r="K155" s="527"/>
      <c r="L155" s="527"/>
      <c r="M155" s="527"/>
      <c r="N155" s="527"/>
      <c r="O155" s="527">
        <v>28727</v>
      </c>
      <c r="P155" s="527">
        <v>19005</v>
      </c>
      <c r="Q155" s="527"/>
    </row>
    <row r="156" spans="1:171" ht="23.25" customHeight="1">
      <c r="A156" s="557" t="s">
        <v>276</v>
      </c>
      <c r="B156" s="558" t="s">
        <v>908</v>
      </c>
      <c r="C156" s="522">
        <f>164120+44099</f>
        <v>208219</v>
      </c>
      <c r="D156" s="523">
        <f t="shared" si="27"/>
        <v>208219</v>
      </c>
      <c r="E156" s="527">
        <f>D156-F156</f>
        <v>10819</v>
      </c>
      <c r="F156" s="527">
        <f t="shared" si="28"/>
        <v>197400</v>
      </c>
      <c r="G156" s="527">
        <f>33484+1400</f>
        <v>34884</v>
      </c>
      <c r="H156" s="527">
        <f>14016+4670</f>
        <v>18686</v>
      </c>
      <c r="I156" s="527">
        <f>2336+1400</f>
        <v>3736</v>
      </c>
      <c r="J156" s="527">
        <f>17909+3900</f>
        <v>21809</v>
      </c>
      <c r="K156" s="527">
        <f>5450+3480</f>
        <v>8930</v>
      </c>
      <c r="L156" s="527">
        <f>24408+4460</f>
        <v>28868</v>
      </c>
      <c r="M156" s="527">
        <f>13668+2660</f>
        <v>16328</v>
      </c>
      <c r="N156" s="527">
        <f>20527+2700</f>
        <v>23227</v>
      </c>
      <c r="O156" s="527">
        <f>4672+2780</f>
        <v>7452</v>
      </c>
      <c r="P156" s="527">
        <f>5450+2260</f>
        <v>7710</v>
      </c>
      <c r="Q156" s="527">
        <f>22200+3570</f>
        <v>25770</v>
      </c>
    </row>
    <row r="157" spans="1:171" ht="42.75" customHeight="1">
      <c r="A157" s="525">
        <v>2</v>
      </c>
      <c r="B157" s="556" t="s">
        <v>209</v>
      </c>
      <c r="C157" s="517">
        <v>228803</v>
      </c>
      <c r="D157" s="516">
        <f t="shared" si="27"/>
        <v>228803</v>
      </c>
      <c r="E157" s="524">
        <f>D157</f>
        <v>228803</v>
      </c>
      <c r="F157" s="527">
        <f t="shared" si="28"/>
        <v>0</v>
      </c>
      <c r="G157" s="527"/>
      <c r="H157" s="527"/>
      <c r="I157" s="527"/>
      <c r="J157" s="527"/>
      <c r="K157" s="527"/>
      <c r="L157" s="527"/>
      <c r="M157" s="527"/>
      <c r="N157" s="527"/>
      <c r="O157" s="527"/>
      <c r="P157" s="527"/>
      <c r="Q157" s="527"/>
    </row>
    <row r="158" spans="1:171" ht="42" customHeight="1">
      <c r="A158" s="525">
        <v>3</v>
      </c>
      <c r="B158" s="556" t="s">
        <v>210</v>
      </c>
      <c r="C158" s="517">
        <v>2816430</v>
      </c>
      <c r="D158" s="516">
        <f t="shared" si="27"/>
        <v>2816430</v>
      </c>
      <c r="E158" s="524">
        <f>D158</f>
        <v>2816430</v>
      </c>
      <c r="F158" s="527">
        <f t="shared" si="28"/>
        <v>0</v>
      </c>
      <c r="G158" s="527"/>
      <c r="H158" s="527"/>
      <c r="I158" s="527"/>
      <c r="J158" s="527"/>
      <c r="K158" s="527"/>
      <c r="L158" s="527"/>
      <c r="M158" s="527"/>
      <c r="N158" s="527"/>
      <c r="O158" s="527"/>
      <c r="P158" s="527"/>
      <c r="Q158" s="527"/>
    </row>
    <row r="159" spans="1:171" s="457" customFormat="1" ht="42" customHeight="1">
      <c r="A159" s="525">
        <v>4</v>
      </c>
      <c r="B159" s="556" t="s">
        <v>211</v>
      </c>
      <c r="C159" s="517">
        <f>C160+C161</f>
        <v>536082</v>
      </c>
      <c r="D159" s="517">
        <f t="shared" ref="D159" si="30">D160+D161</f>
        <v>536082</v>
      </c>
      <c r="E159" s="517">
        <f>E160+E161</f>
        <v>208935</v>
      </c>
      <c r="F159" s="517">
        <f t="shared" si="28"/>
        <v>327147</v>
      </c>
      <c r="G159" s="517">
        <f>G160+G161</f>
        <v>38644</v>
      </c>
      <c r="H159" s="517">
        <f t="shared" ref="H159:R159" si="31">H160+H161</f>
        <v>36616</v>
      </c>
      <c r="I159" s="517">
        <f t="shared" si="31"/>
        <v>16330</v>
      </c>
      <c r="J159" s="517">
        <f t="shared" si="31"/>
        <v>34216</v>
      </c>
      <c r="K159" s="517">
        <f t="shared" si="31"/>
        <v>30686</v>
      </c>
      <c r="L159" s="517">
        <f t="shared" si="31"/>
        <v>14261</v>
      </c>
      <c r="M159" s="517">
        <f t="shared" si="31"/>
        <v>23973</v>
      </c>
      <c r="N159" s="517">
        <f t="shared" si="31"/>
        <v>35177</v>
      </c>
      <c r="O159" s="517">
        <f t="shared" si="31"/>
        <v>29530</v>
      </c>
      <c r="P159" s="517">
        <f t="shared" si="31"/>
        <v>25910</v>
      </c>
      <c r="Q159" s="517">
        <f t="shared" si="31"/>
        <v>41804</v>
      </c>
      <c r="R159" s="465">
        <f t="shared" si="31"/>
        <v>0</v>
      </c>
    </row>
    <row r="160" spans="1:171" ht="23.25" customHeight="1">
      <c r="A160" s="559" t="s">
        <v>1183</v>
      </c>
      <c r="B160" s="558" t="s">
        <v>1196</v>
      </c>
      <c r="C160" s="522">
        <v>8664</v>
      </c>
      <c r="D160" s="522">
        <f>C160</f>
        <v>8664</v>
      </c>
      <c r="E160" s="527">
        <f>D160-F160</f>
        <v>8664</v>
      </c>
      <c r="F160" s="527">
        <f t="shared" si="28"/>
        <v>0</v>
      </c>
      <c r="G160" s="527"/>
      <c r="H160" s="527"/>
      <c r="I160" s="527"/>
      <c r="J160" s="527"/>
      <c r="K160" s="527"/>
      <c r="L160" s="527"/>
      <c r="M160" s="527"/>
      <c r="N160" s="527"/>
      <c r="O160" s="527"/>
      <c r="P160" s="527"/>
      <c r="Q160" s="527"/>
    </row>
    <row r="161" spans="1:18" ht="23.25" customHeight="1">
      <c r="A161" s="559" t="s">
        <v>1184</v>
      </c>
      <c r="B161" s="558" t="s">
        <v>1022</v>
      </c>
      <c r="C161" s="522">
        <f>SUM(C162:C178)-SUM(C166:C171)</f>
        <v>527418</v>
      </c>
      <c r="D161" s="522">
        <f t="shared" ref="D161:D178" si="32">C161</f>
        <v>527418</v>
      </c>
      <c r="E161" s="527">
        <f>D161-F161</f>
        <v>200271</v>
      </c>
      <c r="F161" s="527">
        <f t="shared" si="28"/>
        <v>327147</v>
      </c>
      <c r="G161" s="527">
        <f>G162+G163+G164+G165+G172+G173+G174+G175+G176+G177+G178</f>
        <v>38644</v>
      </c>
      <c r="H161" s="527">
        <f t="shared" ref="H161:R161" si="33">H162+H163+H164+H165+H172+H173+H174+H175+H176+H177+H178</f>
        <v>36616</v>
      </c>
      <c r="I161" s="527">
        <f t="shared" si="33"/>
        <v>16330</v>
      </c>
      <c r="J161" s="527">
        <f t="shared" si="33"/>
        <v>34216</v>
      </c>
      <c r="K161" s="527">
        <f t="shared" si="33"/>
        <v>30686</v>
      </c>
      <c r="L161" s="527">
        <f t="shared" si="33"/>
        <v>14261</v>
      </c>
      <c r="M161" s="527">
        <f t="shared" si="33"/>
        <v>23973</v>
      </c>
      <c r="N161" s="527">
        <f t="shared" si="33"/>
        <v>35177</v>
      </c>
      <c r="O161" s="527">
        <f t="shared" si="33"/>
        <v>29530</v>
      </c>
      <c r="P161" s="527">
        <f t="shared" si="33"/>
        <v>25910</v>
      </c>
      <c r="Q161" s="527">
        <f t="shared" si="33"/>
        <v>41804</v>
      </c>
      <c r="R161" s="426">
        <f t="shared" si="33"/>
        <v>0</v>
      </c>
    </row>
    <row r="162" spans="1:18" ht="23.25" customHeight="1">
      <c r="A162" s="559" t="s">
        <v>276</v>
      </c>
      <c r="B162" s="558" t="s">
        <v>1194</v>
      </c>
      <c r="C162" s="522">
        <v>455</v>
      </c>
      <c r="D162" s="522">
        <f t="shared" si="32"/>
        <v>455</v>
      </c>
      <c r="E162" s="527">
        <f t="shared" ref="E162:E178" si="34">D162-F162</f>
        <v>455</v>
      </c>
      <c r="F162" s="527">
        <f t="shared" si="28"/>
        <v>0</v>
      </c>
      <c r="G162" s="527"/>
      <c r="H162" s="527"/>
      <c r="I162" s="527"/>
      <c r="J162" s="527"/>
      <c r="K162" s="527"/>
      <c r="L162" s="527"/>
      <c r="M162" s="527"/>
      <c r="N162" s="527"/>
      <c r="O162" s="527"/>
      <c r="P162" s="527"/>
      <c r="Q162" s="527"/>
    </row>
    <row r="163" spans="1:18" ht="23.25" customHeight="1">
      <c r="A163" s="559" t="s">
        <v>276</v>
      </c>
      <c r="B163" s="558" t="s">
        <v>1195</v>
      </c>
      <c r="C163" s="522">
        <v>160</v>
      </c>
      <c r="D163" s="522">
        <f t="shared" si="32"/>
        <v>160</v>
      </c>
      <c r="E163" s="527">
        <f t="shared" si="34"/>
        <v>160</v>
      </c>
      <c r="F163" s="527">
        <f t="shared" si="28"/>
        <v>0</v>
      </c>
      <c r="G163" s="527"/>
      <c r="H163" s="527"/>
      <c r="I163" s="527"/>
      <c r="J163" s="527"/>
      <c r="K163" s="527"/>
      <c r="L163" s="527"/>
      <c r="M163" s="527"/>
      <c r="N163" s="527"/>
      <c r="O163" s="527"/>
      <c r="P163" s="527"/>
      <c r="Q163" s="527"/>
    </row>
    <row r="164" spans="1:18" ht="23.25" customHeight="1">
      <c r="A164" s="559" t="s">
        <v>276</v>
      </c>
      <c r="B164" s="558" t="s">
        <v>1087</v>
      </c>
      <c r="C164" s="522">
        <v>45526</v>
      </c>
      <c r="D164" s="522">
        <f t="shared" si="32"/>
        <v>45526</v>
      </c>
      <c r="E164" s="527">
        <f t="shared" si="34"/>
        <v>18472</v>
      </c>
      <c r="F164" s="527">
        <f>SUM(G164:Q164)</f>
        <v>27054</v>
      </c>
      <c r="G164" s="527">
        <v>12422</v>
      </c>
      <c r="H164" s="527">
        <v>4130</v>
      </c>
      <c r="I164" s="527">
        <f>1951+1481</f>
        <v>3432</v>
      </c>
      <c r="J164" s="527">
        <v>985</v>
      </c>
      <c r="K164" s="527">
        <v>1564</v>
      </c>
      <c r="L164" s="527"/>
      <c r="M164" s="527"/>
      <c r="N164" s="527">
        <v>1156</v>
      </c>
      <c r="O164" s="527"/>
      <c r="P164" s="527"/>
      <c r="Q164" s="527">
        <v>3365</v>
      </c>
    </row>
    <row r="165" spans="1:18" ht="23.25" customHeight="1">
      <c r="A165" s="559" t="s">
        <v>276</v>
      </c>
      <c r="B165" s="558" t="s">
        <v>1470</v>
      </c>
      <c r="C165" s="522">
        <v>347041</v>
      </c>
      <c r="D165" s="522">
        <f t="shared" si="32"/>
        <v>347041</v>
      </c>
      <c r="E165" s="527">
        <f t="shared" si="34"/>
        <v>71437</v>
      </c>
      <c r="F165" s="527">
        <f t="shared" ref="F165:F178" si="35">SUM(G165:Q165)</f>
        <v>275604</v>
      </c>
      <c r="G165" s="527">
        <f>G166+G167+G168</f>
        <v>24675</v>
      </c>
      <c r="H165" s="527">
        <f t="shared" ref="H165:R165" si="36">H166+H167+H168</f>
        <v>30339</v>
      </c>
      <c r="I165" s="527">
        <f t="shared" si="36"/>
        <v>11090</v>
      </c>
      <c r="J165" s="527">
        <f t="shared" si="36"/>
        <v>30461</v>
      </c>
      <c r="K165" s="527">
        <f t="shared" si="36"/>
        <v>27634</v>
      </c>
      <c r="L165" s="527">
        <f t="shared" si="36"/>
        <v>12086</v>
      </c>
      <c r="M165" s="527">
        <f t="shared" si="36"/>
        <v>22119</v>
      </c>
      <c r="N165" s="527">
        <f t="shared" si="36"/>
        <v>30066</v>
      </c>
      <c r="O165" s="527">
        <f t="shared" si="36"/>
        <v>27568</v>
      </c>
      <c r="P165" s="527">
        <f t="shared" si="36"/>
        <v>22971</v>
      </c>
      <c r="Q165" s="527">
        <f t="shared" si="36"/>
        <v>36595</v>
      </c>
      <c r="R165" s="426">
        <f t="shared" si="36"/>
        <v>0</v>
      </c>
    </row>
    <row r="166" spans="1:18" ht="23.25" customHeight="1">
      <c r="A166" s="559" t="s">
        <v>340</v>
      </c>
      <c r="B166" s="558" t="s">
        <v>1186</v>
      </c>
      <c r="C166" s="522">
        <v>37490</v>
      </c>
      <c r="D166" s="522">
        <f t="shared" si="32"/>
        <v>37490</v>
      </c>
      <c r="E166" s="527">
        <f t="shared" si="34"/>
        <v>37490</v>
      </c>
      <c r="F166" s="527">
        <f t="shared" si="35"/>
        <v>0</v>
      </c>
      <c r="G166" s="527"/>
      <c r="H166" s="527"/>
      <c r="I166" s="527"/>
      <c r="J166" s="527"/>
      <c r="K166" s="527"/>
      <c r="L166" s="527"/>
      <c r="M166" s="527"/>
      <c r="N166" s="527"/>
      <c r="O166" s="527"/>
      <c r="P166" s="527"/>
      <c r="Q166" s="527"/>
    </row>
    <row r="167" spans="1:18" ht="38.25" customHeight="1">
      <c r="A167" s="559" t="s">
        <v>340</v>
      </c>
      <c r="B167" s="558" t="s">
        <v>1390</v>
      </c>
      <c r="C167" s="522">
        <v>238987</v>
      </c>
      <c r="D167" s="522">
        <f t="shared" si="32"/>
        <v>238987</v>
      </c>
      <c r="E167" s="527">
        <f>D167-F167</f>
        <v>25122</v>
      </c>
      <c r="F167" s="527">
        <f t="shared" si="35"/>
        <v>213865</v>
      </c>
      <c r="G167" s="527">
        <v>17005</v>
      </c>
      <c r="H167" s="527">
        <v>22119</v>
      </c>
      <c r="I167" s="527">
        <v>4101</v>
      </c>
      <c r="J167" s="527">
        <v>24941</v>
      </c>
      <c r="K167" s="527">
        <v>20309</v>
      </c>
      <c r="L167" s="527">
        <v>10067</v>
      </c>
      <c r="M167" s="527">
        <v>17098</v>
      </c>
      <c r="N167" s="527">
        <v>29215</v>
      </c>
      <c r="O167" s="527">
        <v>20653</v>
      </c>
      <c r="P167" s="527">
        <v>17176</v>
      </c>
      <c r="Q167" s="527">
        <v>31181</v>
      </c>
    </row>
    <row r="168" spans="1:18" ht="23.25" customHeight="1">
      <c r="A168" s="559" t="s">
        <v>340</v>
      </c>
      <c r="B168" s="558" t="s">
        <v>1187</v>
      </c>
      <c r="C168" s="522">
        <f>C169+C170+C171</f>
        <v>70564</v>
      </c>
      <c r="D168" s="522">
        <f t="shared" ref="D168:R168" si="37">D169+D170+D171</f>
        <v>70564</v>
      </c>
      <c r="E168" s="522">
        <f t="shared" si="37"/>
        <v>8825</v>
      </c>
      <c r="F168" s="522">
        <f t="shared" si="35"/>
        <v>61739</v>
      </c>
      <c r="G168" s="522">
        <f t="shared" si="37"/>
        <v>7670</v>
      </c>
      <c r="H168" s="522">
        <f t="shared" si="37"/>
        <v>8220</v>
      </c>
      <c r="I168" s="522">
        <f t="shared" si="37"/>
        <v>6989</v>
      </c>
      <c r="J168" s="522">
        <f t="shared" si="37"/>
        <v>5520</v>
      </c>
      <c r="K168" s="522">
        <f t="shared" si="37"/>
        <v>7325</v>
      </c>
      <c r="L168" s="522">
        <f t="shared" si="37"/>
        <v>2019</v>
      </c>
      <c r="M168" s="522">
        <f t="shared" si="37"/>
        <v>5021</v>
      </c>
      <c r="N168" s="522">
        <f t="shared" si="37"/>
        <v>851</v>
      </c>
      <c r="O168" s="522">
        <f t="shared" si="37"/>
        <v>6915</v>
      </c>
      <c r="P168" s="522">
        <f t="shared" si="37"/>
        <v>5795</v>
      </c>
      <c r="Q168" s="522">
        <f t="shared" si="37"/>
        <v>5414</v>
      </c>
      <c r="R168" s="466">
        <f t="shared" si="37"/>
        <v>0</v>
      </c>
    </row>
    <row r="169" spans="1:18" ht="23.25" customHeight="1">
      <c r="A169" s="559"/>
      <c r="B169" s="958" t="s">
        <v>1188</v>
      </c>
      <c r="C169" s="959">
        <v>8391</v>
      </c>
      <c r="D169" s="523">
        <v>8391</v>
      </c>
      <c r="E169" s="527">
        <f>D169-F169</f>
        <v>1323</v>
      </c>
      <c r="F169" s="527">
        <f t="shared" si="35"/>
        <v>7068</v>
      </c>
      <c r="G169" s="527">
        <v>969</v>
      </c>
      <c r="H169" s="527">
        <v>670</v>
      </c>
      <c r="I169" s="527">
        <v>1039</v>
      </c>
      <c r="J169" s="527">
        <v>699</v>
      </c>
      <c r="K169" s="527">
        <v>430</v>
      </c>
      <c r="L169" s="527">
        <v>446</v>
      </c>
      <c r="M169" s="527">
        <v>634</v>
      </c>
      <c r="N169" s="527">
        <v>715</v>
      </c>
      <c r="O169" s="527">
        <v>481</v>
      </c>
      <c r="P169" s="527">
        <v>513</v>
      </c>
      <c r="Q169" s="527">
        <v>472</v>
      </c>
    </row>
    <row r="170" spans="1:18" ht="49.5" customHeight="1">
      <c r="A170" s="559"/>
      <c r="B170" s="533" t="s">
        <v>1802</v>
      </c>
      <c r="C170" s="522">
        <f>66313-7364</f>
        <v>58949</v>
      </c>
      <c r="D170" s="522">
        <f>C170</f>
        <v>58949</v>
      </c>
      <c r="E170" s="527">
        <f>D170-F170</f>
        <v>5331</v>
      </c>
      <c r="F170" s="527">
        <f t="shared" si="35"/>
        <v>53618</v>
      </c>
      <c r="G170" s="527">
        <f>8089-1485</f>
        <v>6604</v>
      </c>
      <c r="H170" s="527">
        <v>7454</v>
      </c>
      <c r="I170" s="527">
        <v>5876</v>
      </c>
      <c r="J170" s="527">
        <v>4724</v>
      </c>
      <c r="K170" s="527">
        <v>6756</v>
      </c>
      <c r="L170" s="527">
        <v>1506</v>
      </c>
      <c r="M170" s="527">
        <v>4291</v>
      </c>
      <c r="N170" s="527">
        <v>0</v>
      </c>
      <c r="O170" s="527">
        <v>6358</v>
      </c>
      <c r="P170" s="527">
        <v>5206</v>
      </c>
      <c r="Q170" s="527">
        <v>4843</v>
      </c>
    </row>
    <row r="171" spans="1:18" ht="54.75" customHeight="1">
      <c r="A171" s="559"/>
      <c r="B171" s="533" t="s">
        <v>1803</v>
      </c>
      <c r="C171" s="522">
        <v>3224</v>
      </c>
      <c r="D171" s="522">
        <f>C171</f>
        <v>3224</v>
      </c>
      <c r="E171" s="527">
        <f>D171-F171</f>
        <v>2171</v>
      </c>
      <c r="F171" s="527">
        <f t="shared" si="35"/>
        <v>1053</v>
      </c>
      <c r="G171" s="527">
        <v>97</v>
      </c>
      <c r="H171" s="527">
        <v>96</v>
      </c>
      <c r="I171" s="527">
        <v>74</v>
      </c>
      <c r="J171" s="527">
        <v>97</v>
      </c>
      <c r="K171" s="527">
        <v>139</v>
      </c>
      <c r="L171" s="527">
        <v>67</v>
      </c>
      <c r="M171" s="527">
        <v>96</v>
      </c>
      <c r="N171" s="527">
        <v>136</v>
      </c>
      <c r="O171" s="527">
        <v>76</v>
      </c>
      <c r="P171" s="527">
        <v>76</v>
      </c>
      <c r="Q171" s="527">
        <v>99</v>
      </c>
    </row>
    <row r="172" spans="1:18" ht="23.25" customHeight="1">
      <c r="A172" s="559" t="s">
        <v>276</v>
      </c>
      <c r="B172" s="558" t="s">
        <v>1113</v>
      </c>
      <c r="C172" s="522">
        <v>16029</v>
      </c>
      <c r="D172" s="522">
        <f t="shared" si="32"/>
        <v>16029</v>
      </c>
      <c r="E172" s="527">
        <f t="shared" si="34"/>
        <v>16029</v>
      </c>
      <c r="F172" s="527">
        <f t="shared" si="35"/>
        <v>0</v>
      </c>
      <c r="G172" s="527"/>
      <c r="H172" s="527"/>
      <c r="I172" s="527"/>
      <c r="J172" s="527"/>
      <c r="K172" s="527"/>
      <c r="L172" s="527"/>
      <c r="M172" s="527"/>
      <c r="N172" s="527"/>
      <c r="O172" s="527"/>
      <c r="P172" s="527"/>
      <c r="Q172" s="527"/>
    </row>
    <row r="173" spans="1:18" ht="23.25" customHeight="1">
      <c r="A173" s="559" t="s">
        <v>276</v>
      </c>
      <c r="B173" s="558" t="s">
        <v>235</v>
      </c>
      <c r="C173" s="522">
        <v>10943</v>
      </c>
      <c r="D173" s="522">
        <f t="shared" si="32"/>
        <v>10943</v>
      </c>
      <c r="E173" s="527">
        <f t="shared" si="34"/>
        <v>5238</v>
      </c>
      <c r="F173" s="527">
        <f t="shared" si="35"/>
        <v>5705</v>
      </c>
      <c r="G173" s="527">
        <v>547</v>
      </c>
      <c r="H173" s="527">
        <v>505</v>
      </c>
      <c r="I173" s="527">
        <v>728</v>
      </c>
      <c r="J173" s="527">
        <v>530</v>
      </c>
      <c r="K173" s="527">
        <v>488</v>
      </c>
      <c r="L173" s="527">
        <v>485</v>
      </c>
      <c r="M173" s="527">
        <v>488</v>
      </c>
      <c r="N173" s="527">
        <v>488</v>
      </c>
      <c r="O173" s="527">
        <v>480</v>
      </c>
      <c r="P173" s="527">
        <v>483</v>
      </c>
      <c r="Q173" s="527">
        <v>483</v>
      </c>
    </row>
    <row r="174" spans="1:18" ht="23.25" customHeight="1">
      <c r="A174" s="559" t="s">
        <v>276</v>
      </c>
      <c r="B174" s="558" t="s">
        <v>233</v>
      </c>
      <c r="C174" s="522">
        <v>600</v>
      </c>
      <c r="D174" s="522">
        <f t="shared" si="32"/>
        <v>600</v>
      </c>
      <c r="E174" s="527">
        <f t="shared" si="34"/>
        <v>600</v>
      </c>
      <c r="F174" s="527">
        <f t="shared" si="35"/>
        <v>0</v>
      </c>
      <c r="G174" s="527"/>
      <c r="H174" s="527"/>
      <c r="I174" s="527"/>
      <c r="J174" s="527"/>
      <c r="K174" s="527"/>
      <c r="L174" s="527"/>
      <c r="M174" s="527"/>
      <c r="N174" s="527"/>
      <c r="O174" s="527"/>
      <c r="P174" s="527"/>
      <c r="Q174" s="527"/>
    </row>
    <row r="175" spans="1:18" ht="52.5" customHeight="1">
      <c r="A175" s="559" t="s">
        <v>276</v>
      </c>
      <c r="B175" s="558" t="s">
        <v>1471</v>
      </c>
      <c r="C175" s="522">
        <v>320</v>
      </c>
      <c r="D175" s="522">
        <f t="shared" si="32"/>
        <v>320</v>
      </c>
      <c r="E175" s="527">
        <f t="shared" si="34"/>
        <v>320</v>
      </c>
      <c r="F175" s="527">
        <f t="shared" si="35"/>
        <v>0</v>
      </c>
      <c r="G175" s="527"/>
      <c r="H175" s="527"/>
      <c r="I175" s="527"/>
      <c r="J175" s="527"/>
      <c r="K175" s="527"/>
      <c r="L175" s="527"/>
      <c r="M175" s="527"/>
      <c r="N175" s="527"/>
      <c r="O175" s="527"/>
      <c r="P175" s="527"/>
      <c r="Q175" s="527"/>
    </row>
    <row r="176" spans="1:18" ht="23.25" customHeight="1">
      <c r="A176" s="559" t="s">
        <v>276</v>
      </c>
      <c r="B176" s="558" t="s">
        <v>234</v>
      </c>
      <c r="C176" s="522">
        <v>16720</v>
      </c>
      <c r="D176" s="522">
        <f t="shared" si="32"/>
        <v>16720</v>
      </c>
      <c r="E176" s="527">
        <f t="shared" si="34"/>
        <v>8936</v>
      </c>
      <c r="F176" s="527">
        <f t="shared" si="35"/>
        <v>7784</v>
      </c>
      <c r="G176" s="527"/>
      <c r="H176" s="527">
        <v>642</v>
      </c>
      <c r="I176" s="527">
        <v>80</v>
      </c>
      <c r="J176" s="527">
        <v>1240</v>
      </c>
      <c r="K176" s="527"/>
      <c r="L176" s="527">
        <v>690</v>
      </c>
      <c r="M176" s="527">
        <v>366</v>
      </c>
      <c r="N176" s="527">
        <v>2467</v>
      </c>
      <c r="O176" s="527">
        <v>482</v>
      </c>
      <c r="P176" s="527">
        <v>1456</v>
      </c>
      <c r="Q176" s="527">
        <v>361</v>
      </c>
    </row>
    <row r="177" spans="1:18" ht="23.25" customHeight="1">
      <c r="A177" s="559" t="s">
        <v>276</v>
      </c>
      <c r="B177" s="558" t="s">
        <v>1102</v>
      </c>
      <c r="C177" s="522">
        <v>66624</v>
      </c>
      <c r="D177" s="522">
        <f t="shared" si="32"/>
        <v>66624</v>
      </c>
      <c r="E177" s="527">
        <f t="shared" si="34"/>
        <v>55624</v>
      </c>
      <c r="F177" s="527">
        <f t="shared" si="35"/>
        <v>11000</v>
      </c>
      <c r="G177" s="527">
        <v>1000</v>
      </c>
      <c r="H177" s="527">
        <v>1000</v>
      </c>
      <c r="I177" s="527">
        <v>1000</v>
      </c>
      <c r="J177" s="527">
        <v>1000</v>
      </c>
      <c r="K177" s="527">
        <v>1000</v>
      </c>
      <c r="L177" s="527">
        <v>1000</v>
      </c>
      <c r="M177" s="527">
        <v>1000</v>
      </c>
      <c r="N177" s="527">
        <v>1000</v>
      </c>
      <c r="O177" s="527">
        <v>1000</v>
      </c>
      <c r="P177" s="527">
        <v>1000</v>
      </c>
      <c r="Q177" s="527">
        <v>1000</v>
      </c>
    </row>
    <row r="178" spans="1:18" ht="23.25" customHeight="1">
      <c r="A178" s="559" t="s">
        <v>276</v>
      </c>
      <c r="B178" s="558" t="s">
        <v>232</v>
      </c>
      <c r="C178" s="522">
        <v>23000</v>
      </c>
      <c r="D178" s="522">
        <f t="shared" si="32"/>
        <v>23000</v>
      </c>
      <c r="E178" s="527">
        <f t="shared" si="34"/>
        <v>23000</v>
      </c>
      <c r="F178" s="527">
        <f t="shared" si="35"/>
        <v>0</v>
      </c>
      <c r="G178" s="527"/>
      <c r="H178" s="527"/>
      <c r="I178" s="527"/>
      <c r="J178" s="527"/>
      <c r="K178" s="527"/>
      <c r="L178" s="527"/>
      <c r="M178" s="527"/>
      <c r="N178" s="527"/>
      <c r="O178" s="527"/>
      <c r="P178" s="527"/>
      <c r="Q178" s="527"/>
    </row>
    <row r="179" spans="1:18" s="457" customFormat="1" ht="23.25" customHeight="1">
      <c r="A179" s="560" t="s">
        <v>212</v>
      </c>
      <c r="B179" s="561" t="s">
        <v>213</v>
      </c>
      <c r="C179" s="517">
        <f>C181+C186</f>
        <v>15387945</v>
      </c>
      <c r="D179" s="517">
        <f t="shared" ref="D179:E179" si="38">D181+D186</f>
        <v>15387945</v>
      </c>
      <c r="E179" s="517">
        <f t="shared" si="38"/>
        <v>5937035</v>
      </c>
      <c r="F179" s="524">
        <f t="shared" ref="F179:F192" si="39">SUM(G179:Q179)</f>
        <v>9450910</v>
      </c>
      <c r="G179" s="524">
        <f t="shared" ref="G179:Q179" si="40">G181+G186</f>
        <v>1048342</v>
      </c>
      <c r="H179" s="524">
        <f t="shared" si="40"/>
        <v>944733</v>
      </c>
      <c r="I179" s="524">
        <f t="shared" si="40"/>
        <v>519043</v>
      </c>
      <c r="J179" s="524">
        <f t="shared" si="40"/>
        <v>960962</v>
      </c>
      <c r="K179" s="524">
        <f t="shared" si="40"/>
        <v>1094216</v>
      </c>
      <c r="L179" s="524">
        <f t="shared" si="40"/>
        <v>579797</v>
      </c>
      <c r="M179" s="524">
        <f t="shared" si="40"/>
        <v>714356</v>
      </c>
      <c r="N179" s="524">
        <f t="shared" si="40"/>
        <v>894431</v>
      </c>
      <c r="O179" s="524">
        <f t="shared" si="40"/>
        <v>872839</v>
      </c>
      <c r="P179" s="524">
        <f t="shared" si="40"/>
        <v>947483</v>
      </c>
      <c r="Q179" s="524">
        <f t="shared" si="40"/>
        <v>874708</v>
      </c>
    </row>
    <row r="180" spans="1:18" s="457" customFormat="1" ht="27" hidden="1" customHeight="1">
      <c r="A180" s="560"/>
      <c r="B180" s="561"/>
      <c r="C180" s="517"/>
      <c r="D180" s="516"/>
      <c r="E180" s="524"/>
      <c r="F180" s="524"/>
      <c r="G180" s="524">
        <f t="shared" ref="G180:R180" si="41">G190-G181</f>
        <v>0</v>
      </c>
      <c r="H180" s="524">
        <f t="shared" si="41"/>
        <v>0</v>
      </c>
      <c r="I180" s="524">
        <f t="shared" si="41"/>
        <v>0</v>
      </c>
      <c r="J180" s="524">
        <f t="shared" si="41"/>
        <v>0</v>
      </c>
      <c r="K180" s="524">
        <f t="shared" si="41"/>
        <v>0</v>
      </c>
      <c r="L180" s="524">
        <f t="shared" si="41"/>
        <v>0</v>
      </c>
      <c r="M180" s="524">
        <f t="shared" si="41"/>
        <v>0</v>
      </c>
      <c r="N180" s="524">
        <f t="shared" si="41"/>
        <v>0</v>
      </c>
      <c r="O180" s="524">
        <f t="shared" si="41"/>
        <v>0</v>
      </c>
      <c r="P180" s="524">
        <f t="shared" si="41"/>
        <v>0</v>
      </c>
      <c r="Q180" s="524">
        <f t="shared" si="41"/>
        <v>0</v>
      </c>
      <c r="R180" s="425">
        <f t="shared" si="41"/>
        <v>0</v>
      </c>
    </row>
    <row r="181" spans="1:18" s="457" customFormat="1" ht="23.25" customHeight="1">
      <c r="A181" s="562">
        <v>1</v>
      </c>
      <c r="B181" s="561" t="s">
        <v>214</v>
      </c>
      <c r="C181" s="516">
        <f>C182+C183+C184+C185</f>
        <v>10998543</v>
      </c>
      <c r="D181" s="516">
        <f>D182+D183+D184+D185</f>
        <v>10998543</v>
      </c>
      <c r="E181" s="524">
        <f>D181-F181</f>
        <v>2627063</v>
      </c>
      <c r="F181" s="524">
        <f t="shared" si="39"/>
        <v>8371480</v>
      </c>
      <c r="G181" s="524">
        <f t="shared" ref="G181:Q181" si="42">G182+G183+G184+G185</f>
        <v>918687</v>
      </c>
      <c r="H181" s="524">
        <f t="shared" si="42"/>
        <v>841844</v>
      </c>
      <c r="I181" s="524">
        <f t="shared" si="42"/>
        <v>498977</v>
      </c>
      <c r="J181" s="524">
        <f t="shared" si="42"/>
        <v>858921</v>
      </c>
      <c r="K181" s="524">
        <f t="shared" si="42"/>
        <v>1003696</v>
      </c>
      <c r="L181" s="524">
        <f t="shared" si="42"/>
        <v>500233</v>
      </c>
      <c r="M181" s="524">
        <f t="shared" si="42"/>
        <v>639526</v>
      </c>
      <c r="N181" s="524">
        <f t="shared" si="42"/>
        <v>748383</v>
      </c>
      <c r="O181" s="524">
        <f t="shared" si="42"/>
        <v>763458</v>
      </c>
      <c r="P181" s="524">
        <f t="shared" si="42"/>
        <v>829512</v>
      </c>
      <c r="Q181" s="524">
        <f t="shared" si="42"/>
        <v>768243</v>
      </c>
    </row>
    <row r="182" spans="1:18" ht="23.25" customHeight="1">
      <c r="A182" s="563" t="s">
        <v>119</v>
      </c>
      <c r="B182" s="564" t="s">
        <v>1114</v>
      </c>
      <c r="C182" s="523">
        <v>8156116</v>
      </c>
      <c r="D182" s="523">
        <f>C182</f>
        <v>8156116</v>
      </c>
      <c r="E182" s="527"/>
      <c r="F182" s="527">
        <f t="shared" si="39"/>
        <v>5758959</v>
      </c>
      <c r="G182" s="527">
        <v>630690</v>
      </c>
      <c r="H182" s="527">
        <v>560543</v>
      </c>
      <c r="I182" s="527">
        <v>319666</v>
      </c>
      <c r="J182" s="527">
        <v>566326</v>
      </c>
      <c r="K182" s="527">
        <v>704475</v>
      </c>
      <c r="L182" s="527">
        <v>363694</v>
      </c>
      <c r="M182" s="527">
        <v>443314</v>
      </c>
      <c r="N182" s="527">
        <v>515482</v>
      </c>
      <c r="O182" s="527">
        <v>534078</v>
      </c>
      <c r="P182" s="527">
        <v>587879</v>
      </c>
      <c r="Q182" s="527">
        <v>532812</v>
      </c>
      <c r="R182" s="455">
        <v>0</v>
      </c>
    </row>
    <row r="183" spans="1:18" ht="23.25" customHeight="1">
      <c r="A183" s="563" t="s">
        <v>122</v>
      </c>
      <c r="B183" s="564" t="s">
        <v>1198</v>
      </c>
      <c r="C183" s="523">
        <v>163100</v>
      </c>
      <c r="D183" s="523">
        <f>C183</f>
        <v>163100</v>
      </c>
      <c r="E183" s="527"/>
      <c r="F183" s="527">
        <f t="shared" si="39"/>
        <v>674007</v>
      </c>
      <c r="G183" s="527">
        <v>65129</v>
      </c>
      <c r="H183" s="527">
        <v>70256</v>
      </c>
      <c r="I183" s="527">
        <v>60246</v>
      </c>
      <c r="J183" s="527">
        <v>74626</v>
      </c>
      <c r="K183" s="527">
        <v>64597</v>
      </c>
      <c r="L183" s="527">
        <v>34227</v>
      </c>
      <c r="M183" s="527">
        <v>58568</v>
      </c>
      <c r="N183" s="527">
        <v>67172</v>
      </c>
      <c r="O183" s="527">
        <v>63328</v>
      </c>
      <c r="P183" s="527">
        <v>56029</v>
      </c>
      <c r="Q183" s="527">
        <v>59829</v>
      </c>
    </row>
    <row r="184" spans="1:18" ht="23.25" customHeight="1">
      <c r="A184" s="563" t="s">
        <v>124</v>
      </c>
      <c r="B184" s="564" t="s">
        <v>1115</v>
      </c>
      <c r="C184" s="523">
        <v>2679327</v>
      </c>
      <c r="D184" s="523">
        <f>C184</f>
        <v>2679327</v>
      </c>
      <c r="E184" s="527"/>
      <c r="F184" s="527">
        <f t="shared" si="39"/>
        <v>1920904</v>
      </c>
      <c r="G184" s="527">
        <f t="shared" ref="G184:Q184" si="43">G94</f>
        <v>222868</v>
      </c>
      <c r="H184" s="527">
        <f t="shared" si="43"/>
        <v>210762</v>
      </c>
      <c r="I184" s="527">
        <f t="shared" si="43"/>
        <v>119065</v>
      </c>
      <c r="J184" s="527">
        <f t="shared" si="43"/>
        <v>201032</v>
      </c>
      <c r="K184" s="527">
        <f t="shared" si="43"/>
        <v>234624</v>
      </c>
      <c r="L184" s="527">
        <f t="shared" si="43"/>
        <v>102312</v>
      </c>
      <c r="M184" s="527">
        <f t="shared" si="43"/>
        <v>137254</v>
      </c>
      <c r="N184" s="527">
        <f t="shared" si="43"/>
        <v>165729</v>
      </c>
      <c r="O184" s="527">
        <f t="shared" si="43"/>
        <v>166052</v>
      </c>
      <c r="P184" s="527">
        <f t="shared" si="43"/>
        <v>185604</v>
      </c>
      <c r="Q184" s="527">
        <f t="shared" si="43"/>
        <v>175602</v>
      </c>
    </row>
    <row r="185" spans="1:18" ht="58.5" customHeight="1">
      <c r="A185" s="563" t="s">
        <v>126</v>
      </c>
      <c r="B185" s="564" t="s">
        <v>1200</v>
      </c>
      <c r="C185" s="523"/>
      <c r="D185" s="523"/>
      <c r="E185" s="527"/>
      <c r="F185" s="527">
        <f t="shared" si="39"/>
        <v>17610</v>
      </c>
      <c r="G185" s="527"/>
      <c r="H185" s="527">
        <v>283</v>
      </c>
      <c r="I185" s="527"/>
      <c r="J185" s="527">
        <v>16937</v>
      </c>
      <c r="K185" s="527"/>
      <c r="L185" s="527"/>
      <c r="M185" s="527">
        <v>390</v>
      </c>
      <c r="N185" s="527"/>
      <c r="O185" s="527"/>
      <c r="P185" s="527"/>
      <c r="Q185" s="527"/>
    </row>
    <row r="186" spans="1:18" s="457" customFormat="1" ht="23.25" customHeight="1">
      <c r="A186" s="562">
        <v>2</v>
      </c>
      <c r="B186" s="561" t="s">
        <v>215</v>
      </c>
      <c r="C186" s="516">
        <f>C152</f>
        <v>4389402</v>
      </c>
      <c r="D186" s="516">
        <f>D152</f>
        <v>4389402</v>
      </c>
      <c r="E186" s="524">
        <f>E152</f>
        <v>3309972</v>
      </c>
      <c r="F186" s="524">
        <f t="shared" si="39"/>
        <v>1079430</v>
      </c>
      <c r="G186" s="524">
        <f t="shared" ref="G186:Q186" si="44">G152</f>
        <v>129655</v>
      </c>
      <c r="H186" s="524">
        <f t="shared" si="44"/>
        <v>102889</v>
      </c>
      <c r="I186" s="524">
        <f t="shared" si="44"/>
        <v>20066</v>
      </c>
      <c r="J186" s="524">
        <f t="shared" si="44"/>
        <v>102041</v>
      </c>
      <c r="K186" s="524">
        <f t="shared" si="44"/>
        <v>90520</v>
      </c>
      <c r="L186" s="524">
        <f t="shared" si="44"/>
        <v>79564</v>
      </c>
      <c r="M186" s="524">
        <f t="shared" si="44"/>
        <v>74830</v>
      </c>
      <c r="N186" s="524">
        <f t="shared" si="44"/>
        <v>146048</v>
      </c>
      <c r="O186" s="524">
        <f t="shared" si="44"/>
        <v>109381</v>
      </c>
      <c r="P186" s="524">
        <f t="shared" si="44"/>
        <v>117971</v>
      </c>
      <c r="Q186" s="524">
        <f t="shared" si="44"/>
        <v>106465</v>
      </c>
    </row>
    <row r="187" spans="1:18" s="457" customFormat="1" ht="58.5" customHeight="1">
      <c r="A187" s="562" t="s">
        <v>216</v>
      </c>
      <c r="B187" s="561" t="s">
        <v>1391</v>
      </c>
      <c r="C187" s="516">
        <v>8792</v>
      </c>
      <c r="D187" s="516">
        <f>C187</f>
        <v>8792</v>
      </c>
      <c r="E187" s="524">
        <f>D187</f>
        <v>8792</v>
      </c>
      <c r="F187" s="524"/>
      <c r="G187" s="524"/>
      <c r="H187" s="524"/>
      <c r="I187" s="524"/>
      <c r="J187" s="524"/>
      <c r="K187" s="524"/>
      <c r="L187" s="524"/>
      <c r="M187" s="524"/>
      <c r="N187" s="524"/>
      <c r="O187" s="524"/>
      <c r="P187" s="524"/>
      <c r="Q187" s="524"/>
    </row>
    <row r="188" spans="1:18" s="457" customFormat="1" ht="23.25" customHeight="1">
      <c r="A188" s="514" t="s">
        <v>221</v>
      </c>
      <c r="B188" s="515" t="s">
        <v>217</v>
      </c>
      <c r="C188" s="516">
        <f>C19-C194</f>
        <v>17828337</v>
      </c>
      <c r="D188" s="516">
        <f>D19-D194</f>
        <v>18666137</v>
      </c>
      <c r="E188" s="524">
        <f>E19-E194</f>
        <v>8272637</v>
      </c>
      <c r="F188" s="524">
        <f t="shared" si="39"/>
        <v>10393500</v>
      </c>
      <c r="G188" s="524">
        <f t="shared" ref="G188:Q188" si="45">G19-G194</f>
        <v>1219162</v>
      </c>
      <c r="H188" s="524">
        <f t="shared" si="45"/>
        <v>1005093</v>
      </c>
      <c r="I188" s="524">
        <f t="shared" si="45"/>
        <v>836173</v>
      </c>
      <c r="J188" s="524">
        <f t="shared" si="45"/>
        <v>1064552</v>
      </c>
      <c r="K188" s="524">
        <f t="shared" si="45"/>
        <v>1146316</v>
      </c>
      <c r="L188" s="524">
        <f t="shared" si="45"/>
        <v>643437</v>
      </c>
      <c r="M188" s="524">
        <f t="shared" si="45"/>
        <v>752366</v>
      </c>
      <c r="N188" s="524">
        <f t="shared" si="45"/>
        <v>944121</v>
      </c>
      <c r="O188" s="524">
        <f t="shared" si="45"/>
        <v>897289</v>
      </c>
      <c r="P188" s="524">
        <f t="shared" si="45"/>
        <v>968353</v>
      </c>
      <c r="Q188" s="524">
        <f t="shared" si="45"/>
        <v>916638</v>
      </c>
    </row>
    <row r="189" spans="1:18" s="457" customFormat="1" ht="23.25" customHeight="1">
      <c r="A189" s="525">
        <v>1</v>
      </c>
      <c r="B189" s="515" t="s">
        <v>218</v>
      </c>
      <c r="C189" s="516">
        <f>C188-C192-C193</f>
        <v>13430143</v>
      </c>
      <c r="D189" s="516">
        <f t="shared" ref="D189:E189" si="46">D188-D192-D193</f>
        <v>14267943</v>
      </c>
      <c r="E189" s="516">
        <f t="shared" si="46"/>
        <v>4953873</v>
      </c>
      <c r="F189" s="524">
        <f t="shared" si="39"/>
        <v>9314070</v>
      </c>
      <c r="G189" s="524">
        <f>G188-G192</f>
        <v>1089507</v>
      </c>
      <c r="H189" s="524">
        <f t="shared" ref="H189:Q189" si="47">H188-H192</f>
        <v>902204</v>
      </c>
      <c r="I189" s="524">
        <f t="shared" si="47"/>
        <v>816107</v>
      </c>
      <c r="J189" s="524">
        <f t="shared" si="47"/>
        <v>962511</v>
      </c>
      <c r="K189" s="524">
        <f t="shared" si="47"/>
        <v>1055796</v>
      </c>
      <c r="L189" s="524">
        <f t="shared" si="47"/>
        <v>563873</v>
      </c>
      <c r="M189" s="524">
        <f t="shared" si="47"/>
        <v>677536</v>
      </c>
      <c r="N189" s="524">
        <f t="shared" si="47"/>
        <v>798073</v>
      </c>
      <c r="O189" s="524">
        <f t="shared" si="47"/>
        <v>787908</v>
      </c>
      <c r="P189" s="524">
        <f t="shared" si="47"/>
        <v>850382</v>
      </c>
      <c r="Q189" s="524">
        <f t="shared" si="47"/>
        <v>810173</v>
      </c>
      <c r="R189" s="475"/>
    </row>
    <row r="190" spans="1:18" ht="23.25" customHeight="1">
      <c r="A190" s="526"/>
      <c r="B190" s="565" t="s">
        <v>219</v>
      </c>
      <c r="C190" s="522">
        <f>C181</f>
        <v>10998543</v>
      </c>
      <c r="D190" s="522">
        <f>D181</f>
        <v>10998543</v>
      </c>
      <c r="E190" s="522">
        <f>D190-F190</f>
        <v>2627063</v>
      </c>
      <c r="F190" s="527">
        <f t="shared" si="39"/>
        <v>8371480</v>
      </c>
      <c r="G190" s="527">
        <f>G189-G191</f>
        <v>918687</v>
      </c>
      <c r="H190" s="527">
        <f t="shared" ref="H190:Q190" si="48">H189-H191</f>
        <v>841844</v>
      </c>
      <c r="I190" s="527">
        <f t="shared" si="48"/>
        <v>498977</v>
      </c>
      <c r="J190" s="527">
        <f t="shared" si="48"/>
        <v>858921</v>
      </c>
      <c r="K190" s="527">
        <f t="shared" si="48"/>
        <v>1003696</v>
      </c>
      <c r="L190" s="527">
        <f t="shared" si="48"/>
        <v>500233</v>
      </c>
      <c r="M190" s="527">
        <f t="shared" si="48"/>
        <v>639526</v>
      </c>
      <c r="N190" s="527">
        <f t="shared" si="48"/>
        <v>748383</v>
      </c>
      <c r="O190" s="527">
        <f t="shared" si="48"/>
        <v>763458</v>
      </c>
      <c r="P190" s="527">
        <f t="shared" si="48"/>
        <v>829512</v>
      </c>
      <c r="Q190" s="527">
        <f t="shared" si="48"/>
        <v>768243</v>
      </c>
    </row>
    <row r="191" spans="1:18" ht="23.25" customHeight="1">
      <c r="A191" s="526"/>
      <c r="B191" s="554" t="s">
        <v>220</v>
      </c>
      <c r="C191" s="522">
        <f>C18</f>
        <v>2431600</v>
      </c>
      <c r="D191" s="522">
        <f>D18</f>
        <v>3269400</v>
      </c>
      <c r="E191" s="527">
        <f>E18</f>
        <v>2326810</v>
      </c>
      <c r="F191" s="527">
        <f t="shared" si="39"/>
        <v>942590</v>
      </c>
      <c r="G191" s="527">
        <f t="shared" ref="G191:Q191" si="49">G18</f>
        <v>170820</v>
      </c>
      <c r="H191" s="527">
        <f t="shared" si="49"/>
        <v>60360</v>
      </c>
      <c r="I191" s="527">
        <f t="shared" si="49"/>
        <v>317130</v>
      </c>
      <c r="J191" s="527">
        <f t="shared" si="49"/>
        <v>103590</v>
      </c>
      <c r="K191" s="527">
        <f t="shared" si="49"/>
        <v>52100</v>
      </c>
      <c r="L191" s="527">
        <f t="shared" si="49"/>
        <v>63640</v>
      </c>
      <c r="M191" s="527">
        <f t="shared" si="49"/>
        <v>38010</v>
      </c>
      <c r="N191" s="527">
        <f t="shared" si="49"/>
        <v>49690</v>
      </c>
      <c r="O191" s="527">
        <f t="shared" si="49"/>
        <v>24450</v>
      </c>
      <c r="P191" s="527">
        <f t="shared" si="49"/>
        <v>20870</v>
      </c>
      <c r="Q191" s="527">
        <f t="shared" si="49"/>
        <v>41930</v>
      </c>
      <c r="R191" s="475"/>
    </row>
    <row r="192" spans="1:18" s="457" customFormat="1" ht="23.25" customHeight="1">
      <c r="A192" s="525">
        <v>2</v>
      </c>
      <c r="B192" s="556" t="s">
        <v>215</v>
      </c>
      <c r="C192" s="517">
        <f>C152</f>
        <v>4389402</v>
      </c>
      <c r="D192" s="516">
        <f>C192</f>
        <v>4389402</v>
      </c>
      <c r="E192" s="524">
        <f>E152</f>
        <v>3309972</v>
      </c>
      <c r="F192" s="524">
        <f t="shared" si="39"/>
        <v>1079430</v>
      </c>
      <c r="G192" s="524">
        <f t="shared" ref="G192:Q192" si="50">G152</f>
        <v>129655</v>
      </c>
      <c r="H192" s="524">
        <f t="shared" si="50"/>
        <v>102889</v>
      </c>
      <c r="I192" s="524">
        <f t="shared" si="50"/>
        <v>20066</v>
      </c>
      <c r="J192" s="524">
        <f t="shared" si="50"/>
        <v>102041</v>
      </c>
      <c r="K192" s="524">
        <f t="shared" si="50"/>
        <v>90520</v>
      </c>
      <c r="L192" s="524">
        <f t="shared" si="50"/>
        <v>79564</v>
      </c>
      <c r="M192" s="524">
        <f t="shared" si="50"/>
        <v>74830</v>
      </c>
      <c r="N192" s="524">
        <f t="shared" si="50"/>
        <v>146048</v>
      </c>
      <c r="O192" s="524">
        <f t="shared" si="50"/>
        <v>109381</v>
      </c>
      <c r="P192" s="524">
        <f t="shared" si="50"/>
        <v>117971</v>
      </c>
      <c r="Q192" s="524">
        <f t="shared" si="50"/>
        <v>106465</v>
      </c>
    </row>
    <row r="193" spans="1:18" s="457" customFormat="1" ht="42.75" customHeight="1">
      <c r="A193" s="562">
        <v>3</v>
      </c>
      <c r="B193" s="561" t="s">
        <v>1116</v>
      </c>
      <c r="C193" s="516">
        <v>8792</v>
      </c>
      <c r="D193" s="516">
        <f>C193</f>
        <v>8792</v>
      </c>
      <c r="E193" s="524">
        <f>D193</f>
        <v>8792</v>
      </c>
      <c r="F193" s="524"/>
      <c r="G193" s="524"/>
      <c r="H193" s="524"/>
      <c r="I193" s="524"/>
      <c r="J193" s="524"/>
      <c r="K193" s="524"/>
      <c r="L193" s="524"/>
      <c r="M193" s="524"/>
      <c r="N193" s="524"/>
      <c r="O193" s="524"/>
      <c r="P193" s="524"/>
      <c r="Q193" s="524"/>
    </row>
    <row r="194" spans="1:18" s="457" customFormat="1" ht="23.25" customHeight="1">
      <c r="A194" s="514" t="s">
        <v>1392</v>
      </c>
      <c r="B194" s="556" t="s">
        <v>222</v>
      </c>
      <c r="C194" s="517">
        <v>25300</v>
      </c>
      <c r="D194" s="516">
        <f>C194</f>
        <v>25300</v>
      </c>
      <c r="E194" s="524">
        <f>D194</f>
        <v>25300</v>
      </c>
      <c r="F194" s="524"/>
      <c r="G194" s="524"/>
      <c r="H194" s="524"/>
      <c r="I194" s="524"/>
      <c r="J194" s="524"/>
      <c r="K194" s="524"/>
      <c r="L194" s="524"/>
      <c r="M194" s="524"/>
      <c r="N194" s="524"/>
      <c r="O194" s="524"/>
      <c r="P194" s="524"/>
      <c r="Q194" s="524"/>
    </row>
    <row r="195" spans="1:18" s="457" customFormat="1" ht="23.25" customHeight="1">
      <c r="A195" s="514" t="s">
        <v>223</v>
      </c>
      <c r="B195" s="556" t="s">
        <v>224</v>
      </c>
      <c r="C195" s="517">
        <v>10100</v>
      </c>
      <c r="D195" s="516">
        <f>C195</f>
        <v>10100</v>
      </c>
      <c r="E195" s="524">
        <f>D195</f>
        <v>10100</v>
      </c>
      <c r="F195" s="524"/>
      <c r="G195" s="524"/>
      <c r="H195" s="524"/>
      <c r="I195" s="524"/>
      <c r="J195" s="524"/>
      <c r="K195" s="524"/>
      <c r="L195" s="524"/>
      <c r="M195" s="524"/>
      <c r="N195" s="524"/>
      <c r="O195" s="524"/>
      <c r="P195" s="524"/>
      <c r="Q195" s="524"/>
    </row>
    <row r="196" spans="1:18" s="457" customFormat="1" ht="23.25" customHeight="1">
      <c r="A196" s="514" t="s">
        <v>1</v>
      </c>
      <c r="B196" s="556" t="s">
        <v>225</v>
      </c>
      <c r="C196" s="517">
        <v>35400</v>
      </c>
      <c r="D196" s="516">
        <f t="shared" ref="D196:E198" si="51">C196</f>
        <v>35400</v>
      </c>
      <c r="E196" s="524">
        <f t="shared" si="51"/>
        <v>35400</v>
      </c>
      <c r="F196" s="524"/>
      <c r="G196" s="524"/>
      <c r="H196" s="524"/>
      <c r="I196" s="524"/>
      <c r="J196" s="524"/>
      <c r="K196" s="524"/>
      <c r="L196" s="524"/>
      <c r="M196" s="524"/>
      <c r="N196" s="524"/>
      <c r="O196" s="524"/>
      <c r="P196" s="524"/>
      <c r="Q196" s="524"/>
    </row>
    <row r="197" spans="1:18" s="457" customFormat="1" ht="23.25" customHeight="1">
      <c r="A197" s="525">
        <v>1</v>
      </c>
      <c r="B197" s="566" t="s">
        <v>1091</v>
      </c>
      <c r="C197" s="517">
        <v>0</v>
      </c>
      <c r="D197" s="516">
        <f t="shared" si="51"/>
        <v>0</v>
      </c>
      <c r="E197" s="524">
        <f t="shared" si="51"/>
        <v>0</v>
      </c>
      <c r="F197" s="524"/>
      <c r="G197" s="524"/>
      <c r="H197" s="524"/>
      <c r="I197" s="524"/>
      <c r="J197" s="524"/>
      <c r="K197" s="524"/>
      <c r="L197" s="524"/>
      <c r="M197" s="524"/>
      <c r="N197" s="524"/>
      <c r="O197" s="524"/>
      <c r="P197" s="524"/>
      <c r="Q197" s="524"/>
    </row>
    <row r="198" spans="1:18" s="457" customFormat="1" ht="23.25" customHeight="1">
      <c r="A198" s="525">
        <v>2</v>
      </c>
      <c r="B198" s="566" t="s">
        <v>1092</v>
      </c>
      <c r="C198" s="517">
        <f>C196-C197</f>
        <v>35400</v>
      </c>
      <c r="D198" s="516">
        <f t="shared" si="51"/>
        <v>35400</v>
      </c>
      <c r="E198" s="524">
        <f t="shared" si="51"/>
        <v>35400</v>
      </c>
      <c r="F198" s="524"/>
      <c r="G198" s="524"/>
      <c r="H198" s="524"/>
      <c r="I198" s="524"/>
      <c r="J198" s="524"/>
      <c r="K198" s="524"/>
      <c r="L198" s="524"/>
      <c r="M198" s="524"/>
      <c r="N198" s="524"/>
      <c r="O198" s="524"/>
      <c r="P198" s="524"/>
      <c r="Q198" s="524"/>
    </row>
    <row r="199" spans="1:18" s="457" customFormat="1" ht="23.25" customHeight="1">
      <c r="A199" s="514" t="s">
        <v>226</v>
      </c>
      <c r="B199" s="556" t="s">
        <v>227</v>
      </c>
      <c r="C199" s="517">
        <f>163128+11751</f>
        <v>174879</v>
      </c>
      <c r="D199" s="516">
        <f>C199</f>
        <v>174879</v>
      </c>
      <c r="E199" s="524">
        <f>D199-F199</f>
        <v>94166</v>
      </c>
      <c r="F199" s="524">
        <f>SUM(G199:Q199)</f>
        <v>80713</v>
      </c>
      <c r="G199" s="524">
        <v>9083</v>
      </c>
      <c r="H199" s="524">
        <v>7602</v>
      </c>
      <c r="I199" s="524">
        <v>8350</v>
      </c>
      <c r="J199" s="524">
        <v>8425</v>
      </c>
      <c r="K199" s="524">
        <v>8922</v>
      </c>
      <c r="L199" s="524">
        <v>5270</v>
      </c>
      <c r="M199" s="524">
        <v>6018</v>
      </c>
      <c r="N199" s="524">
        <v>6770</v>
      </c>
      <c r="O199" s="524">
        <v>6467</v>
      </c>
      <c r="P199" s="524">
        <v>7112</v>
      </c>
      <c r="Q199" s="524">
        <f>7060-366</f>
        <v>6694</v>
      </c>
    </row>
    <row r="200" spans="1:18" s="457" customFormat="1" ht="52.5" customHeight="1">
      <c r="A200" s="514" t="s">
        <v>228</v>
      </c>
      <c r="B200" s="515" t="s">
        <v>274</v>
      </c>
      <c r="C200" s="517"/>
      <c r="D200" s="516">
        <f>E200+F200</f>
        <v>1403</v>
      </c>
      <c r="E200" s="524"/>
      <c r="F200" s="524">
        <f>SUM(G200:Q200)</f>
        <v>1403</v>
      </c>
      <c r="G200" s="524">
        <v>387</v>
      </c>
      <c r="H200" s="524">
        <v>1006</v>
      </c>
      <c r="I200" s="524"/>
      <c r="J200" s="524"/>
      <c r="K200" s="524"/>
      <c r="L200" s="524"/>
      <c r="M200" s="524"/>
      <c r="N200" s="524">
        <v>10</v>
      </c>
      <c r="O200" s="524"/>
      <c r="P200" s="524"/>
      <c r="Q200" s="524"/>
    </row>
    <row r="201" spans="1:18" ht="23.25" customHeight="1">
      <c r="A201" s="567" t="s">
        <v>229</v>
      </c>
      <c r="B201" s="568" t="s">
        <v>230</v>
      </c>
      <c r="C201" s="569"/>
      <c r="D201" s="570">
        <f>E201+F201</f>
        <v>12848</v>
      </c>
      <c r="E201" s="571">
        <v>12548</v>
      </c>
      <c r="F201" s="571">
        <f>SUM(G201:Q201)</f>
        <v>300</v>
      </c>
      <c r="G201" s="571"/>
      <c r="H201" s="571"/>
      <c r="I201" s="571"/>
      <c r="J201" s="571"/>
      <c r="K201" s="571">
        <v>300</v>
      </c>
      <c r="L201" s="571"/>
      <c r="M201" s="571"/>
      <c r="N201" s="571"/>
      <c r="O201" s="571"/>
      <c r="P201" s="571"/>
      <c r="Q201" s="571"/>
    </row>
    <row r="202" spans="1:18" hidden="1">
      <c r="A202" s="62"/>
      <c r="B202" s="63"/>
      <c r="C202" s="63"/>
      <c r="D202" s="63"/>
      <c r="E202" s="63"/>
      <c r="F202" s="64">
        <f t="shared" ref="F202:Q202" si="52">F181-F190</f>
        <v>0</v>
      </c>
      <c r="G202" s="64">
        <f t="shared" si="52"/>
        <v>0</v>
      </c>
      <c r="H202" s="64">
        <f t="shared" si="52"/>
        <v>0</v>
      </c>
      <c r="I202" s="64">
        <f t="shared" si="52"/>
        <v>0</v>
      </c>
      <c r="J202" s="64">
        <f t="shared" si="52"/>
        <v>0</v>
      </c>
      <c r="K202" s="64">
        <f t="shared" si="52"/>
        <v>0</v>
      </c>
      <c r="L202" s="64">
        <f t="shared" si="52"/>
        <v>0</v>
      </c>
      <c r="M202" s="64">
        <f t="shared" si="52"/>
        <v>0</v>
      </c>
      <c r="N202" s="64">
        <f t="shared" si="52"/>
        <v>0</v>
      </c>
      <c r="O202" s="64">
        <f t="shared" si="52"/>
        <v>0</v>
      </c>
      <c r="P202" s="64">
        <f t="shared" si="52"/>
        <v>0</v>
      </c>
      <c r="Q202" s="64">
        <f t="shared" si="52"/>
        <v>0</v>
      </c>
    </row>
    <row r="203" spans="1:18" hidden="1">
      <c r="A203" s="62"/>
      <c r="B203" s="63"/>
      <c r="C203" s="63"/>
      <c r="D203" s="63"/>
      <c r="E203" s="63"/>
      <c r="F203" s="64"/>
      <c r="G203" s="64"/>
      <c r="H203" s="64"/>
      <c r="I203" s="64"/>
      <c r="J203" s="64"/>
      <c r="K203" s="64"/>
      <c r="L203" s="64"/>
      <c r="M203" s="64"/>
      <c r="N203" s="64"/>
      <c r="O203" s="64"/>
      <c r="P203" s="64"/>
      <c r="Q203" s="64"/>
      <c r="R203" s="64"/>
    </row>
    <row r="204" spans="1:18" hidden="1">
      <c r="B204" s="473"/>
      <c r="C204" s="473"/>
      <c r="E204" s="65"/>
      <c r="G204" s="473">
        <f>G182+G183+G185</f>
        <v>695819</v>
      </c>
      <c r="H204" s="473">
        <f t="shared" ref="H204:Q204" si="53">H182+H183+H185</f>
        <v>631082</v>
      </c>
      <c r="I204" s="473">
        <f t="shared" si="53"/>
        <v>379912</v>
      </c>
      <c r="J204" s="473">
        <f t="shared" si="53"/>
        <v>657889</v>
      </c>
      <c r="K204" s="473">
        <f t="shared" si="53"/>
        <v>769072</v>
      </c>
      <c r="L204" s="473">
        <f t="shared" si="53"/>
        <v>397921</v>
      </c>
      <c r="M204" s="473">
        <f t="shared" si="53"/>
        <v>502272</v>
      </c>
      <c r="N204" s="473">
        <f t="shared" si="53"/>
        <v>582654</v>
      </c>
      <c r="O204" s="473">
        <f t="shared" si="53"/>
        <v>597406</v>
      </c>
      <c r="P204" s="473">
        <f t="shared" si="53"/>
        <v>643908</v>
      </c>
      <c r="Q204" s="473">
        <f t="shared" si="53"/>
        <v>592641</v>
      </c>
      <c r="R204" s="473"/>
    </row>
    <row r="205" spans="1:18" hidden="1">
      <c r="B205" s="473"/>
      <c r="C205" s="473"/>
      <c r="E205" s="65"/>
      <c r="G205" s="473">
        <f>G44+G95+G96+G98+G114</f>
        <v>571794</v>
      </c>
      <c r="H205" s="473">
        <f t="shared" ref="H205:Q205" si="54">H44+H95+H96+H98+H114</f>
        <v>494997</v>
      </c>
      <c r="I205" s="473">
        <f t="shared" si="54"/>
        <v>338184</v>
      </c>
      <c r="J205" s="473">
        <f t="shared" si="54"/>
        <v>482315</v>
      </c>
      <c r="K205" s="473">
        <f t="shared" si="54"/>
        <v>588221</v>
      </c>
      <c r="L205" s="473">
        <f t="shared" si="54"/>
        <v>259887</v>
      </c>
      <c r="M205" s="473">
        <f t="shared" si="54"/>
        <v>317974</v>
      </c>
      <c r="N205" s="473">
        <f t="shared" si="54"/>
        <v>378208</v>
      </c>
      <c r="O205" s="473">
        <f t="shared" si="54"/>
        <v>389356</v>
      </c>
      <c r="P205" s="473">
        <f t="shared" si="54"/>
        <v>452116</v>
      </c>
      <c r="Q205" s="473">
        <f t="shared" si="54"/>
        <v>415373</v>
      </c>
    </row>
    <row r="206" spans="1:18" hidden="1">
      <c r="B206" s="473"/>
      <c r="C206" s="455">
        <f t="shared" ref="C206:D206" si="55">C150/C20%</f>
        <v>1.9962441237842328</v>
      </c>
      <c r="D206" s="455">
        <f t="shared" si="55"/>
        <v>1.8793059868752942</v>
      </c>
      <c r="E206" s="455">
        <f>E150/E20%</f>
        <v>1.6539610843299821</v>
      </c>
    </row>
    <row r="207" spans="1:18">
      <c r="B207" s="473"/>
      <c r="C207" s="473"/>
    </row>
    <row r="209" spans="4:17">
      <c r="F209" s="65"/>
    </row>
    <row r="210" spans="4:17">
      <c r="F210" s="65"/>
      <c r="G210" s="473"/>
      <c r="H210" s="473"/>
      <c r="I210" s="473"/>
      <c r="J210" s="473"/>
      <c r="K210" s="473"/>
      <c r="L210" s="473"/>
      <c r="M210" s="473"/>
      <c r="N210" s="473"/>
      <c r="O210" s="473"/>
      <c r="P210" s="473"/>
      <c r="Q210" s="473"/>
    </row>
    <row r="211" spans="4:17">
      <c r="F211" s="65"/>
      <c r="G211" s="473"/>
      <c r="H211" s="473"/>
      <c r="I211" s="473"/>
      <c r="J211" s="473"/>
      <c r="K211" s="473"/>
      <c r="L211" s="473"/>
      <c r="M211" s="473"/>
      <c r="N211" s="473"/>
      <c r="O211" s="473"/>
      <c r="P211" s="473"/>
      <c r="Q211" s="473"/>
    </row>
    <row r="212" spans="4:17">
      <c r="E212" s="473"/>
    </row>
    <row r="214" spans="4:17">
      <c r="D214" s="467"/>
      <c r="E214" s="473"/>
      <c r="F214" s="473"/>
    </row>
  </sheetData>
  <mergeCells count="10">
    <mergeCell ref="A1:Q1"/>
    <mergeCell ref="A2:Q2"/>
    <mergeCell ref="A3:B3"/>
    <mergeCell ref="N3:Q3"/>
    <mergeCell ref="A4:A7"/>
    <mergeCell ref="B4:B7"/>
    <mergeCell ref="E4:Q4"/>
    <mergeCell ref="G5:Q5"/>
    <mergeCell ref="C4:C7"/>
    <mergeCell ref="D4:D7"/>
  </mergeCells>
  <printOptions horizontalCentered="1"/>
  <pageMargins left="0.59055118110236227" right="0.19685039370078741" top="0.59055118110236227" bottom="0.59055118110236227" header="0.31496062992125984" footer="0.31496062992125984"/>
  <pageSetup paperSize="9" scale="50" orientation="landscape" r:id="rId1"/>
  <headerFooter>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256"/>
  <sheetViews>
    <sheetView zoomScale="66" zoomScaleNormal="66" workbookViewId="0">
      <selection sqref="A1:IV1"/>
    </sheetView>
  </sheetViews>
  <sheetFormatPr defaultColWidth="9.125" defaultRowHeight="15.75"/>
  <cols>
    <col min="1" max="1" width="8" style="397" customWidth="1"/>
    <col min="2" max="2" width="44.125" style="398" customWidth="1"/>
    <col min="3" max="3" width="13.875" style="399" customWidth="1"/>
    <col min="4" max="4" width="11.375" style="399" customWidth="1"/>
    <col min="5" max="5" width="15" style="400" customWidth="1"/>
    <col min="6" max="6" width="15.875" style="400" customWidth="1"/>
    <col min="7" max="7" width="15.125" style="400" customWidth="1"/>
    <col min="8" max="8" width="15" style="400" customWidth="1"/>
    <col min="9" max="9" width="15.125" style="401" customWidth="1"/>
    <col min="10" max="10" width="14.125" style="400" customWidth="1"/>
    <col min="11" max="11" width="15.125" style="400" customWidth="1"/>
    <col min="12" max="13" width="18.875" style="400" customWidth="1"/>
    <col min="14" max="14" width="112.125" style="402" customWidth="1"/>
    <col min="15" max="15" width="24.125" style="57" hidden="1" customWidth="1"/>
    <col min="16" max="16" width="9.125" style="57" hidden="1" customWidth="1"/>
    <col min="17" max="17" width="26" style="57" hidden="1" customWidth="1"/>
    <col min="18" max="18" width="2.625" style="57" hidden="1" customWidth="1"/>
    <col min="19" max="19" width="0" style="57" hidden="1" customWidth="1"/>
    <col min="20" max="20" width="17.125" style="57" customWidth="1"/>
    <col min="21" max="16384" width="9.125" style="57"/>
  </cols>
  <sheetData>
    <row r="1" spans="1:20" s="218" customFormat="1" ht="39" customHeight="1">
      <c r="A1" s="989" t="s">
        <v>520</v>
      </c>
      <c r="B1" s="989"/>
      <c r="C1" s="989"/>
      <c r="D1" s="989"/>
      <c r="E1" s="989"/>
      <c r="F1" s="989"/>
      <c r="G1" s="989"/>
      <c r="H1" s="989"/>
      <c r="I1" s="989"/>
      <c r="J1" s="989"/>
      <c r="K1" s="989"/>
      <c r="L1" s="989"/>
      <c r="M1" s="989"/>
      <c r="N1" s="989"/>
    </row>
    <row r="2" spans="1:20" s="218" customFormat="1" ht="24.75" customHeight="1">
      <c r="A2" s="990" t="str">
        <f>'B2'!A2:Q2</f>
        <v>(Kèm theo Quyết định số: 2255/QĐ-UBND ngày 15 tháng 12 năm 2024 của UBND tỉnh Lạng Sơn)</v>
      </c>
      <c r="B2" s="990"/>
      <c r="C2" s="990"/>
      <c r="D2" s="990"/>
      <c r="E2" s="990"/>
      <c r="F2" s="990"/>
      <c r="G2" s="990"/>
      <c r="H2" s="990"/>
      <c r="I2" s="990"/>
      <c r="J2" s="990"/>
      <c r="K2" s="990"/>
      <c r="L2" s="990"/>
      <c r="M2" s="990"/>
      <c r="N2" s="990"/>
    </row>
    <row r="3" spans="1:20" s="218" customFormat="1" ht="22.5" customHeight="1">
      <c r="A3" s="271"/>
      <c r="B3" s="272"/>
      <c r="C3" s="273"/>
      <c r="D3" s="273"/>
      <c r="E3" s="274"/>
      <c r="F3" s="274"/>
      <c r="G3" s="274"/>
      <c r="H3" s="274"/>
      <c r="I3" s="275"/>
      <c r="J3" s="274"/>
      <c r="K3" s="274"/>
      <c r="L3" s="276"/>
      <c r="M3" s="276"/>
      <c r="N3" s="408" t="s">
        <v>1084</v>
      </c>
    </row>
    <row r="4" spans="1:20" s="211" customFormat="1" ht="51" customHeight="1">
      <c r="A4" s="997" t="s">
        <v>519</v>
      </c>
      <c r="B4" s="999" t="s">
        <v>518</v>
      </c>
      <c r="C4" s="1002" t="s">
        <v>517</v>
      </c>
      <c r="D4" s="1002" t="s">
        <v>516</v>
      </c>
      <c r="E4" s="1004" t="s">
        <v>515</v>
      </c>
      <c r="F4" s="1004" t="s">
        <v>514</v>
      </c>
      <c r="G4" s="1009" t="s">
        <v>513</v>
      </c>
      <c r="H4" s="1010"/>
      <c r="I4" s="1010"/>
      <c r="J4" s="1010"/>
      <c r="K4" s="1019" t="s">
        <v>512</v>
      </c>
      <c r="L4" s="1022" t="s">
        <v>910</v>
      </c>
      <c r="M4" s="1025" t="s">
        <v>511</v>
      </c>
      <c r="N4" s="1011" t="s">
        <v>885</v>
      </c>
    </row>
    <row r="5" spans="1:20" s="211" customFormat="1" ht="71.25" customHeight="1">
      <c r="A5" s="998"/>
      <c r="B5" s="1000"/>
      <c r="C5" s="1003"/>
      <c r="D5" s="1003"/>
      <c r="E5" s="1005"/>
      <c r="F5" s="1007"/>
      <c r="G5" s="1014" t="s">
        <v>510</v>
      </c>
      <c r="H5" s="1004" t="s">
        <v>909</v>
      </c>
      <c r="I5" s="1017" t="s">
        <v>509</v>
      </c>
      <c r="J5" s="1004" t="s">
        <v>508</v>
      </c>
      <c r="K5" s="1020"/>
      <c r="L5" s="1023"/>
      <c r="M5" s="1025"/>
      <c r="N5" s="1012"/>
    </row>
    <row r="6" spans="1:20" s="211" customFormat="1" ht="69.75" customHeight="1">
      <c r="A6" s="998"/>
      <c r="B6" s="1001"/>
      <c r="C6" s="1003"/>
      <c r="D6" s="1003"/>
      <c r="E6" s="1006"/>
      <c r="F6" s="1008"/>
      <c r="G6" s="1014"/>
      <c r="H6" s="1015"/>
      <c r="I6" s="1018"/>
      <c r="J6" s="1015"/>
      <c r="K6" s="1021"/>
      <c r="L6" s="1024"/>
      <c r="M6" s="1025"/>
      <c r="N6" s="1013"/>
    </row>
    <row r="7" spans="1:20" s="285" customFormat="1" ht="21.75" customHeight="1">
      <c r="A7" s="277" t="s">
        <v>27</v>
      </c>
      <c r="B7" s="277" t="s">
        <v>28</v>
      </c>
      <c r="C7" s="278">
        <v>1</v>
      </c>
      <c r="D7" s="278">
        <v>2</v>
      </c>
      <c r="E7" s="279" t="s">
        <v>507</v>
      </c>
      <c r="F7" s="279" t="s">
        <v>506</v>
      </c>
      <c r="G7" s="280" t="s">
        <v>505</v>
      </c>
      <c r="H7" s="279" t="s">
        <v>504</v>
      </c>
      <c r="I7" s="281" t="s">
        <v>503</v>
      </c>
      <c r="J7" s="279" t="s">
        <v>502</v>
      </c>
      <c r="K7" s="279" t="s">
        <v>501</v>
      </c>
      <c r="L7" s="279" t="s">
        <v>500</v>
      </c>
      <c r="M7" s="282" t="s">
        <v>499</v>
      </c>
      <c r="N7" s="283">
        <v>11</v>
      </c>
      <c r="O7" s="284">
        <v>0</v>
      </c>
    </row>
    <row r="8" spans="1:20" s="292" customFormat="1" ht="34.5" customHeight="1">
      <c r="A8" s="286"/>
      <c r="B8" s="287" t="s">
        <v>498</v>
      </c>
      <c r="C8" s="288">
        <f t="shared" ref="C8:M8" si="0">C9+C220+C229+C243+C254</f>
        <v>5022</v>
      </c>
      <c r="D8" s="288">
        <f t="shared" si="0"/>
        <v>436</v>
      </c>
      <c r="E8" s="289">
        <f t="shared" si="0"/>
        <v>22587</v>
      </c>
      <c r="F8" s="289">
        <f t="shared" si="0"/>
        <v>898141.1800000004</v>
      </c>
      <c r="G8" s="289">
        <f t="shared" si="0"/>
        <v>33295.58</v>
      </c>
      <c r="H8" s="289">
        <f t="shared" si="0"/>
        <v>13954.379999999997</v>
      </c>
      <c r="I8" s="289">
        <f t="shared" si="0"/>
        <v>4453.5599999999995</v>
      </c>
      <c r="J8" s="289">
        <f t="shared" si="0"/>
        <v>14887.640000000001</v>
      </c>
      <c r="K8" s="289">
        <f t="shared" si="0"/>
        <v>10332</v>
      </c>
      <c r="L8" s="289">
        <f t="shared" si="0"/>
        <v>636788.4</v>
      </c>
      <c r="M8" s="289">
        <f t="shared" si="0"/>
        <v>1491302</v>
      </c>
      <c r="N8" s="290"/>
      <c r="O8" s="291">
        <f>F8+L8-G8-K8-M8</f>
        <v>0</v>
      </c>
      <c r="Q8" s="293">
        <f>F8+L8-G8-K8</f>
        <v>1491302.0000000005</v>
      </c>
      <c r="R8" s="294">
        <v>0</v>
      </c>
      <c r="T8" s="291"/>
    </row>
    <row r="9" spans="1:20" s="300" customFormat="1" ht="34.5" customHeight="1">
      <c r="A9" s="295" t="s">
        <v>27</v>
      </c>
      <c r="B9" s="296" t="s">
        <v>497</v>
      </c>
      <c r="C9" s="297">
        <f t="shared" ref="C9:M9" si="1">C10+C16+C51</f>
        <v>4804</v>
      </c>
      <c r="D9" s="297">
        <f t="shared" si="1"/>
        <v>436</v>
      </c>
      <c r="E9" s="298">
        <f t="shared" si="1"/>
        <v>22587</v>
      </c>
      <c r="F9" s="298">
        <f t="shared" si="1"/>
        <v>822119.50000000035</v>
      </c>
      <c r="G9" s="298">
        <f t="shared" si="1"/>
        <v>31821.4</v>
      </c>
      <c r="H9" s="298">
        <f t="shared" si="1"/>
        <v>13231.299999999997</v>
      </c>
      <c r="I9" s="298">
        <f t="shared" si="1"/>
        <v>4453.5599999999995</v>
      </c>
      <c r="J9" s="298">
        <f t="shared" si="1"/>
        <v>14136.54</v>
      </c>
      <c r="K9" s="298">
        <f t="shared" si="1"/>
        <v>9659.5</v>
      </c>
      <c r="L9" s="298">
        <f t="shared" si="1"/>
        <v>531691.4</v>
      </c>
      <c r="M9" s="298">
        <f t="shared" si="1"/>
        <v>1312330</v>
      </c>
      <c r="N9" s="299"/>
      <c r="O9" s="291">
        <f>G9-H9-I9-J9</f>
        <v>0</v>
      </c>
    </row>
    <row r="10" spans="1:20" s="300" customFormat="1" ht="32.25" customHeight="1">
      <c r="A10" s="295" t="s">
        <v>1</v>
      </c>
      <c r="B10" s="296" t="s">
        <v>496</v>
      </c>
      <c r="C10" s="297">
        <f t="shared" ref="C10:M10" si="2">C11</f>
        <v>196</v>
      </c>
      <c r="D10" s="297">
        <f t="shared" si="2"/>
        <v>27</v>
      </c>
      <c r="E10" s="298">
        <f t="shared" si="2"/>
        <v>0</v>
      </c>
      <c r="F10" s="298">
        <f t="shared" si="2"/>
        <v>38724.6</v>
      </c>
      <c r="G10" s="298">
        <f t="shared" si="2"/>
        <v>1654.2</v>
      </c>
      <c r="H10" s="298">
        <f t="shared" si="2"/>
        <v>784</v>
      </c>
      <c r="I10" s="298">
        <f t="shared" si="2"/>
        <v>705.60000000000014</v>
      </c>
      <c r="J10" s="298">
        <f t="shared" si="2"/>
        <v>164.6</v>
      </c>
      <c r="K10" s="298">
        <f t="shared" si="2"/>
        <v>130</v>
      </c>
      <c r="L10" s="298">
        <f t="shared" si="2"/>
        <v>72963</v>
      </c>
      <c r="M10" s="298">
        <f t="shared" si="2"/>
        <v>109903.40000000001</v>
      </c>
      <c r="N10" s="301"/>
      <c r="O10" s="291">
        <f>G10-H10-I10-J10</f>
        <v>0</v>
      </c>
    </row>
    <row r="11" spans="1:20" s="300" customFormat="1" ht="37.5" customHeight="1">
      <c r="A11" s="295">
        <v>1</v>
      </c>
      <c r="B11" s="296" t="s">
        <v>495</v>
      </c>
      <c r="C11" s="297">
        <f t="shared" ref="C11:M11" si="3">SUM(C12:C15)</f>
        <v>196</v>
      </c>
      <c r="D11" s="297">
        <f t="shared" si="3"/>
        <v>27</v>
      </c>
      <c r="E11" s="298">
        <f t="shared" si="3"/>
        <v>0</v>
      </c>
      <c r="F11" s="298">
        <f t="shared" si="3"/>
        <v>38724.6</v>
      </c>
      <c r="G11" s="298">
        <f t="shared" si="3"/>
        <v>1654.2</v>
      </c>
      <c r="H11" s="298">
        <f t="shared" si="3"/>
        <v>784</v>
      </c>
      <c r="I11" s="298">
        <f t="shared" si="3"/>
        <v>705.60000000000014</v>
      </c>
      <c r="J11" s="298">
        <f t="shared" si="3"/>
        <v>164.6</v>
      </c>
      <c r="K11" s="298">
        <f t="shared" si="3"/>
        <v>130</v>
      </c>
      <c r="L11" s="298">
        <f t="shared" si="3"/>
        <v>72963</v>
      </c>
      <c r="M11" s="298">
        <f t="shared" si="3"/>
        <v>109903.40000000001</v>
      </c>
      <c r="N11" s="302"/>
      <c r="O11" s="303">
        <f>G11-H11-I11-J11</f>
        <v>0</v>
      </c>
    </row>
    <row r="12" spans="1:20" s="300" customFormat="1" ht="193.5" customHeight="1">
      <c r="A12" s="304" t="s">
        <v>119</v>
      </c>
      <c r="B12" s="305" t="s">
        <v>494</v>
      </c>
      <c r="C12" s="306">
        <v>196</v>
      </c>
      <c r="D12" s="306">
        <v>27</v>
      </c>
      <c r="E12" s="307">
        <v>0</v>
      </c>
      <c r="F12" s="307">
        <v>38724.6</v>
      </c>
      <c r="G12" s="307">
        <f>SUM(H12:J12)</f>
        <v>1654.2</v>
      </c>
      <c r="H12" s="307">
        <v>784</v>
      </c>
      <c r="I12" s="307">
        <v>705.60000000000014</v>
      </c>
      <c r="J12" s="307">
        <v>164.6</v>
      </c>
      <c r="K12" s="307">
        <v>130</v>
      </c>
      <c r="L12" s="307">
        <v>44192</v>
      </c>
      <c r="M12" s="307">
        <f>F12+L12-G12-K12</f>
        <v>81132.400000000009</v>
      </c>
      <c r="N12" s="308" t="s">
        <v>886</v>
      </c>
      <c r="O12" s="291">
        <f>3058+400+675+588+7424+1306+610+9732+4455+702+1207+1158+3377+6500+3000</f>
        <v>44192</v>
      </c>
    </row>
    <row r="13" spans="1:20" s="300" customFormat="1" ht="66" customHeight="1">
      <c r="A13" s="304" t="s">
        <v>122</v>
      </c>
      <c r="B13" s="305" t="s">
        <v>335</v>
      </c>
      <c r="C13" s="309"/>
      <c r="D13" s="309"/>
      <c r="E13" s="298"/>
      <c r="F13" s="298"/>
      <c r="G13" s="298"/>
      <c r="H13" s="298"/>
      <c r="I13" s="298"/>
      <c r="J13" s="298"/>
      <c r="K13" s="298"/>
      <c r="L13" s="307">
        <v>20000</v>
      </c>
      <c r="M13" s="307">
        <f>F13+L13-G13-K13</f>
        <v>20000</v>
      </c>
      <c r="N13" s="302" t="s">
        <v>493</v>
      </c>
      <c r="O13" s="303"/>
    </row>
    <row r="14" spans="1:20" s="300" customFormat="1" ht="57" customHeight="1">
      <c r="A14" s="304" t="s">
        <v>124</v>
      </c>
      <c r="B14" s="310" t="s">
        <v>358</v>
      </c>
      <c r="C14" s="311"/>
      <c r="D14" s="311"/>
      <c r="E14" s="307"/>
      <c r="F14" s="307"/>
      <c r="G14" s="307"/>
      <c r="H14" s="307"/>
      <c r="I14" s="307"/>
      <c r="J14" s="307"/>
      <c r="K14" s="307"/>
      <c r="L14" s="307">
        <v>8500</v>
      </c>
      <c r="M14" s="307">
        <f>F14+L14-G14-K14</f>
        <v>8500</v>
      </c>
      <c r="N14" s="308" t="s">
        <v>492</v>
      </c>
    </row>
    <row r="15" spans="1:20" s="300" customFormat="1" ht="47.25" customHeight="1">
      <c r="A15" s="304" t="s">
        <v>126</v>
      </c>
      <c r="B15" s="310" t="s">
        <v>491</v>
      </c>
      <c r="C15" s="311"/>
      <c r="D15" s="311"/>
      <c r="E15" s="307"/>
      <c r="F15" s="307"/>
      <c r="G15" s="307"/>
      <c r="H15" s="307"/>
      <c r="I15" s="307"/>
      <c r="J15" s="307"/>
      <c r="K15" s="307"/>
      <c r="L15" s="307">
        <v>271</v>
      </c>
      <c r="M15" s="307">
        <f>F15+L15-G15-K15</f>
        <v>271</v>
      </c>
      <c r="N15" s="308" t="s">
        <v>490</v>
      </c>
    </row>
    <row r="16" spans="1:20" s="300" customFormat="1" ht="52.5" customHeight="1">
      <c r="A16" s="295" t="s">
        <v>2</v>
      </c>
      <c r="B16" s="296" t="s">
        <v>489</v>
      </c>
      <c r="C16" s="297">
        <f>C17+C26+C36</f>
        <v>158</v>
      </c>
      <c r="D16" s="297">
        <f t="shared" ref="D16:M16" si="4">D17+D26+D36</f>
        <v>22</v>
      </c>
      <c r="E16" s="298">
        <f t="shared" si="4"/>
        <v>0</v>
      </c>
      <c r="F16" s="298">
        <f t="shared" si="4"/>
        <v>25101.86</v>
      </c>
      <c r="G16" s="298">
        <f t="shared" si="4"/>
        <v>974.86</v>
      </c>
      <c r="H16" s="298">
        <f t="shared" si="4"/>
        <v>492.4</v>
      </c>
      <c r="I16" s="298">
        <f t="shared" si="4"/>
        <v>422.46</v>
      </c>
      <c r="J16" s="298">
        <f t="shared" si="4"/>
        <v>60</v>
      </c>
      <c r="K16" s="298">
        <f t="shared" si="4"/>
        <v>10</v>
      </c>
      <c r="L16" s="298">
        <f t="shared" si="4"/>
        <v>14902.5</v>
      </c>
      <c r="M16" s="298">
        <f t="shared" si="4"/>
        <v>39019.5</v>
      </c>
      <c r="N16" s="312"/>
      <c r="O16" s="291">
        <f>G16-H16-I16-J16</f>
        <v>5.6843418860808015E-14</v>
      </c>
    </row>
    <row r="17" spans="1:15" s="300" customFormat="1" ht="48" customHeight="1">
      <c r="A17" s="295">
        <v>1</v>
      </c>
      <c r="B17" s="296" t="s">
        <v>812</v>
      </c>
      <c r="C17" s="297">
        <f t="shared" ref="C17:M17" si="5">C18+C19+C20+C23+C25</f>
        <v>108</v>
      </c>
      <c r="D17" s="297">
        <f t="shared" si="5"/>
        <v>12</v>
      </c>
      <c r="E17" s="298">
        <f t="shared" si="5"/>
        <v>0</v>
      </c>
      <c r="F17" s="298">
        <f t="shared" si="5"/>
        <v>17788.36</v>
      </c>
      <c r="G17" s="298">
        <f t="shared" si="5"/>
        <v>756.36</v>
      </c>
      <c r="H17" s="298">
        <f t="shared" si="5"/>
        <v>377.4</v>
      </c>
      <c r="I17" s="298">
        <f t="shared" si="5"/>
        <v>318.95999999999998</v>
      </c>
      <c r="J17" s="298">
        <f t="shared" si="5"/>
        <v>60</v>
      </c>
      <c r="K17" s="298">
        <f t="shared" si="5"/>
        <v>10</v>
      </c>
      <c r="L17" s="298">
        <f t="shared" si="5"/>
        <v>7854</v>
      </c>
      <c r="M17" s="298">
        <f t="shared" si="5"/>
        <v>24876</v>
      </c>
      <c r="N17" s="312"/>
      <c r="O17" s="291">
        <f>F17+L17-G17-K17-M17</f>
        <v>0</v>
      </c>
    </row>
    <row r="18" spans="1:15" s="292" customFormat="1" ht="282.75" customHeight="1">
      <c r="A18" s="313" t="s">
        <v>119</v>
      </c>
      <c r="B18" s="314" t="s">
        <v>813</v>
      </c>
      <c r="C18" s="311">
        <v>22</v>
      </c>
      <c r="D18" s="311">
        <v>3</v>
      </c>
      <c r="E18" s="307">
        <v>0</v>
      </c>
      <c r="F18" s="307">
        <v>4254.42</v>
      </c>
      <c r="G18" s="307">
        <f>SUM(H18:J18)</f>
        <v>149.72000000000003</v>
      </c>
      <c r="H18" s="307">
        <v>78.800000000000011</v>
      </c>
      <c r="I18" s="307">
        <v>70.92</v>
      </c>
      <c r="J18" s="307">
        <v>0</v>
      </c>
      <c r="K18" s="307">
        <v>0</v>
      </c>
      <c r="L18" s="307">
        <v>2332</v>
      </c>
      <c r="M18" s="307">
        <f>F18+L18-G18-K18</f>
        <v>6436.7</v>
      </c>
      <c r="N18" s="308" t="s">
        <v>887</v>
      </c>
      <c r="O18" s="291">
        <f>278+36+100+50+60+152+91+50+220+50+150+250+80+500+150+100+15</f>
        <v>2332</v>
      </c>
    </row>
    <row r="19" spans="1:15" s="292" customFormat="1" ht="294.75" customHeight="1">
      <c r="A19" s="313" t="s">
        <v>122</v>
      </c>
      <c r="B19" s="314" t="s">
        <v>271</v>
      </c>
      <c r="C19" s="311">
        <v>20</v>
      </c>
      <c r="D19" s="311">
        <v>3</v>
      </c>
      <c r="E19" s="307">
        <v>0</v>
      </c>
      <c r="F19" s="307">
        <v>3700.06</v>
      </c>
      <c r="G19" s="307">
        <f>SUM(H19:J19)</f>
        <v>143.26</v>
      </c>
      <c r="H19" s="307">
        <v>75.400000000000006</v>
      </c>
      <c r="I19" s="307">
        <v>67.86</v>
      </c>
      <c r="J19" s="307">
        <v>0</v>
      </c>
      <c r="K19" s="307">
        <v>0</v>
      </c>
      <c r="L19" s="307">
        <v>1045</v>
      </c>
      <c r="M19" s="307">
        <f>F19+L19-G19-K19</f>
        <v>4601.7999999999993</v>
      </c>
      <c r="N19" s="308" t="s">
        <v>810</v>
      </c>
      <c r="O19" s="291">
        <f>316+25+20+50+50+130+200+15+67+50+50+37+35</f>
        <v>1045</v>
      </c>
    </row>
    <row r="20" spans="1:15" s="292" customFormat="1" ht="54.75" customHeight="1">
      <c r="A20" s="313" t="s">
        <v>124</v>
      </c>
      <c r="B20" s="314" t="s">
        <v>488</v>
      </c>
      <c r="C20" s="315">
        <f t="shared" ref="C20:M20" si="6">C21+C22</f>
        <v>37</v>
      </c>
      <c r="D20" s="315">
        <f t="shared" si="6"/>
        <v>3</v>
      </c>
      <c r="E20" s="307">
        <f t="shared" si="6"/>
        <v>0</v>
      </c>
      <c r="F20" s="307">
        <f t="shared" si="6"/>
        <v>4889.72</v>
      </c>
      <c r="G20" s="307">
        <f t="shared" si="6"/>
        <v>265.02000000000004</v>
      </c>
      <c r="H20" s="307">
        <f t="shared" si="6"/>
        <v>118.80000000000001</v>
      </c>
      <c r="I20" s="307">
        <f t="shared" si="6"/>
        <v>86.220000000000013</v>
      </c>
      <c r="J20" s="307">
        <f t="shared" si="6"/>
        <v>60</v>
      </c>
      <c r="K20" s="307">
        <f t="shared" si="6"/>
        <v>10</v>
      </c>
      <c r="L20" s="307">
        <f t="shared" si="6"/>
        <v>2665</v>
      </c>
      <c r="M20" s="307">
        <f t="shared" si="6"/>
        <v>7279.7</v>
      </c>
      <c r="N20" s="316"/>
      <c r="O20" s="291">
        <f>G20-H20-I20-J20</f>
        <v>0</v>
      </c>
    </row>
    <row r="21" spans="1:15" s="292" customFormat="1" ht="291.75" customHeight="1">
      <c r="A21" s="313" t="s">
        <v>299</v>
      </c>
      <c r="B21" s="314" t="s">
        <v>488</v>
      </c>
      <c r="C21" s="311">
        <v>27</v>
      </c>
      <c r="D21" s="311">
        <v>3</v>
      </c>
      <c r="E21" s="307">
        <v>0</v>
      </c>
      <c r="F21" s="307">
        <v>3654.02</v>
      </c>
      <c r="G21" s="307">
        <f>SUM(H21:J21)</f>
        <v>182.02000000000004</v>
      </c>
      <c r="H21" s="307">
        <v>95.800000000000011</v>
      </c>
      <c r="I21" s="307">
        <v>86.220000000000013</v>
      </c>
      <c r="J21" s="307">
        <v>0</v>
      </c>
      <c r="K21" s="307">
        <v>0</v>
      </c>
      <c r="L21" s="307">
        <v>2073</v>
      </c>
      <c r="M21" s="307">
        <f>F21+L21-G21-K21</f>
        <v>5545</v>
      </c>
      <c r="N21" s="316" t="s">
        <v>888</v>
      </c>
      <c r="O21" s="292">
        <f>336+32+50+100+86+100+14+700+500+70+70+15</f>
        <v>2073</v>
      </c>
    </row>
    <row r="22" spans="1:15" s="292" customFormat="1" ht="219.75" customHeight="1">
      <c r="A22" s="313" t="s">
        <v>297</v>
      </c>
      <c r="B22" s="314" t="s">
        <v>487</v>
      </c>
      <c r="C22" s="311">
        <v>10</v>
      </c>
      <c r="D22" s="311">
        <v>0</v>
      </c>
      <c r="E22" s="307">
        <v>0</v>
      </c>
      <c r="F22" s="307">
        <v>1235.7</v>
      </c>
      <c r="G22" s="307">
        <f>SUM(H22:J22)</f>
        <v>83</v>
      </c>
      <c r="H22" s="307">
        <v>23</v>
      </c>
      <c r="I22" s="307">
        <v>0</v>
      </c>
      <c r="J22" s="307">
        <v>60</v>
      </c>
      <c r="K22" s="307">
        <v>10</v>
      </c>
      <c r="L22" s="307">
        <v>592</v>
      </c>
      <c r="M22" s="307">
        <f>F22+L22-G22-K22</f>
        <v>1734.7</v>
      </c>
      <c r="N22" s="308" t="s">
        <v>889</v>
      </c>
      <c r="O22" s="292">
        <f>12+90+110+110+70+50+60+90</f>
        <v>592</v>
      </c>
    </row>
    <row r="23" spans="1:15" s="292" customFormat="1" ht="62.25" customHeight="1">
      <c r="A23" s="1028" t="s">
        <v>126</v>
      </c>
      <c r="B23" s="1029" t="s">
        <v>814</v>
      </c>
      <c r="C23" s="1030">
        <v>17</v>
      </c>
      <c r="D23" s="1030">
        <v>3</v>
      </c>
      <c r="E23" s="1016">
        <v>0</v>
      </c>
      <c r="F23" s="1016">
        <v>3159.08</v>
      </c>
      <c r="G23" s="1016">
        <f>SUM(H23:J23)</f>
        <v>116.28</v>
      </c>
      <c r="H23" s="1016">
        <v>61.2</v>
      </c>
      <c r="I23" s="1016">
        <v>55.08</v>
      </c>
      <c r="J23" s="1016">
        <v>0</v>
      </c>
      <c r="K23" s="1016">
        <v>0</v>
      </c>
      <c r="L23" s="1016">
        <v>1329</v>
      </c>
      <c r="M23" s="1016">
        <f>F23+L23-G23-K23</f>
        <v>4371.8</v>
      </c>
      <c r="N23" s="1050" t="s">
        <v>740</v>
      </c>
      <c r="O23" s="1049">
        <f>295+23+180+28+223+400+80+100</f>
        <v>1329</v>
      </c>
    </row>
    <row r="24" spans="1:15" s="292" customFormat="1" ht="174.75" customHeight="1">
      <c r="A24" s="1028"/>
      <c r="B24" s="1029"/>
      <c r="C24" s="1030"/>
      <c r="D24" s="1030"/>
      <c r="E24" s="1016"/>
      <c r="F24" s="1016"/>
      <c r="G24" s="1016"/>
      <c r="H24" s="1016"/>
      <c r="I24" s="1016"/>
      <c r="J24" s="1016"/>
      <c r="K24" s="1016"/>
      <c r="L24" s="1016"/>
      <c r="M24" s="1016"/>
      <c r="N24" s="1051"/>
      <c r="O24" s="1049"/>
    </row>
    <row r="25" spans="1:15" s="292" customFormat="1" ht="222.75" customHeight="1">
      <c r="A25" s="313" t="s">
        <v>486</v>
      </c>
      <c r="B25" s="310" t="s">
        <v>815</v>
      </c>
      <c r="C25" s="311">
        <v>12</v>
      </c>
      <c r="D25" s="311">
        <v>0</v>
      </c>
      <c r="E25" s="307">
        <v>0</v>
      </c>
      <c r="F25" s="307">
        <v>1785.08</v>
      </c>
      <c r="G25" s="307">
        <f>SUM(H25:J25)</f>
        <v>82.080000000000013</v>
      </c>
      <c r="H25" s="307">
        <v>43.2</v>
      </c>
      <c r="I25" s="307">
        <v>38.880000000000003</v>
      </c>
      <c r="J25" s="307">
        <v>0</v>
      </c>
      <c r="K25" s="307">
        <v>0</v>
      </c>
      <c r="L25" s="307">
        <v>483</v>
      </c>
      <c r="M25" s="307">
        <f>F25+L25-G25-K25</f>
        <v>2186</v>
      </c>
      <c r="N25" s="317" t="s">
        <v>890</v>
      </c>
      <c r="O25" s="318">
        <f>106+16+80+25+26+24+31+25+80+70</f>
        <v>483</v>
      </c>
    </row>
    <row r="26" spans="1:15" s="300" customFormat="1" ht="39.75" customHeight="1">
      <c r="A26" s="295">
        <v>2</v>
      </c>
      <c r="B26" s="296" t="s">
        <v>485</v>
      </c>
      <c r="C26" s="297">
        <f t="shared" ref="C26:M26" si="7">C27+C31+C32+C33+C34+C35</f>
        <v>50</v>
      </c>
      <c r="D26" s="297">
        <f t="shared" si="7"/>
        <v>10</v>
      </c>
      <c r="E26" s="298">
        <f t="shared" si="7"/>
        <v>0</v>
      </c>
      <c r="F26" s="298">
        <f t="shared" si="7"/>
        <v>6449.5</v>
      </c>
      <c r="G26" s="298">
        <f t="shared" si="7"/>
        <v>218.5</v>
      </c>
      <c r="H26" s="298">
        <f t="shared" si="7"/>
        <v>115.00000000000001</v>
      </c>
      <c r="I26" s="298">
        <f t="shared" si="7"/>
        <v>103.5</v>
      </c>
      <c r="J26" s="298">
        <f t="shared" si="7"/>
        <v>0</v>
      </c>
      <c r="K26" s="298">
        <f t="shared" si="7"/>
        <v>0</v>
      </c>
      <c r="L26" s="298">
        <f t="shared" si="7"/>
        <v>5361.5</v>
      </c>
      <c r="M26" s="298">
        <f t="shared" si="7"/>
        <v>11592.5</v>
      </c>
      <c r="N26" s="312"/>
    </row>
    <row r="27" spans="1:15" s="292" customFormat="1" ht="39.75" customHeight="1">
      <c r="A27" s="313" t="s">
        <v>128</v>
      </c>
      <c r="B27" s="310" t="s">
        <v>484</v>
      </c>
      <c r="C27" s="311">
        <f t="shared" ref="C27:M27" si="8">SUM(C28:C30)</f>
        <v>16</v>
      </c>
      <c r="D27" s="311">
        <f t="shared" si="8"/>
        <v>3</v>
      </c>
      <c r="E27" s="307">
        <f t="shared" si="8"/>
        <v>0</v>
      </c>
      <c r="F27" s="307">
        <f t="shared" si="8"/>
        <v>1944.22</v>
      </c>
      <c r="G27" s="307">
        <f t="shared" si="8"/>
        <v>69.92</v>
      </c>
      <c r="H27" s="307">
        <f t="shared" si="8"/>
        <v>36.800000000000004</v>
      </c>
      <c r="I27" s="307">
        <f t="shared" si="8"/>
        <v>33.119999999999997</v>
      </c>
      <c r="J27" s="307">
        <f t="shared" si="8"/>
        <v>0</v>
      </c>
      <c r="K27" s="307">
        <f t="shared" si="8"/>
        <v>0</v>
      </c>
      <c r="L27" s="307">
        <f t="shared" si="8"/>
        <v>2065.5</v>
      </c>
      <c r="M27" s="307">
        <f t="shared" si="8"/>
        <v>3939.8</v>
      </c>
      <c r="N27" s="308"/>
    </row>
    <row r="28" spans="1:15" s="292" customFormat="1" ht="75" customHeight="1">
      <c r="A28" s="313" t="s">
        <v>276</v>
      </c>
      <c r="B28" s="310" t="s">
        <v>419</v>
      </c>
      <c r="C28" s="311">
        <v>16</v>
      </c>
      <c r="D28" s="311">
        <v>3</v>
      </c>
      <c r="E28" s="307">
        <v>0</v>
      </c>
      <c r="F28" s="307">
        <v>1944.22</v>
      </c>
      <c r="G28" s="307">
        <f>SUM(H28:J28)</f>
        <v>69.92</v>
      </c>
      <c r="H28" s="307">
        <v>36.800000000000004</v>
      </c>
      <c r="I28" s="307">
        <v>33.119999999999997</v>
      </c>
      <c r="J28" s="307">
        <v>0</v>
      </c>
      <c r="K28" s="307">
        <v>0</v>
      </c>
      <c r="L28" s="307">
        <v>513.5</v>
      </c>
      <c r="M28" s="307">
        <f t="shared" ref="M28:M35" si="9">F28+L28-G28-K28</f>
        <v>2387.8000000000002</v>
      </c>
      <c r="N28" s="317" t="s">
        <v>741</v>
      </c>
      <c r="O28" s="292">
        <f>165.5+18+30+100+200</f>
        <v>513.5</v>
      </c>
    </row>
    <row r="29" spans="1:15" s="292" customFormat="1" ht="37.5">
      <c r="A29" s="313" t="s">
        <v>276</v>
      </c>
      <c r="B29" s="310" t="s">
        <v>483</v>
      </c>
      <c r="C29" s="311"/>
      <c r="D29" s="311"/>
      <c r="E29" s="307"/>
      <c r="F29" s="307"/>
      <c r="G29" s="307"/>
      <c r="H29" s="307"/>
      <c r="I29" s="307"/>
      <c r="J29" s="307"/>
      <c r="K29" s="307"/>
      <c r="L29" s="307">
        <v>802</v>
      </c>
      <c r="M29" s="307">
        <f t="shared" si="9"/>
        <v>802</v>
      </c>
      <c r="N29" s="319" t="s">
        <v>891</v>
      </c>
      <c r="O29" s="292">
        <f>300+100+384+18</f>
        <v>802</v>
      </c>
    </row>
    <row r="30" spans="1:15" s="292" customFormat="1" ht="39.75" customHeight="1">
      <c r="A30" s="313" t="s">
        <v>276</v>
      </c>
      <c r="B30" s="310" t="s">
        <v>482</v>
      </c>
      <c r="C30" s="311"/>
      <c r="D30" s="311"/>
      <c r="E30" s="307"/>
      <c r="F30" s="307"/>
      <c r="G30" s="307"/>
      <c r="H30" s="307"/>
      <c r="I30" s="307"/>
      <c r="J30" s="307"/>
      <c r="K30" s="307"/>
      <c r="L30" s="307">
        <v>750</v>
      </c>
      <c r="M30" s="307">
        <f t="shared" si="9"/>
        <v>750</v>
      </c>
      <c r="N30" s="319" t="s">
        <v>481</v>
      </c>
    </row>
    <row r="31" spans="1:15" s="292" customFormat="1" ht="150">
      <c r="A31" s="313" t="s">
        <v>130</v>
      </c>
      <c r="B31" s="310" t="s">
        <v>480</v>
      </c>
      <c r="C31" s="311">
        <v>11</v>
      </c>
      <c r="D31" s="311">
        <v>2</v>
      </c>
      <c r="E31" s="307">
        <v>0</v>
      </c>
      <c r="F31" s="307">
        <v>1475.07</v>
      </c>
      <c r="G31" s="307">
        <f>SUM(H31:J31)</f>
        <v>48.07</v>
      </c>
      <c r="H31" s="307">
        <v>25.3</v>
      </c>
      <c r="I31" s="307">
        <v>22.77</v>
      </c>
      <c r="J31" s="307">
        <v>0</v>
      </c>
      <c r="K31" s="307">
        <v>0</v>
      </c>
      <c r="L31" s="307">
        <v>937</v>
      </c>
      <c r="M31" s="307">
        <f t="shared" si="9"/>
        <v>2363.9999999999995</v>
      </c>
      <c r="N31" s="308" t="s">
        <v>742</v>
      </c>
      <c r="O31" s="292">
        <f>88+12+530+65+72+50+20+100</f>
        <v>937</v>
      </c>
    </row>
    <row r="32" spans="1:15" s="292" customFormat="1" ht="150">
      <c r="A32" s="313" t="s">
        <v>142</v>
      </c>
      <c r="B32" s="310" t="s">
        <v>479</v>
      </c>
      <c r="C32" s="311">
        <v>11</v>
      </c>
      <c r="D32" s="311">
        <v>3</v>
      </c>
      <c r="E32" s="307">
        <v>0</v>
      </c>
      <c r="F32" s="307">
        <v>1525.07</v>
      </c>
      <c r="G32" s="307">
        <f>SUM(H32:J32)</f>
        <v>48.07</v>
      </c>
      <c r="H32" s="307">
        <v>25.3</v>
      </c>
      <c r="I32" s="307">
        <v>22.77</v>
      </c>
      <c r="J32" s="307">
        <v>0</v>
      </c>
      <c r="K32" s="307">
        <v>0</v>
      </c>
      <c r="L32" s="307">
        <v>1045</v>
      </c>
      <c r="M32" s="307">
        <f t="shared" si="9"/>
        <v>2521.9999999999995</v>
      </c>
      <c r="N32" s="308" t="s">
        <v>743</v>
      </c>
      <c r="O32" s="292">
        <f>166+12+20+200+100+50+80+250+100+15+30+15+7</f>
        <v>1045</v>
      </c>
    </row>
    <row r="33" spans="1:15" s="292" customFormat="1" ht="99.75" customHeight="1">
      <c r="A33" s="313" t="s">
        <v>152</v>
      </c>
      <c r="B33" s="310" t="s">
        <v>478</v>
      </c>
      <c r="C33" s="311">
        <v>5</v>
      </c>
      <c r="D33" s="311">
        <v>1</v>
      </c>
      <c r="E33" s="307">
        <v>0</v>
      </c>
      <c r="F33" s="307">
        <v>625.04999999999995</v>
      </c>
      <c r="G33" s="307">
        <f>SUM(H33:J33)</f>
        <v>21.85</v>
      </c>
      <c r="H33" s="307">
        <v>11.5</v>
      </c>
      <c r="I33" s="307">
        <v>10.350000000000001</v>
      </c>
      <c r="J33" s="307">
        <v>0</v>
      </c>
      <c r="K33" s="307">
        <v>0</v>
      </c>
      <c r="L33" s="307">
        <v>114</v>
      </c>
      <c r="M33" s="307">
        <f t="shared" si="9"/>
        <v>717.19999999999993</v>
      </c>
      <c r="N33" s="317" t="s">
        <v>892</v>
      </c>
      <c r="O33" s="292">
        <f>54+5+30+10+10+5</f>
        <v>114</v>
      </c>
    </row>
    <row r="34" spans="1:15" s="292" customFormat="1" ht="48" customHeight="1">
      <c r="A34" s="313" t="s">
        <v>157</v>
      </c>
      <c r="B34" s="310" t="s">
        <v>816</v>
      </c>
      <c r="C34" s="311">
        <v>4</v>
      </c>
      <c r="D34" s="311">
        <v>0</v>
      </c>
      <c r="E34" s="307">
        <v>0</v>
      </c>
      <c r="F34" s="307">
        <v>499.08</v>
      </c>
      <c r="G34" s="307">
        <f>SUM(H34:J34)</f>
        <v>17.48</v>
      </c>
      <c r="H34" s="307">
        <v>9.2000000000000011</v>
      </c>
      <c r="I34" s="307">
        <v>8.2799999999999994</v>
      </c>
      <c r="J34" s="307">
        <v>0</v>
      </c>
      <c r="K34" s="307">
        <v>0</v>
      </c>
      <c r="L34" s="307">
        <v>195</v>
      </c>
      <c r="M34" s="307">
        <f t="shared" si="9"/>
        <v>676.59999999999991</v>
      </c>
      <c r="N34" s="308" t="s">
        <v>744</v>
      </c>
    </row>
    <row r="35" spans="1:15" s="292" customFormat="1" ht="117.75" customHeight="1">
      <c r="A35" s="313" t="s">
        <v>160</v>
      </c>
      <c r="B35" s="310" t="s">
        <v>477</v>
      </c>
      <c r="C35" s="311">
        <v>3</v>
      </c>
      <c r="D35" s="311">
        <v>1</v>
      </c>
      <c r="E35" s="307">
        <v>0</v>
      </c>
      <c r="F35" s="307">
        <v>381.01</v>
      </c>
      <c r="G35" s="307">
        <f>SUM(H35:J35)</f>
        <v>13.110000000000001</v>
      </c>
      <c r="H35" s="307">
        <v>6.9</v>
      </c>
      <c r="I35" s="307">
        <v>6.2100000000000009</v>
      </c>
      <c r="J35" s="307">
        <v>0</v>
      </c>
      <c r="K35" s="307">
        <v>0</v>
      </c>
      <c r="L35" s="307">
        <v>1005</v>
      </c>
      <c r="M35" s="307">
        <f t="shared" si="9"/>
        <v>1372.9</v>
      </c>
      <c r="N35" s="320" t="s">
        <v>745</v>
      </c>
      <c r="O35" s="292">
        <f>62+4+90+30+5+360+454</f>
        <v>1005</v>
      </c>
    </row>
    <row r="36" spans="1:15" s="300" customFormat="1" ht="30.75" customHeight="1">
      <c r="A36" s="295">
        <v>3</v>
      </c>
      <c r="B36" s="296" t="s">
        <v>476</v>
      </c>
      <c r="C36" s="297">
        <f t="shared" ref="C36:M36" si="10">SUM(C37:C50)</f>
        <v>0</v>
      </c>
      <c r="D36" s="297">
        <f t="shared" si="10"/>
        <v>0</v>
      </c>
      <c r="E36" s="298">
        <f t="shared" si="10"/>
        <v>0</v>
      </c>
      <c r="F36" s="298">
        <f t="shared" si="10"/>
        <v>864</v>
      </c>
      <c r="G36" s="298">
        <f t="shared" si="10"/>
        <v>0</v>
      </c>
      <c r="H36" s="298">
        <f t="shared" si="10"/>
        <v>0</v>
      </c>
      <c r="I36" s="298">
        <f t="shared" si="10"/>
        <v>0</v>
      </c>
      <c r="J36" s="298">
        <f t="shared" si="10"/>
        <v>0</v>
      </c>
      <c r="K36" s="298">
        <f t="shared" si="10"/>
        <v>0</v>
      </c>
      <c r="L36" s="298">
        <f t="shared" si="10"/>
        <v>1687</v>
      </c>
      <c r="M36" s="298">
        <f t="shared" si="10"/>
        <v>2551</v>
      </c>
      <c r="N36" s="312"/>
    </row>
    <row r="37" spans="1:15" s="292" customFormat="1" ht="51.75" customHeight="1">
      <c r="A37" s="313" t="s">
        <v>475</v>
      </c>
      <c r="B37" s="310" t="s">
        <v>474</v>
      </c>
      <c r="C37" s="311"/>
      <c r="D37" s="311"/>
      <c r="E37" s="307"/>
      <c r="F37" s="307">
        <v>15</v>
      </c>
      <c r="G37" s="307"/>
      <c r="H37" s="307"/>
      <c r="I37" s="307"/>
      <c r="J37" s="307"/>
      <c r="K37" s="307"/>
      <c r="L37" s="307">
        <v>140</v>
      </c>
      <c r="M37" s="307">
        <f t="shared" ref="M37:M50" si="11">F37+L37-G37-K37</f>
        <v>155</v>
      </c>
      <c r="N37" s="316" t="s">
        <v>746</v>
      </c>
    </row>
    <row r="38" spans="1:15" s="292" customFormat="1" ht="51.75" customHeight="1">
      <c r="A38" s="313" t="s">
        <v>473</v>
      </c>
      <c r="B38" s="310" t="s">
        <v>472</v>
      </c>
      <c r="C38" s="311"/>
      <c r="D38" s="311"/>
      <c r="E38" s="307"/>
      <c r="F38" s="307">
        <v>90</v>
      </c>
      <c r="G38" s="307"/>
      <c r="H38" s="307"/>
      <c r="I38" s="307"/>
      <c r="J38" s="307"/>
      <c r="K38" s="307"/>
      <c r="L38" s="307">
        <v>140</v>
      </c>
      <c r="M38" s="307">
        <f t="shared" si="11"/>
        <v>230</v>
      </c>
      <c r="N38" s="321" t="s">
        <v>747</v>
      </c>
    </row>
    <row r="39" spans="1:15" s="292" customFormat="1" ht="51.75" customHeight="1">
      <c r="A39" s="313" t="s">
        <v>471</v>
      </c>
      <c r="B39" s="310" t="s">
        <v>470</v>
      </c>
      <c r="C39" s="322"/>
      <c r="D39" s="322"/>
      <c r="E39" s="323"/>
      <c r="F39" s="307">
        <v>90</v>
      </c>
      <c r="G39" s="298"/>
      <c r="H39" s="323"/>
      <c r="I39" s="323"/>
      <c r="J39" s="323"/>
      <c r="K39" s="307"/>
      <c r="L39" s="307">
        <v>112</v>
      </c>
      <c r="M39" s="307">
        <f t="shared" si="11"/>
        <v>202</v>
      </c>
      <c r="N39" s="316" t="s">
        <v>748</v>
      </c>
    </row>
    <row r="40" spans="1:15" s="292" customFormat="1" ht="51.75" customHeight="1">
      <c r="A40" s="313" t="s">
        <v>469</v>
      </c>
      <c r="B40" s="310" t="s">
        <v>817</v>
      </c>
      <c r="C40" s="322"/>
      <c r="D40" s="322"/>
      <c r="E40" s="323"/>
      <c r="F40" s="307">
        <v>126</v>
      </c>
      <c r="G40" s="323"/>
      <c r="H40" s="323"/>
      <c r="I40" s="323"/>
      <c r="J40" s="323"/>
      <c r="K40" s="307"/>
      <c r="L40" s="307">
        <v>175</v>
      </c>
      <c r="M40" s="307">
        <f t="shared" si="11"/>
        <v>301</v>
      </c>
      <c r="N40" s="308" t="s">
        <v>893</v>
      </c>
      <c r="O40" s="292">
        <f>126+140+35</f>
        <v>301</v>
      </c>
    </row>
    <row r="41" spans="1:15" s="218" customFormat="1" ht="51.75" customHeight="1">
      <c r="A41" s="313" t="s">
        <v>468</v>
      </c>
      <c r="B41" s="310" t="s">
        <v>467</v>
      </c>
      <c r="C41" s="322"/>
      <c r="D41" s="322"/>
      <c r="E41" s="323"/>
      <c r="F41" s="307">
        <v>75</v>
      </c>
      <c r="G41" s="323"/>
      <c r="H41" s="323"/>
      <c r="I41" s="323"/>
      <c r="J41" s="323"/>
      <c r="K41" s="307"/>
      <c r="L41" s="307">
        <v>140</v>
      </c>
      <c r="M41" s="307">
        <f t="shared" si="11"/>
        <v>215</v>
      </c>
      <c r="N41" s="308" t="s">
        <v>749</v>
      </c>
    </row>
    <row r="42" spans="1:15" s="292" customFormat="1" ht="51.75" customHeight="1">
      <c r="A42" s="313" t="s">
        <v>466</v>
      </c>
      <c r="B42" s="310" t="s">
        <v>465</v>
      </c>
      <c r="C42" s="322"/>
      <c r="D42" s="322"/>
      <c r="E42" s="323"/>
      <c r="F42" s="307">
        <v>126</v>
      </c>
      <c r="G42" s="323"/>
      <c r="H42" s="323"/>
      <c r="I42" s="323"/>
      <c r="J42" s="323"/>
      <c r="K42" s="307"/>
      <c r="L42" s="307">
        <v>112</v>
      </c>
      <c r="M42" s="307">
        <f t="shared" si="11"/>
        <v>238</v>
      </c>
      <c r="N42" s="308" t="s">
        <v>894</v>
      </c>
    </row>
    <row r="43" spans="1:15" s="292" customFormat="1" ht="52.5" customHeight="1">
      <c r="A43" s="313" t="s">
        <v>464</v>
      </c>
      <c r="B43" s="310" t="s">
        <v>463</v>
      </c>
      <c r="C43" s="322"/>
      <c r="D43" s="322"/>
      <c r="E43" s="323"/>
      <c r="F43" s="307">
        <v>126</v>
      </c>
      <c r="G43" s="323"/>
      <c r="H43" s="323"/>
      <c r="I43" s="323"/>
      <c r="J43" s="323"/>
      <c r="K43" s="307"/>
      <c r="L43" s="307">
        <v>140</v>
      </c>
      <c r="M43" s="307">
        <f t="shared" si="11"/>
        <v>266</v>
      </c>
      <c r="N43" s="308" t="s">
        <v>895</v>
      </c>
    </row>
    <row r="44" spans="1:15" s="292" customFormat="1" ht="60" customHeight="1">
      <c r="A44" s="313" t="s">
        <v>462</v>
      </c>
      <c r="B44" s="310" t="s">
        <v>461</v>
      </c>
      <c r="C44" s="322"/>
      <c r="D44" s="322"/>
      <c r="E44" s="323"/>
      <c r="F44" s="307">
        <v>72</v>
      </c>
      <c r="G44" s="323"/>
      <c r="H44" s="323"/>
      <c r="I44" s="323"/>
      <c r="J44" s="323"/>
      <c r="K44" s="307"/>
      <c r="L44" s="307">
        <v>140</v>
      </c>
      <c r="M44" s="307">
        <f t="shared" si="11"/>
        <v>212</v>
      </c>
      <c r="N44" s="308" t="s">
        <v>750</v>
      </c>
    </row>
    <row r="45" spans="1:15" s="292" customFormat="1" ht="39" customHeight="1">
      <c r="A45" s="313" t="s">
        <v>460</v>
      </c>
      <c r="B45" s="310" t="s">
        <v>459</v>
      </c>
      <c r="C45" s="322"/>
      <c r="D45" s="322"/>
      <c r="E45" s="323"/>
      <c r="F45" s="307">
        <v>54</v>
      </c>
      <c r="G45" s="323"/>
      <c r="H45" s="323"/>
      <c r="I45" s="323"/>
      <c r="J45" s="323"/>
      <c r="K45" s="307"/>
      <c r="L45" s="307">
        <v>84</v>
      </c>
      <c r="M45" s="307">
        <f t="shared" si="11"/>
        <v>138</v>
      </c>
      <c r="N45" s="316" t="s">
        <v>851</v>
      </c>
    </row>
    <row r="46" spans="1:15" s="292" customFormat="1" ht="46.5" customHeight="1">
      <c r="A46" s="313" t="s">
        <v>458</v>
      </c>
      <c r="B46" s="310" t="s">
        <v>457</v>
      </c>
      <c r="C46" s="322"/>
      <c r="D46" s="322"/>
      <c r="E46" s="323"/>
      <c r="F46" s="307">
        <v>0</v>
      </c>
      <c r="G46" s="323"/>
      <c r="H46" s="323"/>
      <c r="I46" s="323"/>
      <c r="J46" s="323"/>
      <c r="K46" s="307"/>
      <c r="L46" s="307">
        <v>84</v>
      </c>
      <c r="M46" s="307">
        <f t="shared" si="11"/>
        <v>84</v>
      </c>
      <c r="N46" s="308" t="s">
        <v>852</v>
      </c>
    </row>
    <row r="47" spans="1:15" s="292" customFormat="1" ht="46.5" customHeight="1">
      <c r="A47" s="313" t="s">
        <v>456</v>
      </c>
      <c r="B47" s="310" t="s">
        <v>455</v>
      </c>
      <c r="C47" s="322"/>
      <c r="D47" s="322"/>
      <c r="E47" s="323"/>
      <c r="F47" s="307">
        <v>0</v>
      </c>
      <c r="G47" s="323"/>
      <c r="H47" s="323"/>
      <c r="I47" s="323"/>
      <c r="J47" s="323"/>
      <c r="K47" s="307"/>
      <c r="L47" s="307">
        <v>140</v>
      </c>
      <c r="M47" s="307">
        <f t="shared" si="11"/>
        <v>140</v>
      </c>
      <c r="N47" s="308" t="s">
        <v>751</v>
      </c>
    </row>
    <row r="48" spans="1:15" s="292" customFormat="1" ht="46.5" customHeight="1">
      <c r="A48" s="313" t="s">
        <v>454</v>
      </c>
      <c r="B48" s="310" t="s">
        <v>850</v>
      </c>
      <c r="C48" s="322"/>
      <c r="D48" s="322"/>
      <c r="E48" s="323"/>
      <c r="F48" s="307">
        <v>0</v>
      </c>
      <c r="G48" s="323"/>
      <c r="H48" s="323"/>
      <c r="I48" s="323"/>
      <c r="J48" s="323"/>
      <c r="K48" s="307"/>
      <c r="L48" s="307">
        <v>112</v>
      </c>
      <c r="M48" s="307">
        <f t="shared" si="11"/>
        <v>112</v>
      </c>
      <c r="N48" s="308" t="s">
        <v>752</v>
      </c>
    </row>
    <row r="49" spans="1:15" s="292" customFormat="1" ht="46.5" customHeight="1">
      <c r="A49" s="313" t="s">
        <v>453</v>
      </c>
      <c r="B49" s="310" t="s">
        <v>452</v>
      </c>
      <c r="C49" s="322"/>
      <c r="D49" s="322"/>
      <c r="E49" s="323"/>
      <c r="F49" s="307">
        <v>54</v>
      </c>
      <c r="G49" s="323"/>
      <c r="H49" s="323"/>
      <c r="I49" s="323"/>
      <c r="J49" s="323"/>
      <c r="K49" s="307"/>
      <c r="L49" s="307">
        <v>84</v>
      </c>
      <c r="M49" s="307">
        <f t="shared" si="11"/>
        <v>138</v>
      </c>
      <c r="N49" s="316" t="s">
        <v>1067</v>
      </c>
    </row>
    <row r="50" spans="1:15" s="292" customFormat="1" ht="46.5" customHeight="1">
      <c r="A50" s="313" t="s">
        <v>451</v>
      </c>
      <c r="B50" s="310" t="s">
        <v>450</v>
      </c>
      <c r="C50" s="322"/>
      <c r="D50" s="322"/>
      <c r="E50" s="323"/>
      <c r="F50" s="307">
        <v>36</v>
      </c>
      <c r="G50" s="323"/>
      <c r="H50" s="323"/>
      <c r="I50" s="323"/>
      <c r="J50" s="323"/>
      <c r="K50" s="307"/>
      <c r="L50" s="307">
        <v>84</v>
      </c>
      <c r="M50" s="307">
        <f t="shared" si="11"/>
        <v>120</v>
      </c>
      <c r="N50" s="308" t="s">
        <v>1068</v>
      </c>
    </row>
    <row r="51" spans="1:15" s="300" customFormat="1" ht="63" customHeight="1">
      <c r="A51" s="295" t="s">
        <v>4</v>
      </c>
      <c r="B51" s="296" t="s">
        <v>449</v>
      </c>
      <c r="C51" s="297">
        <f t="shared" ref="C51:M51" si="12">C52+C76+C88+C101+C111+C129+C145+C153+C156+C173+C179+C182+C187+C188+C195+C196+C200+C207+C210+C217+C218+C219</f>
        <v>4450</v>
      </c>
      <c r="D51" s="297">
        <f t="shared" si="12"/>
        <v>387</v>
      </c>
      <c r="E51" s="298">
        <f t="shared" si="12"/>
        <v>22587</v>
      </c>
      <c r="F51" s="298">
        <f t="shared" si="12"/>
        <v>758293.04000000039</v>
      </c>
      <c r="G51" s="298">
        <f t="shared" si="12"/>
        <v>29192.34</v>
      </c>
      <c r="H51" s="298">
        <f t="shared" si="12"/>
        <v>11954.899999999998</v>
      </c>
      <c r="I51" s="298">
        <f t="shared" si="12"/>
        <v>3325.4999999999995</v>
      </c>
      <c r="J51" s="298">
        <f t="shared" si="12"/>
        <v>13911.94</v>
      </c>
      <c r="K51" s="298">
        <f t="shared" si="12"/>
        <v>9519.5</v>
      </c>
      <c r="L51" s="298">
        <f t="shared" si="12"/>
        <v>443825.9</v>
      </c>
      <c r="M51" s="298">
        <f t="shared" si="12"/>
        <v>1163407.0999999999</v>
      </c>
      <c r="N51" s="324"/>
      <c r="O51" s="291">
        <f>F51+L51-G51-K51-M51</f>
        <v>0</v>
      </c>
    </row>
    <row r="52" spans="1:15" s="292" customFormat="1" ht="54" customHeight="1">
      <c r="A52" s="295">
        <v>1</v>
      </c>
      <c r="B52" s="325" t="s">
        <v>448</v>
      </c>
      <c r="C52" s="297">
        <f t="shared" ref="C52:M52" si="13">C53+C61+C68+C73+C74+C75</f>
        <v>405</v>
      </c>
      <c r="D52" s="297">
        <f t="shared" si="13"/>
        <v>48</v>
      </c>
      <c r="E52" s="298">
        <f t="shared" si="13"/>
        <v>92</v>
      </c>
      <c r="F52" s="298">
        <f t="shared" si="13"/>
        <v>57687.759999999995</v>
      </c>
      <c r="G52" s="298">
        <f t="shared" si="13"/>
        <v>2012.9600000000003</v>
      </c>
      <c r="H52" s="298">
        <f t="shared" si="13"/>
        <v>1166.3</v>
      </c>
      <c r="I52" s="298">
        <f t="shared" si="13"/>
        <v>815.2199999999998</v>
      </c>
      <c r="J52" s="298">
        <f t="shared" si="13"/>
        <v>31.439999999999998</v>
      </c>
      <c r="K52" s="298">
        <f t="shared" si="13"/>
        <v>0</v>
      </c>
      <c r="L52" s="298">
        <f t="shared" si="13"/>
        <v>76190</v>
      </c>
      <c r="M52" s="298">
        <f t="shared" si="13"/>
        <v>131864.79999999999</v>
      </c>
      <c r="N52" s="326"/>
      <c r="O52" s="291">
        <f>F52+L52-G52-K52-M52</f>
        <v>0</v>
      </c>
    </row>
    <row r="53" spans="1:15" s="292" customFormat="1" ht="59.25" customHeight="1">
      <c r="A53" s="295" t="s">
        <v>299</v>
      </c>
      <c r="B53" s="296" t="s">
        <v>320</v>
      </c>
      <c r="C53" s="297">
        <f t="shared" ref="C53:M53" si="14">SUM(C54:C60)</f>
        <v>291</v>
      </c>
      <c r="D53" s="297">
        <f t="shared" si="14"/>
        <v>48</v>
      </c>
      <c r="E53" s="298">
        <f t="shared" si="14"/>
        <v>22</v>
      </c>
      <c r="F53" s="298">
        <f t="shared" si="14"/>
        <v>45440.259999999995</v>
      </c>
      <c r="G53" s="298">
        <f t="shared" si="14"/>
        <v>1728.4600000000003</v>
      </c>
      <c r="H53" s="298">
        <f t="shared" si="14"/>
        <v>905.8</v>
      </c>
      <c r="I53" s="298">
        <f t="shared" si="14"/>
        <v>815.2199999999998</v>
      </c>
      <c r="J53" s="298">
        <f t="shared" si="14"/>
        <v>7.4399999999999995</v>
      </c>
      <c r="K53" s="298">
        <f t="shared" si="14"/>
        <v>0</v>
      </c>
      <c r="L53" s="298">
        <f t="shared" si="14"/>
        <v>6765</v>
      </c>
      <c r="M53" s="298">
        <f t="shared" si="14"/>
        <v>50476.799999999996</v>
      </c>
      <c r="N53" s="308"/>
    </row>
    <row r="54" spans="1:15" s="292" customFormat="1" ht="125.25" customHeight="1">
      <c r="A54" s="313" t="s">
        <v>447</v>
      </c>
      <c r="B54" s="310" t="s">
        <v>446</v>
      </c>
      <c r="C54" s="311">
        <v>39</v>
      </c>
      <c r="D54" s="311">
        <v>5</v>
      </c>
      <c r="E54" s="307">
        <v>10</v>
      </c>
      <c r="F54" s="307">
        <v>6043.04</v>
      </c>
      <c r="G54" s="307">
        <f t="shared" ref="G54:G60" si="15">SUM(H54:J54)</f>
        <v>263.14000000000004</v>
      </c>
      <c r="H54" s="307">
        <v>136.6</v>
      </c>
      <c r="I54" s="307">
        <v>122.94000000000001</v>
      </c>
      <c r="J54" s="307">
        <v>3.6</v>
      </c>
      <c r="K54" s="307">
        <v>0</v>
      </c>
      <c r="L54" s="307">
        <v>972</v>
      </c>
      <c r="M54" s="307">
        <f t="shared" ref="M54:M60" si="16">F54+L54-G54-K54</f>
        <v>6751.9</v>
      </c>
      <c r="N54" s="308" t="s">
        <v>753</v>
      </c>
      <c r="O54" s="292">
        <f>422+70+30+35+100+135+150+30</f>
        <v>972</v>
      </c>
    </row>
    <row r="55" spans="1:15" s="292" customFormat="1" ht="84.75" customHeight="1">
      <c r="A55" s="313" t="s">
        <v>276</v>
      </c>
      <c r="B55" s="310" t="s">
        <v>445</v>
      </c>
      <c r="C55" s="311">
        <v>206</v>
      </c>
      <c r="D55" s="311">
        <v>31</v>
      </c>
      <c r="E55" s="307">
        <v>0</v>
      </c>
      <c r="F55" s="307">
        <v>33140</v>
      </c>
      <c r="G55" s="307">
        <f t="shared" si="15"/>
        <v>1181.8</v>
      </c>
      <c r="H55" s="307">
        <v>622</v>
      </c>
      <c r="I55" s="307">
        <v>559.79999999999995</v>
      </c>
      <c r="J55" s="307">
        <v>0</v>
      </c>
      <c r="K55" s="307">
        <v>0</v>
      </c>
      <c r="L55" s="307">
        <v>4181</v>
      </c>
      <c r="M55" s="307">
        <f t="shared" si="16"/>
        <v>36139.199999999997</v>
      </c>
      <c r="N55" s="308" t="s">
        <v>853</v>
      </c>
      <c r="O55" s="292">
        <f>2623+220+978+180+180</f>
        <v>4181</v>
      </c>
    </row>
    <row r="56" spans="1:15" s="292" customFormat="1" ht="73.5" customHeight="1">
      <c r="A56" s="313" t="s">
        <v>276</v>
      </c>
      <c r="B56" s="310" t="s">
        <v>444</v>
      </c>
      <c r="C56" s="311">
        <v>12</v>
      </c>
      <c r="D56" s="311">
        <v>2</v>
      </c>
      <c r="E56" s="307">
        <v>0</v>
      </c>
      <c r="F56" s="307">
        <v>1516.06</v>
      </c>
      <c r="G56" s="307">
        <f t="shared" si="15"/>
        <v>72.960000000000008</v>
      </c>
      <c r="H56" s="307">
        <v>38.400000000000006</v>
      </c>
      <c r="I56" s="307">
        <v>34.56</v>
      </c>
      <c r="J56" s="307">
        <v>0</v>
      </c>
      <c r="K56" s="307">
        <v>0</v>
      </c>
      <c r="L56" s="307">
        <v>772</v>
      </c>
      <c r="M56" s="307">
        <f t="shared" si="16"/>
        <v>2215.1</v>
      </c>
      <c r="N56" s="308" t="s">
        <v>811</v>
      </c>
      <c r="O56" s="292">
        <f>212+10+400+100+50</f>
        <v>772</v>
      </c>
    </row>
    <row r="57" spans="1:15" s="292" customFormat="1" ht="77.25" customHeight="1">
      <c r="A57" s="313" t="s">
        <v>276</v>
      </c>
      <c r="B57" s="310" t="s">
        <v>818</v>
      </c>
      <c r="C57" s="311">
        <v>12</v>
      </c>
      <c r="D57" s="311">
        <v>1</v>
      </c>
      <c r="E57" s="307">
        <v>0</v>
      </c>
      <c r="F57" s="307">
        <v>1536.06</v>
      </c>
      <c r="G57" s="307">
        <f t="shared" si="15"/>
        <v>72.960000000000008</v>
      </c>
      <c r="H57" s="307">
        <v>38.400000000000006</v>
      </c>
      <c r="I57" s="307">
        <v>34.56</v>
      </c>
      <c r="J57" s="307">
        <v>0</v>
      </c>
      <c r="K57" s="307">
        <v>0</v>
      </c>
      <c r="L57" s="307">
        <v>129</v>
      </c>
      <c r="M57" s="307">
        <f t="shared" si="16"/>
        <v>1592.1</v>
      </c>
      <c r="N57" s="308" t="s">
        <v>754</v>
      </c>
      <c r="O57" s="292">
        <f>89+10+30</f>
        <v>129</v>
      </c>
    </row>
    <row r="58" spans="1:15" s="292" customFormat="1" ht="72" customHeight="1">
      <c r="A58" s="313" t="s">
        <v>276</v>
      </c>
      <c r="B58" s="310" t="s">
        <v>819</v>
      </c>
      <c r="C58" s="311">
        <v>12</v>
      </c>
      <c r="D58" s="311">
        <v>1</v>
      </c>
      <c r="E58" s="307">
        <v>12</v>
      </c>
      <c r="F58" s="307">
        <v>1621.1</v>
      </c>
      <c r="G58" s="307">
        <f t="shared" si="15"/>
        <v>76.800000000000011</v>
      </c>
      <c r="H58" s="307">
        <v>38.400000000000006</v>
      </c>
      <c r="I58" s="307">
        <v>34.56</v>
      </c>
      <c r="J58" s="307">
        <v>3.84</v>
      </c>
      <c r="K58" s="307">
        <v>0</v>
      </c>
      <c r="L58" s="307">
        <v>173</v>
      </c>
      <c r="M58" s="307">
        <f t="shared" si="16"/>
        <v>1717.3</v>
      </c>
      <c r="N58" s="308" t="s">
        <v>755</v>
      </c>
      <c r="O58" s="292">
        <f>93+12+18+50</f>
        <v>173</v>
      </c>
    </row>
    <row r="59" spans="1:15" s="292" customFormat="1" ht="65.25" customHeight="1">
      <c r="A59" s="313" t="s">
        <v>276</v>
      </c>
      <c r="B59" s="310" t="s">
        <v>441</v>
      </c>
      <c r="C59" s="311">
        <v>5</v>
      </c>
      <c r="D59" s="311">
        <v>6</v>
      </c>
      <c r="E59" s="307">
        <v>0</v>
      </c>
      <c r="F59" s="307">
        <v>784</v>
      </c>
      <c r="G59" s="307">
        <f t="shared" si="15"/>
        <v>30.4</v>
      </c>
      <c r="H59" s="307">
        <v>16</v>
      </c>
      <c r="I59" s="307">
        <v>14.4</v>
      </c>
      <c r="J59" s="307">
        <v>0</v>
      </c>
      <c r="K59" s="307">
        <v>0</v>
      </c>
      <c r="L59" s="307">
        <v>376</v>
      </c>
      <c r="M59" s="307">
        <f t="shared" si="16"/>
        <v>1129.5999999999999</v>
      </c>
      <c r="N59" s="308" t="s">
        <v>443</v>
      </c>
    </row>
    <row r="60" spans="1:15" s="292" customFormat="1" ht="74.25" customHeight="1">
      <c r="A60" s="313" t="s">
        <v>276</v>
      </c>
      <c r="B60" s="310" t="s">
        <v>440</v>
      </c>
      <c r="C60" s="311">
        <v>5</v>
      </c>
      <c r="D60" s="311">
        <v>2</v>
      </c>
      <c r="E60" s="307">
        <v>0</v>
      </c>
      <c r="F60" s="307">
        <v>800</v>
      </c>
      <c r="G60" s="307">
        <f t="shared" si="15"/>
        <v>30.4</v>
      </c>
      <c r="H60" s="307">
        <v>16</v>
      </c>
      <c r="I60" s="307">
        <v>14.4</v>
      </c>
      <c r="J60" s="307">
        <v>0</v>
      </c>
      <c r="K60" s="307">
        <v>0</v>
      </c>
      <c r="L60" s="307">
        <v>162</v>
      </c>
      <c r="M60" s="307">
        <f t="shared" si="16"/>
        <v>931.6</v>
      </c>
      <c r="N60" s="308" t="s">
        <v>443</v>
      </c>
    </row>
    <row r="61" spans="1:15" s="300" customFormat="1" ht="44.25" customHeight="1">
      <c r="A61" s="295" t="s">
        <v>297</v>
      </c>
      <c r="B61" s="296" t="s">
        <v>820</v>
      </c>
      <c r="C61" s="297">
        <f t="shared" ref="C61:M61" si="17">C62+C67</f>
        <v>77</v>
      </c>
      <c r="D61" s="297">
        <f t="shared" si="17"/>
        <v>0</v>
      </c>
      <c r="E61" s="298">
        <f t="shared" si="17"/>
        <v>70</v>
      </c>
      <c r="F61" s="298">
        <f t="shared" si="17"/>
        <v>8063.8</v>
      </c>
      <c r="G61" s="298">
        <f t="shared" si="17"/>
        <v>199.8</v>
      </c>
      <c r="H61" s="298">
        <f t="shared" si="17"/>
        <v>175.8</v>
      </c>
      <c r="I61" s="298">
        <f t="shared" si="17"/>
        <v>0</v>
      </c>
      <c r="J61" s="298">
        <f t="shared" si="17"/>
        <v>24</v>
      </c>
      <c r="K61" s="298">
        <f t="shared" si="17"/>
        <v>0</v>
      </c>
      <c r="L61" s="298">
        <f t="shared" si="17"/>
        <v>15751</v>
      </c>
      <c r="M61" s="298">
        <f t="shared" si="17"/>
        <v>23615</v>
      </c>
      <c r="N61" s="327"/>
      <c r="O61" s="328"/>
    </row>
    <row r="62" spans="1:15" s="300" customFormat="1" ht="51.75" customHeight="1">
      <c r="A62" s="295" t="s">
        <v>362</v>
      </c>
      <c r="B62" s="296" t="s">
        <v>442</v>
      </c>
      <c r="C62" s="297">
        <f t="shared" ref="C62:M62" si="18">SUM(C63:C66)</f>
        <v>77</v>
      </c>
      <c r="D62" s="297">
        <f t="shared" si="18"/>
        <v>0</v>
      </c>
      <c r="E62" s="298">
        <f t="shared" si="18"/>
        <v>70</v>
      </c>
      <c r="F62" s="298">
        <f t="shared" si="18"/>
        <v>8063.8</v>
      </c>
      <c r="G62" s="298">
        <f t="shared" si="18"/>
        <v>199.8</v>
      </c>
      <c r="H62" s="298">
        <f t="shared" si="18"/>
        <v>175.8</v>
      </c>
      <c r="I62" s="298">
        <f t="shared" si="18"/>
        <v>0</v>
      </c>
      <c r="J62" s="298">
        <f t="shared" si="18"/>
        <v>24</v>
      </c>
      <c r="K62" s="298">
        <f t="shared" si="18"/>
        <v>0</v>
      </c>
      <c r="L62" s="298">
        <f t="shared" si="18"/>
        <v>205</v>
      </c>
      <c r="M62" s="298">
        <f t="shared" si="18"/>
        <v>8069</v>
      </c>
      <c r="N62" s="312"/>
    </row>
    <row r="63" spans="1:15" s="292" customFormat="1" ht="49.5" customHeight="1">
      <c r="A63" s="313" t="s">
        <v>3</v>
      </c>
      <c r="B63" s="329" t="s">
        <v>441</v>
      </c>
      <c r="C63" s="311">
        <v>27</v>
      </c>
      <c r="D63" s="311">
        <v>0</v>
      </c>
      <c r="E63" s="307">
        <v>50</v>
      </c>
      <c r="F63" s="307">
        <v>3014.4</v>
      </c>
      <c r="G63" s="307">
        <f>SUM(H63:J63)</f>
        <v>79.400000000000006</v>
      </c>
      <c r="H63" s="307">
        <v>61.400000000000006</v>
      </c>
      <c r="I63" s="307">
        <v>0</v>
      </c>
      <c r="J63" s="307">
        <v>18</v>
      </c>
      <c r="K63" s="307">
        <v>0</v>
      </c>
      <c r="L63" s="307">
        <v>60</v>
      </c>
      <c r="M63" s="307">
        <f>F63+L63-G63-K63</f>
        <v>2995</v>
      </c>
      <c r="N63" s="308" t="s">
        <v>756</v>
      </c>
      <c r="O63" s="292">
        <f>30+30</f>
        <v>60</v>
      </c>
    </row>
    <row r="64" spans="1:15" s="292" customFormat="1" ht="49.5" customHeight="1">
      <c r="A64" s="313" t="s">
        <v>3</v>
      </c>
      <c r="B64" s="329" t="s">
        <v>440</v>
      </c>
      <c r="C64" s="311">
        <v>14</v>
      </c>
      <c r="D64" s="311">
        <v>0</v>
      </c>
      <c r="E64" s="307">
        <v>20</v>
      </c>
      <c r="F64" s="307">
        <v>1476.1999999999998</v>
      </c>
      <c r="G64" s="307">
        <f>SUM(H64:J64)</f>
        <v>38.200000000000003</v>
      </c>
      <c r="H64" s="307">
        <v>32.200000000000003</v>
      </c>
      <c r="I64" s="307">
        <v>0</v>
      </c>
      <c r="J64" s="307">
        <v>6</v>
      </c>
      <c r="K64" s="307">
        <v>0</v>
      </c>
      <c r="L64" s="307">
        <v>53</v>
      </c>
      <c r="M64" s="307">
        <f>F64+L64-G64-K64</f>
        <v>1490.9999999999998</v>
      </c>
      <c r="N64" s="308" t="s">
        <v>757</v>
      </c>
      <c r="O64" s="292">
        <f>20+12+21</f>
        <v>53</v>
      </c>
    </row>
    <row r="65" spans="1:17" s="292" customFormat="1" ht="49.5" customHeight="1">
      <c r="A65" s="313" t="s">
        <v>3</v>
      </c>
      <c r="B65" s="310" t="s">
        <v>439</v>
      </c>
      <c r="C65" s="311">
        <v>26</v>
      </c>
      <c r="D65" s="311">
        <v>0</v>
      </c>
      <c r="E65" s="307">
        <v>0</v>
      </c>
      <c r="F65" s="307">
        <v>2577.1999999999998</v>
      </c>
      <c r="G65" s="307">
        <f>SUM(H65:J65)</f>
        <v>59.2</v>
      </c>
      <c r="H65" s="307">
        <v>59.2</v>
      </c>
      <c r="I65" s="307">
        <v>0</v>
      </c>
      <c r="J65" s="307">
        <v>0</v>
      </c>
      <c r="K65" s="307">
        <v>0</v>
      </c>
      <c r="L65" s="307">
        <v>54</v>
      </c>
      <c r="M65" s="307">
        <f>F65+L65-G65-K65</f>
        <v>2572</v>
      </c>
      <c r="N65" s="308" t="s">
        <v>758</v>
      </c>
    </row>
    <row r="66" spans="1:17" s="292" customFormat="1" ht="49.5" customHeight="1">
      <c r="A66" s="313" t="s">
        <v>3</v>
      </c>
      <c r="B66" s="310" t="s">
        <v>438</v>
      </c>
      <c r="C66" s="311">
        <v>10</v>
      </c>
      <c r="D66" s="311">
        <v>0</v>
      </c>
      <c r="E66" s="307">
        <v>0</v>
      </c>
      <c r="F66" s="307">
        <v>996</v>
      </c>
      <c r="G66" s="307">
        <f>SUM(H66:J66)</f>
        <v>23</v>
      </c>
      <c r="H66" s="307">
        <v>23</v>
      </c>
      <c r="I66" s="307">
        <v>0</v>
      </c>
      <c r="J66" s="307">
        <v>0</v>
      </c>
      <c r="K66" s="307">
        <v>0</v>
      </c>
      <c r="L66" s="307">
        <v>38</v>
      </c>
      <c r="M66" s="307">
        <f>F66+L66-G66-K66</f>
        <v>1011</v>
      </c>
      <c r="N66" s="308" t="s">
        <v>759</v>
      </c>
    </row>
    <row r="67" spans="1:17" s="300" customFormat="1" ht="390.75" customHeight="1">
      <c r="A67" s="295" t="s">
        <v>359</v>
      </c>
      <c r="B67" s="296" t="s">
        <v>437</v>
      </c>
      <c r="C67" s="297"/>
      <c r="D67" s="297"/>
      <c r="E67" s="298"/>
      <c r="F67" s="298"/>
      <c r="G67" s="307">
        <f>SUM(H67:J67)</f>
        <v>0</v>
      </c>
      <c r="H67" s="298"/>
      <c r="I67" s="298"/>
      <c r="J67" s="298"/>
      <c r="K67" s="298"/>
      <c r="L67" s="298">
        <v>15546</v>
      </c>
      <c r="M67" s="298">
        <f>F67+L67-G67-K67</f>
        <v>15546</v>
      </c>
      <c r="N67" s="308" t="s">
        <v>854</v>
      </c>
      <c r="O67" s="300">
        <f>6100+455+1100+1630+506+1808+770+3000+177</f>
        <v>15546</v>
      </c>
      <c r="Q67" s="300">
        <f>117+93+495+675+250</f>
        <v>1630</v>
      </c>
    </row>
    <row r="68" spans="1:17" s="300" customFormat="1" ht="39.75" customHeight="1">
      <c r="A68" s="295" t="s">
        <v>295</v>
      </c>
      <c r="B68" s="296" t="s">
        <v>436</v>
      </c>
      <c r="C68" s="297">
        <f t="shared" ref="C68:H68" si="19">C69+C72</f>
        <v>37</v>
      </c>
      <c r="D68" s="297">
        <f t="shared" si="19"/>
        <v>0</v>
      </c>
      <c r="E68" s="330">
        <f t="shared" si="19"/>
        <v>0</v>
      </c>
      <c r="F68" s="330">
        <f t="shared" si="19"/>
        <v>4183.7000000000007</v>
      </c>
      <c r="G68" s="330">
        <f t="shared" si="19"/>
        <v>84.7</v>
      </c>
      <c r="H68" s="330">
        <f t="shared" si="19"/>
        <v>84.7</v>
      </c>
      <c r="I68" s="330"/>
      <c r="J68" s="330">
        <f>J69+J72</f>
        <v>0</v>
      </c>
      <c r="K68" s="330">
        <f>K69+K72</f>
        <v>0</v>
      </c>
      <c r="L68" s="330">
        <f>L69+L72</f>
        <v>9130</v>
      </c>
      <c r="M68" s="330">
        <f>M69+M72</f>
        <v>13229</v>
      </c>
      <c r="N68" s="331"/>
    </row>
    <row r="69" spans="1:17" s="292" customFormat="1" ht="39.75" customHeight="1">
      <c r="A69" s="313" t="s">
        <v>379</v>
      </c>
      <c r="B69" s="310" t="s">
        <v>309</v>
      </c>
      <c r="C69" s="311">
        <f t="shared" ref="C69:H69" si="20">SUM(C70:C71)</f>
        <v>37</v>
      </c>
      <c r="D69" s="311">
        <f t="shared" si="20"/>
        <v>0</v>
      </c>
      <c r="E69" s="307">
        <f t="shared" si="20"/>
        <v>0</v>
      </c>
      <c r="F69" s="307">
        <f t="shared" si="20"/>
        <v>4183.7000000000007</v>
      </c>
      <c r="G69" s="307">
        <f t="shared" si="20"/>
        <v>84.7</v>
      </c>
      <c r="H69" s="307">
        <f t="shared" si="20"/>
        <v>84.7</v>
      </c>
      <c r="I69" s="307"/>
      <c r="J69" s="307">
        <f>SUM(J70:J71)</f>
        <v>0</v>
      </c>
      <c r="K69" s="307">
        <f>SUM(K70:K71)</f>
        <v>0</v>
      </c>
      <c r="L69" s="307">
        <f>SUM(L70:L71)</f>
        <v>297</v>
      </c>
      <c r="M69" s="307">
        <f>SUM(M70:M71)</f>
        <v>4396</v>
      </c>
      <c r="N69" s="331"/>
    </row>
    <row r="70" spans="1:17" s="292" customFormat="1" ht="81" customHeight="1">
      <c r="A70" s="313" t="s">
        <v>276</v>
      </c>
      <c r="B70" s="310" t="s">
        <v>435</v>
      </c>
      <c r="C70" s="311">
        <v>24</v>
      </c>
      <c r="D70" s="311">
        <v>0</v>
      </c>
      <c r="E70" s="307">
        <v>0</v>
      </c>
      <c r="F70" s="307">
        <v>2909.8</v>
      </c>
      <c r="G70" s="307">
        <f>SUM(H70:J70)</f>
        <v>54.800000000000004</v>
      </c>
      <c r="H70" s="307">
        <v>54.800000000000004</v>
      </c>
      <c r="I70" s="307">
        <v>0</v>
      </c>
      <c r="J70" s="307">
        <v>0</v>
      </c>
      <c r="K70" s="307">
        <v>0</v>
      </c>
      <c r="L70" s="307">
        <v>157</v>
      </c>
      <c r="M70" s="307">
        <f t="shared" ref="M70:M75" si="21">F70+L70-G70-K70</f>
        <v>3012</v>
      </c>
      <c r="N70" s="331" t="s">
        <v>760</v>
      </c>
      <c r="O70" s="292">
        <f>43+50+19+15+30</f>
        <v>157</v>
      </c>
    </row>
    <row r="71" spans="1:17" s="292" customFormat="1" ht="107.25" customHeight="1">
      <c r="A71" s="313" t="s">
        <v>276</v>
      </c>
      <c r="B71" s="329" t="s">
        <v>434</v>
      </c>
      <c r="C71" s="311">
        <v>13</v>
      </c>
      <c r="D71" s="311">
        <v>0</v>
      </c>
      <c r="E71" s="307">
        <v>0</v>
      </c>
      <c r="F71" s="307">
        <v>1273.9000000000001</v>
      </c>
      <c r="G71" s="307">
        <f>SUM(H71:J71)</f>
        <v>29.900000000000002</v>
      </c>
      <c r="H71" s="307">
        <v>29.900000000000002</v>
      </c>
      <c r="I71" s="307">
        <v>0</v>
      </c>
      <c r="J71" s="307">
        <v>0</v>
      </c>
      <c r="K71" s="307">
        <v>0</v>
      </c>
      <c r="L71" s="307">
        <v>140</v>
      </c>
      <c r="M71" s="307">
        <f t="shared" si="21"/>
        <v>1384</v>
      </c>
      <c r="N71" s="331" t="s">
        <v>855</v>
      </c>
      <c r="O71" s="292">
        <f>20+49+71</f>
        <v>140</v>
      </c>
    </row>
    <row r="72" spans="1:17" s="292" customFormat="1" ht="216" customHeight="1">
      <c r="A72" s="313" t="s">
        <v>376</v>
      </c>
      <c r="B72" s="305" t="s">
        <v>433</v>
      </c>
      <c r="C72" s="311"/>
      <c r="D72" s="311"/>
      <c r="E72" s="307"/>
      <c r="F72" s="307"/>
      <c r="G72" s="307">
        <f>SUM(H72:J72)</f>
        <v>0</v>
      </c>
      <c r="H72" s="307"/>
      <c r="I72" s="307"/>
      <c r="J72" s="307"/>
      <c r="K72" s="307"/>
      <c r="L72" s="307">
        <v>8833</v>
      </c>
      <c r="M72" s="307">
        <f t="shared" si="21"/>
        <v>8833</v>
      </c>
      <c r="N72" s="332" t="s">
        <v>856</v>
      </c>
      <c r="O72" s="292">
        <f>77+715+3000+3000+360+138+180+15+130+218+1000</f>
        <v>8833</v>
      </c>
    </row>
    <row r="73" spans="1:17" s="300" customFormat="1" ht="119.25" customHeight="1">
      <c r="A73" s="295" t="s">
        <v>291</v>
      </c>
      <c r="B73" s="296" t="s">
        <v>432</v>
      </c>
      <c r="C73" s="297"/>
      <c r="D73" s="311"/>
      <c r="E73" s="307"/>
      <c r="F73" s="298"/>
      <c r="G73" s="307"/>
      <c r="H73" s="307"/>
      <c r="I73" s="307"/>
      <c r="J73" s="307"/>
      <c r="K73" s="307"/>
      <c r="L73" s="298">
        <v>43970</v>
      </c>
      <c r="M73" s="298">
        <f t="shared" si="21"/>
        <v>43970</v>
      </c>
      <c r="N73" s="332" t="s">
        <v>1080</v>
      </c>
      <c r="O73" s="300">
        <f>12000+3000+415+28555</f>
        <v>43970</v>
      </c>
    </row>
    <row r="74" spans="1:17" s="300" customFormat="1" ht="66.75" customHeight="1">
      <c r="A74" s="295" t="s">
        <v>351</v>
      </c>
      <c r="B74" s="296" t="s">
        <v>431</v>
      </c>
      <c r="C74" s="297"/>
      <c r="D74" s="297"/>
      <c r="E74" s="298"/>
      <c r="F74" s="298"/>
      <c r="G74" s="298"/>
      <c r="H74" s="298"/>
      <c r="I74" s="298"/>
      <c r="J74" s="298"/>
      <c r="K74" s="298"/>
      <c r="L74" s="298">
        <v>500</v>
      </c>
      <c r="M74" s="298">
        <f t="shared" si="21"/>
        <v>500</v>
      </c>
      <c r="N74" s="333" t="s">
        <v>430</v>
      </c>
    </row>
    <row r="75" spans="1:17" s="300" customFormat="1" ht="54" customHeight="1">
      <c r="A75" s="295" t="s">
        <v>429</v>
      </c>
      <c r="B75" s="296" t="s">
        <v>296</v>
      </c>
      <c r="C75" s="297"/>
      <c r="D75" s="297"/>
      <c r="E75" s="298"/>
      <c r="F75" s="298"/>
      <c r="G75" s="298"/>
      <c r="H75" s="298"/>
      <c r="I75" s="298"/>
      <c r="J75" s="298"/>
      <c r="K75" s="298"/>
      <c r="L75" s="298">
        <v>74</v>
      </c>
      <c r="M75" s="298">
        <f t="shared" si="21"/>
        <v>74</v>
      </c>
      <c r="N75" s="333" t="s">
        <v>428</v>
      </c>
    </row>
    <row r="76" spans="1:17" s="292" customFormat="1" ht="49.5" customHeight="1">
      <c r="A76" s="334">
        <v>2</v>
      </c>
      <c r="B76" s="296" t="s">
        <v>427</v>
      </c>
      <c r="C76" s="309">
        <f t="shared" ref="C76:M76" si="22">C77+C80+C85+C86</f>
        <v>172</v>
      </c>
      <c r="D76" s="309">
        <f t="shared" si="22"/>
        <v>7</v>
      </c>
      <c r="E76" s="298">
        <f t="shared" si="22"/>
        <v>2345</v>
      </c>
      <c r="F76" s="298">
        <f t="shared" si="22"/>
        <v>19369.879999999997</v>
      </c>
      <c r="G76" s="298">
        <f t="shared" si="22"/>
        <v>1091.08</v>
      </c>
      <c r="H76" s="298">
        <f t="shared" si="22"/>
        <v>426</v>
      </c>
      <c r="I76" s="298">
        <f t="shared" si="22"/>
        <v>136.08000000000001</v>
      </c>
      <c r="J76" s="298">
        <f t="shared" si="22"/>
        <v>529</v>
      </c>
      <c r="K76" s="298">
        <f t="shared" si="22"/>
        <v>194</v>
      </c>
      <c r="L76" s="298">
        <f t="shared" si="22"/>
        <v>19938</v>
      </c>
      <c r="M76" s="298">
        <f t="shared" si="22"/>
        <v>38022.800000000003</v>
      </c>
      <c r="N76" s="326"/>
      <c r="O76" s="291">
        <f>F76+L76-G76-K76-M76</f>
        <v>0</v>
      </c>
    </row>
    <row r="77" spans="1:17" s="300" customFormat="1" ht="72" customHeight="1">
      <c r="A77" s="295" t="s">
        <v>299</v>
      </c>
      <c r="B77" s="296" t="s">
        <v>320</v>
      </c>
      <c r="C77" s="297">
        <f t="shared" ref="C77:M77" si="23">SUM(C78:C79)</f>
        <v>44</v>
      </c>
      <c r="D77" s="297">
        <f t="shared" si="23"/>
        <v>7</v>
      </c>
      <c r="E77" s="298">
        <f t="shared" si="23"/>
        <v>835</v>
      </c>
      <c r="F77" s="298">
        <f t="shared" si="23"/>
        <v>6659.08</v>
      </c>
      <c r="G77" s="298">
        <f t="shared" si="23"/>
        <v>437.28000000000009</v>
      </c>
      <c r="H77" s="298">
        <f t="shared" si="23"/>
        <v>151.20000000000002</v>
      </c>
      <c r="I77" s="298">
        <f t="shared" si="23"/>
        <v>136.08000000000001</v>
      </c>
      <c r="J77" s="298">
        <f t="shared" si="23"/>
        <v>150</v>
      </c>
      <c r="K77" s="298">
        <f t="shared" si="23"/>
        <v>0</v>
      </c>
      <c r="L77" s="298">
        <f t="shared" si="23"/>
        <v>4635</v>
      </c>
      <c r="M77" s="298">
        <f t="shared" si="23"/>
        <v>10856.800000000001</v>
      </c>
      <c r="N77" s="326"/>
    </row>
    <row r="78" spans="1:17" s="292" customFormat="1" ht="144.75" customHeight="1">
      <c r="A78" s="313" t="s">
        <v>276</v>
      </c>
      <c r="B78" s="310" t="s">
        <v>426</v>
      </c>
      <c r="C78" s="311">
        <v>32</v>
      </c>
      <c r="D78" s="311">
        <v>5</v>
      </c>
      <c r="E78" s="307">
        <v>300</v>
      </c>
      <c r="F78" s="307">
        <v>5016.0200000000004</v>
      </c>
      <c r="G78" s="307">
        <f>SUM(H78:J78)</f>
        <v>273.32000000000005</v>
      </c>
      <c r="H78" s="307">
        <v>112.80000000000001</v>
      </c>
      <c r="I78" s="307">
        <v>101.52000000000001</v>
      </c>
      <c r="J78" s="307">
        <v>59</v>
      </c>
      <c r="K78" s="307">
        <v>0</v>
      </c>
      <c r="L78" s="307">
        <v>4359</v>
      </c>
      <c r="M78" s="307">
        <f>F78+L78-G78-K78</f>
        <v>9101.7000000000007</v>
      </c>
      <c r="N78" s="308" t="s">
        <v>761</v>
      </c>
      <c r="O78" s="292">
        <f>382+50+20+70+20+15+200+80+50+1500+1972</f>
        <v>4359</v>
      </c>
    </row>
    <row r="79" spans="1:17" s="292" customFormat="1" ht="101.25" customHeight="1">
      <c r="A79" s="313" t="s">
        <v>276</v>
      </c>
      <c r="B79" s="310" t="s">
        <v>648</v>
      </c>
      <c r="C79" s="311">
        <v>12</v>
      </c>
      <c r="D79" s="311">
        <v>2</v>
      </c>
      <c r="E79" s="307">
        <v>535</v>
      </c>
      <c r="F79" s="307">
        <v>1643.06</v>
      </c>
      <c r="G79" s="307">
        <f>SUM(H79:J79)</f>
        <v>163.96</v>
      </c>
      <c r="H79" s="307">
        <v>38.400000000000006</v>
      </c>
      <c r="I79" s="307">
        <v>34.56</v>
      </c>
      <c r="J79" s="307">
        <v>91</v>
      </c>
      <c r="K79" s="307">
        <v>0</v>
      </c>
      <c r="L79" s="307">
        <v>276</v>
      </c>
      <c r="M79" s="307">
        <f>F79+L79-G79-K79</f>
        <v>1755.1</v>
      </c>
      <c r="N79" s="308" t="s">
        <v>762</v>
      </c>
      <c r="O79" s="292">
        <f>174+12+50+40</f>
        <v>276</v>
      </c>
    </row>
    <row r="80" spans="1:17" s="300" customFormat="1" ht="62.25" customHeight="1">
      <c r="A80" s="295" t="s">
        <v>297</v>
      </c>
      <c r="B80" s="296" t="s">
        <v>425</v>
      </c>
      <c r="C80" s="297">
        <f t="shared" ref="C80:M80" si="24">C81+C84</f>
        <v>128</v>
      </c>
      <c r="D80" s="297">
        <f t="shared" si="24"/>
        <v>0</v>
      </c>
      <c r="E80" s="298">
        <f t="shared" si="24"/>
        <v>1510</v>
      </c>
      <c r="F80" s="298">
        <f t="shared" si="24"/>
        <v>12710.8</v>
      </c>
      <c r="G80" s="298">
        <f t="shared" si="24"/>
        <v>653.79999999999995</v>
      </c>
      <c r="H80" s="298">
        <f t="shared" si="24"/>
        <v>274.8</v>
      </c>
      <c r="I80" s="298">
        <f t="shared" si="24"/>
        <v>0</v>
      </c>
      <c r="J80" s="298">
        <f t="shared" si="24"/>
        <v>379</v>
      </c>
      <c r="K80" s="298">
        <f t="shared" si="24"/>
        <v>194</v>
      </c>
      <c r="L80" s="298">
        <f t="shared" si="24"/>
        <v>6428</v>
      </c>
      <c r="M80" s="298">
        <f t="shared" si="24"/>
        <v>18291</v>
      </c>
      <c r="N80" s="312"/>
    </row>
    <row r="81" spans="1:15" s="300" customFormat="1" ht="65.25" customHeight="1">
      <c r="A81" s="295" t="s">
        <v>362</v>
      </c>
      <c r="B81" s="296" t="s">
        <v>309</v>
      </c>
      <c r="C81" s="297">
        <f t="shared" ref="C81:M81" si="25">SUM(C82:C83)</f>
        <v>128</v>
      </c>
      <c r="D81" s="297">
        <f t="shared" si="25"/>
        <v>0</v>
      </c>
      <c r="E81" s="298">
        <f t="shared" si="25"/>
        <v>1510</v>
      </c>
      <c r="F81" s="298">
        <f t="shared" si="25"/>
        <v>12710.8</v>
      </c>
      <c r="G81" s="298">
        <f t="shared" si="25"/>
        <v>653.79999999999995</v>
      </c>
      <c r="H81" s="298">
        <f t="shared" si="25"/>
        <v>274.8</v>
      </c>
      <c r="I81" s="298">
        <f t="shared" si="25"/>
        <v>0</v>
      </c>
      <c r="J81" s="298">
        <f t="shared" si="25"/>
        <v>379</v>
      </c>
      <c r="K81" s="298">
        <f t="shared" si="25"/>
        <v>194</v>
      </c>
      <c r="L81" s="298">
        <f t="shared" si="25"/>
        <v>1428</v>
      </c>
      <c r="M81" s="298">
        <f t="shared" si="25"/>
        <v>13291</v>
      </c>
      <c r="N81" s="312"/>
    </row>
    <row r="82" spans="1:15" s="292" customFormat="1" ht="142.5" customHeight="1">
      <c r="A82" s="313" t="s">
        <v>276</v>
      </c>
      <c r="B82" s="310" t="s">
        <v>821</v>
      </c>
      <c r="C82" s="311">
        <v>104</v>
      </c>
      <c r="D82" s="311">
        <v>0</v>
      </c>
      <c r="E82" s="307">
        <v>1510</v>
      </c>
      <c r="F82" s="307">
        <v>10129</v>
      </c>
      <c r="G82" s="307">
        <f>SUM(H82:J82)</f>
        <v>557</v>
      </c>
      <c r="H82" s="307">
        <v>220</v>
      </c>
      <c r="I82" s="307">
        <v>0</v>
      </c>
      <c r="J82" s="307">
        <v>337</v>
      </c>
      <c r="K82" s="307">
        <v>162</v>
      </c>
      <c r="L82" s="307">
        <v>942</v>
      </c>
      <c r="M82" s="307">
        <f t="shared" ref="M82:M87" si="26">F82+L82-G82-K82</f>
        <v>10352</v>
      </c>
      <c r="N82" s="308" t="s">
        <v>763</v>
      </c>
      <c r="O82" s="292">
        <f>152+50+200+30+10+155+150+145+50</f>
        <v>942</v>
      </c>
    </row>
    <row r="83" spans="1:15" s="292" customFormat="1" ht="63" customHeight="1">
      <c r="A83" s="313" t="s">
        <v>276</v>
      </c>
      <c r="B83" s="310" t="s">
        <v>424</v>
      </c>
      <c r="C83" s="311">
        <v>24</v>
      </c>
      <c r="D83" s="311">
        <v>0</v>
      </c>
      <c r="E83" s="307">
        <v>0</v>
      </c>
      <c r="F83" s="307">
        <v>2581.8000000000002</v>
      </c>
      <c r="G83" s="307">
        <f>SUM(H83:J83)</f>
        <v>96.800000000000011</v>
      </c>
      <c r="H83" s="307">
        <v>54.800000000000004</v>
      </c>
      <c r="I83" s="307">
        <v>0</v>
      </c>
      <c r="J83" s="307">
        <v>42</v>
      </c>
      <c r="K83" s="307">
        <v>32</v>
      </c>
      <c r="L83" s="307">
        <v>486</v>
      </c>
      <c r="M83" s="307">
        <f t="shared" si="26"/>
        <v>2939</v>
      </c>
      <c r="N83" s="308" t="s">
        <v>764</v>
      </c>
      <c r="O83" s="292">
        <f>26+460</f>
        <v>486</v>
      </c>
    </row>
    <row r="84" spans="1:15" s="300" customFormat="1" ht="192" customHeight="1">
      <c r="A84" s="295" t="s">
        <v>359</v>
      </c>
      <c r="B84" s="325" t="s">
        <v>423</v>
      </c>
      <c r="C84" s="297"/>
      <c r="D84" s="297"/>
      <c r="E84" s="298"/>
      <c r="F84" s="298"/>
      <c r="G84" s="298">
        <f>SUM(H84:J84)</f>
        <v>0</v>
      </c>
      <c r="H84" s="298"/>
      <c r="I84" s="298"/>
      <c r="J84" s="298"/>
      <c r="K84" s="298"/>
      <c r="L84" s="298">
        <v>5000</v>
      </c>
      <c r="M84" s="298">
        <f t="shared" si="26"/>
        <v>5000</v>
      </c>
      <c r="N84" s="308" t="s">
        <v>765</v>
      </c>
      <c r="O84" s="300">
        <f>2000+2000+1000</f>
        <v>5000</v>
      </c>
    </row>
    <row r="85" spans="1:15" s="300" customFormat="1" ht="304.5" customHeight="1">
      <c r="A85" s="295" t="s">
        <v>295</v>
      </c>
      <c r="B85" s="296" t="s">
        <v>392</v>
      </c>
      <c r="C85" s="297"/>
      <c r="D85" s="297"/>
      <c r="E85" s="298"/>
      <c r="F85" s="298">
        <v>0</v>
      </c>
      <c r="G85" s="298">
        <f>SUM(H85:J85)</f>
        <v>0</v>
      </c>
      <c r="H85" s="298"/>
      <c r="I85" s="298"/>
      <c r="J85" s="298"/>
      <c r="K85" s="298"/>
      <c r="L85" s="298">
        <v>3164</v>
      </c>
      <c r="M85" s="298">
        <f t="shared" si="26"/>
        <v>3164</v>
      </c>
      <c r="N85" s="316" t="s">
        <v>766</v>
      </c>
      <c r="O85" s="300">
        <f>947+200+150+150+150+150+30+50+1337</f>
        <v>3164</v>
      </c>
    </row>
    <row r="86" spans="1:15" s="300" customFormat="1" ht="66.75" customHeight="1">
      <c r="A86" s="295" t="s">
        <v>291</v>
      </c>
      <c r="B86" s="296" t="s">
        <v>318</v>
      </c>
      <c r="C86" s="297"/>
      <c r="D86" s="297"/>
      <c r="E86" s="298"/>
      <c r="F86" s="298"/>
      <c r="G86" s="298"/>
      <c r="H86" s="298"/>
      <c r="I86" s="298"/>
      <c r="J86" s="298"/>
      <c r="K86" s="298"/>
      <c r="L86" s="298">
        <v>5711</v>
      </c>
      <c r="M86" s="298">
        <f t="shared" si="26"/>
        <v>5711</v>
      </c>
      <c r="N86" s="1052" t="s">
        <v>767</v>
      </c>
      <c r="O86" s="300">
        <f>239+4000</f>
        <v>4239</v>
      </c>
    </row>
    <row r="87" spans="1:15" s="300" customFormat="1" ht="58.5" customHeight="1">
      <c r="A87" s="295"/>
      <c r="B87" s="305" t="s">
        <v>422</v>
      </c>
      <c r="C87" s="297"/>
      <c r="D87" s="297"/>
      <c r="E87" s="298"/>
      <c r="F87" s="298"/>
      <c r="G87" s="298"/>
      <c r="H87" s="298"/>
      <c r="I87" s="298"/>
      <c r="J87" s="298"/>
      <c r="K87" s="298"/>
      <c r="L87" s="298">
        <v>1472</v>
      </c>
      <c r="M87" s="298">
        <f t="shared" si="26"/>
        <v>1472</v>
      </c>
      <c r="N87" s="1053"/>
      <c r="O87" s="300">
        <v>1472</v>
      </c>
    </row>
    <row r="88" spans="1:15" s="292" customFormat="1" ht="40.5" customHeight="1">
      <c r="A88" s="295">
        <v>3</v>
      </c>
      <c r="B88" s="296" t="s">
        <v>524</v>
      </c>
      <c r="C88" s="297">
        <f t="shared" ref="C88:M88" si="27">C89+C93</f>
        <v>83</v>
      </c>
      <c r="D88" s="297">
        <f t="shared" si="27"/>
        <v>15</v>
      </c>
      <c r="E88" s="298">
        <f t="shared" si="27"/>
        <v>5530</v>
      </c>
      <c r="F88" s="298">
        <f t="shared" si="27"/>
        <v>40094.080000000002</v>
      </c>
      <c r="G88" s="298">
        <f t="shared" si="27"/>
        <v>768.38000000000011</v>
      </c>
      <c r="H88" s="298">
        <f t="shared" si="27"/>
        <v>245.00000000000003</v>
      </c>
      <c r="I88" s="298">
        <f t="shared" si="27"/>
        <v>151.38000000000002</v>
      </c>
      <c r="J88" s="298">
        <f t="shared" si="27"/>
        <v>372</v>
      </c>
      <c r="K88" s="298">
        <f t="shared" si="27"/>
        <v>0</v>
      </c>
      <c r="L88" s="298">
        <f t="shared" si="27"/>
        <v>5039</v>
      </c>
      <c r="M88" s="298">
        <f t="shared" si="27"/>
        <v>44364.700000000004</v>
      </c>
      <c r="N88" s="326"/>
      <c r="O88" s="291">
        <f>F88+L88-G88-K88-M88</f>
        <v>0</v>
      </c>
    </row>
    <row r="89" spans="1:15" s="300" customFormat="1" ht="40.5" customHeight="1">
      <c r="A89" s="295" t="s">
        <v>299</v>
      </c>
      <c r="B89" s="296" t="s">
        <v>320</v>
      </c>
      <c r="C89" s="297">
        <f t="shared" ref="C89:M89" si="28">SUM(C90:C92)</f>
        <v>49</v>
      </c>
      <c r="D89" s="297">
        <f t="shared" si="28"/>
        <v>15</v>
      </c>
      <c r="E89" s="298">
        <f t="shared" si="28"/>
        <v>5530</v>
      </c>
      <c r="F89" s="298">
        <f t="shared" si="28"/>
        <v>7723.2800000000007</v>
      </c>
      <c r="G89" s="298">
        <f t="shared" si="28"/>
        <v>691.58</v>
      </c>
      <c r="H89" s="298">
        <f t="shared" si="28"/>
        <v>168.20000000000002</v>
      </c>
      <c r="I89" s="298">
        <f t="shared" si="28"/>
        <v>151.38000000000002</v>
      </c>
      <c r="J89" s="298">
        <f t="shared" si="28"/>
        <v>372</v>
      </c>
      <c r="K89" s="298">
        <f t="shared" si="28"/>
        <v>0</v>
      </c>
      <c r="L89" s="298">
        <f t="shared" si="28"/>
        <v>3801</v>
      </c>
      <c r="M89" s="298">
        <f t="shared" si="28"/>
        <v>10832.700000000003</v>
      </c>
      <c r="N89" s="312"/>
    </row>
    <row r="90" spans="1:15" s="292" customFormat="1" ht="109.5" customHeight="1">
      <c r="A90" s="313" t="s">
        <v>276</v>
      </c>
      <c r="B90" s="310" t="s">
        <v>421</v>
      </c>
      <c r="C90" s="311">
        <v>37</v>
      </c>
      <c r="D90" s="311">
        <v>6</v>
      </c>
      <c r="E90" s="307">
        <v>5530</v>
      </c>
      <c r="F90" s="307">
        <v>5703.22</v>
      </c>
      <c r="G90" s="307">
        <f>SUM(H90:J90)</f>
        <v>618.62</v>
      </c>
      <c r="H90" s="307">
        <v>129.80000000000001</v>
      </c>
      <c r="I90" s="307">
        <v>116.82000000000001</v>
      </c>
      <c r="J90" s="307">
        <v>372</v>
      </c>
      <c r="K90" s="307">
        <v>0</v>
      </c>
      <c r="L90" s="307">
        <v>2895</v>
      </c>
      <c r="M90" s="307">
        <f>F90+L90-G90-K90</f>
        <v>7979.6000000000013</v>
      </c>
      <c r="N90" s="335" t="s">
        <v>857</v>
      </c>
      <c r="O90" s="292">
        <f>530+40+25+1730+440+50+40+40</f>
        <v>2895</v>
      </c>
    </row>
    <row r="91" spans="1:15" s="292" customFormat="1" ht="72" customHeight="1">
      <c r="A91" s="313" t="s">
        <v>276</v>
      </c>
      <c r="B91" s="310" t="s">
        <v>418</v>
      </c>
      <c r="C91" s="311">
        <v>8</v>
      </c>
      <c r="D91" s="311">
        <v>8</v>
      </c>
      <c r="E91" s="307">
        <v>0</v>
      </c>
      <c r="F91" s="307">
        <v>1375.04</v>
      </c>
      <c r="G91" s="307">
        <f>SUM(H91:J91)</f>
        <v>48.64</v>
      </c>
      <c r="H91" s="307">
        <v>25.6</v>
      </c>
      <c r="I91" s="307">
        <v>23.040000000000003</v>
      </c>
      <c r="J91" s="307">
        <v>0</v>
      </c>
      <c r="K91" s="307">
        <v>0</v>
      </c>
      <c r="L91" s="307">
        <v>749</v>
      </c>
      <c r="M91" s="307">
        <f>F91+L91-G91-K91</f>
        <v>2075.4</v>
      </c>
      <c r="N91" s="335" t="s">
        <v>768</v>
      </c>
      <c r="O91" s="292">
        <f>619+10+60+60</f>
        <v>749</v>
      </c>
    </row>
    <row r="92" spans="1:15" s="292" customFormat="1" ht="59.25" customHeight="1">
      <c r="A92" s="313" t="s">
        <v>276</v>
      </c>
      <c r="B92" s="310" t="s">
        <v>420</v>
      </c>
      <c r="C92" s="311">
        <v>4</v>
      </c>
      <c r="D92" s="311">
        <v>1</v>
      </c>
      <c r="E92" s="307">
        <v>0</v>
      </c>
      <c r="F92" s="307">
        <v>645.02</v>
      </c>
      <c r="G92" s="307">
        <f>SUM(H92:J92)</f>
        <v>24.32</v>
      </c>
      <c r="H92" s="307">
        <v>12.8</v>
      </c>
      <c r="I92" s="307">
        <v>11.520000000000001</v>
      </c>
      <c r="J92" s="307">
        <v>0</v>
      </c>
      <c r="K92" s="307">
        <v>0</v>
      </c>
      <c r="L92" s="307">
        <v>157</v>
      </c>
      <c r="M92" s="307">
        <f>F92+L92-G92-K92</f>
        <v>777.69999999999993</v>
      </c>
      <c r="N92" s="336" t="s">
        <v>769</v>
      </c>
      <c r="O92" s="292">
        <f>137+5+15</f>
        <v>157</v>
      </c>
    </row>
    <row r="93" spans="1:15" s="300" customFormat="1" ht="37.5" customHeight="1">
      <c r="A93" s="295" t="s">
        <v>297</v>
      </c>
      <c r="B93" s="296" t="s">
        <v>417</v>
      </c>
      <c r="C93" s="297">
        <f t="shared" ref="C93:M93" si="29">C94+C96</f>
        <v>34</v>
      </c>
      <c r="D93" s="297">
        <f t="shared" si="29"/>
        <v>0</v>
      </c>
      <c r="E93" s="298">
        <f t="shared" si="29"/>
        <v>0</v>
      </c>
      <c r="F93" s="298">
        <f t="shared" si="29"/>
        <v>32370.799999999999</v>
      </c>
      <c r="G93" s="298">
        <f t="shared" si="29"/>
        <v>76.800000000000011</v>
      </c>
      <c r="H93" s="298">
        <f t="shared" si="29"/>
        <v>76.800000000000011</v>
      </c>
      <c r="I93" s="298">
        <f t="shared" si="29"/>
        <v>0</v>
      </c>
      <c r="J93" s="298">
        <f t="shared" si="29"/>
        <v>0</v>
      </c>
      <c r="K93" s="298">
        <f t="shared" si="29"/>
        <v>0</v>
      </c>
      <c r="L93" s="298">
        <f t="shared" si="29"/>
        <v>1238</v>
      </c>
      <c r="M93" s="298">
        <f t="shared" si="29"/>
        <v>33532</v>
      </c>
      <c r="N93" s="312"/>
    </row>
    <row r="94" spans="1:15" s="292" customFormat="1" ht="37.5" customHeight="1">
      <c r="A94" s="313" t="s">
        <v>276</v>
      </c>
      <c r="B94" s="310" t="s">
        <v>419</v>
      </c>
      <c r="C94" s="311">
        <f t="shared" ref="C94:M94" si="30">C95</f>
        <v>34</v>
      </c>
      <c r="D94" s="311">
        <f t="shared" si="30"/>
        <v>0</v>
      </c>
      <c r="E94" s="307">
        <f t="shared" si="30"/>
        <v>0</v>
      </c>
      <c r="F94" s="307">
        <f t="shared" si="30"/>
        <v>3433.8</v>
      </c>
      <c r="G94" s="307">
        <f t="shared" si="30"/>
        <v>76.800000000000011</v>
      </c>
      <c r="H94" s="307">
        <f t="shared" si="30"/>
        <v>76.800000000000011</v>
      </c>
      <c r="I94" s="307">
        <f t="shared" si="30"/>
        <v>0</v>
      </c>
      <c r="J94" s="307">
        <f t="shared" si="30"/>
        <v>0</v>
      </c>
      <c r="K94" s="307">
        <f t="shared" si="30"/>
        <v>0</v>
      </c>
      <c r="L94" s="307">
        <f t="shared" si="30"/>
        <v>1238</v>
      </c>
      <c r="M94" s="307">
        <f t="shared" si="30"/>
        <v>4595</v>
      </c>
      <c r="N94" s="308"/>
    </row>
    <row r="95" spans="1:15" s="300" customFormat="1" ht="51" customHeight="1">
      <c r="A95" s="295"/>
      <c r="B95" s="337" t="s">
        <v>418</v>
      </c>
      <c r="C95" s="311">
        <v>34</v>
      </c>
      <c r="D95" s="311">
        <v>0</v>
      </c>
      <c r="E95" s="338">
        <v>0</v>
      </c>
      <c r="F95" s="338">
        <v>3433.8</v>
      </c>
      <c r="G95" s="307">
        <f>H95+J95</f>
        <v>76.800000000000011</v>
      </c>
      <c r="H95" s="338">
        <v>76.800000000000011</v>
      </c>
      <c r="I95" s="338">
        <v>0</v>
      </c>
      <c r="J95" s="338">
        <v>0</v>
      </c>
      <c r="K95" s="338">
        <v>0</v>
      </c>
      <c r="L95" s="338">
        <v>1238</v>
      </c>
      <c r="M95" s="307">
        <f>F95+L95-H95-J95-K95</f>
        <v>4595</v>
      </c>
      <c r="N95" s="339" t="s">
        <v>770</v>
      </c>
      <c r="O95" s="300">
        <f>35+147+1056</f>
        <v>1238</v>
      </c>
    </row>
    <row r="96" spans="1:15" s="292" customFormat="1" ht="43.5" customHeight="1">
      <c r="A96" s="313" t="s">
        <v>276</v>
      </c>
      <c r="B96" s="310" t="s">
        <v>417</v>
      </c>
      <c r="C96" s="311"/>
      <c r="D96" s="311"/>
      <c r="E96" s="307"/>
      <c r="F96" s="307">
        <f t="shared" ref="F96:L96" si="31">SUM(F97:F100)</f>
        <v>28937</v>
      </c>
      <c r="G96" s="307">
        <f t="shared" si="31"/>
        <v>0</v>
      </c>
      <c r="H96" s="307">
        <f t="shared" si="31"/>
        <v>0</v>
      </c>
      <c r="I96" s="307">
        <f t="shared" si="31"/>
        <v>0</v>
      </c>
      <c r="J96" s="307">
        <f t="shared" si="31"/>
        <v>0</v>
      </c>
      <c r="K96" s="307">
        <f t="shared" si="31"/>
        <v>0</v>
      </c>
      <c r="L96" s="307">
        <f t="shared" si="31"/>
        <v>0</v>
      </c>
      <c r="M96" s="307">
        <f>F96+L96-H96-J96-K96</f>
        <v>28937</v>
      </c>
      <c r="N96" s="308"/>
    </row>
    <row r="97" spans="1:16" s="292" customFormat="1" ht="41.25" customHeight="1">
      <c r="A97" s="313" t="s">
        <v>60</v>
      </c>
      <c r="B97" s="337" t="s">
        <v>416</v>
      </c>
      <c r="C97" s="311" t="s">
        <v>1395</v>
      </c>
      <c r="D97" s="311"/>
      <c r="E97" s="307"/>
      <c r="F97" s="307">
        <v>24839.5</v>
      </c>
      <c r="G97" s="307"/>
      <c r="H97" s="307"/>
      <c r="I97" s="307"/>
      <c r="J97" s="307"/>
      <c r="K97" s="307"/>
      <c r="L97" s="307"/>
      <c r="M97" s="307">
        <f>F97+L97-G97-K97</f>
        <v>24839.5</v>
      </c>
      <c r="N97" s="308" t="s">
        <v>413</v>
      </c>
    </row>
    <row r="98" spans="1:16" s="292" customFormat="1" ht="84.75" customHeight="1">
      <c r="A98" s="313" t="s">
        <v>60</v>
      </c>
      <c r="B98" s="337" t="s">
        <v>415</v>
      </c>
      <c r="C98" s="311" t="s">
        <v>1396</v>
      </c>
      <c r="D98" s="311"/>
      <c r="E98" s="307"/>
      <c r="F98" s="307">
        <v>3789</v>
      </c>
      <c r="G98" s="307"/>
      <c r="H98" s="307"/>
      <c r="I98" s="307"/>
      <c r="J98" s="307"/>
      <c r="K98" s="307"/>
      <c r="L98" s="307"/>
      <c r="M98" s="307">
        <f>F98+L98-G98-K98</f>
        <v>3789</v>
      </c>
      <c r="N98" s="308" t="s">
        <v>858</v>
      </c>
    </row>
    <row r="99" spans="1:16" s="292" customFormat="1" ht="45" customHeight="1">
      <c r="A99" s="313" t="s">
        <v>60</v>
      </c>
      <c r="B99" s="337" t="s">
        <v>414</v>
      </c>
      <c r="C99" s="311" t="s">
        <v>1397</v>
      </c>
      <c r="D99" s="311"/>
      <c r="E99" s="307"/>
      <c r="F99" s="307">
        <v>178.5</v>
      </c>
      <c r="G99" s="307"/>
      <c r="H99" s="307"/>
      <c r="I99" s="307"/>
      <c r="J99" s="307"/>
      <c r="K99" s="307"/>
      <c r="L99" s="307"/>
      <c r="M99" s="307">
        <f>F99+L99-G99-K99</f>
        <v>178.5</v>
      </c>
      <c r="N99" s="308" t="s">
        <v>413</v>
      </c>
    </row>
    <row r="100" spans="1:16" s="292" customFormat="1" ht="45" customHeight="1">
      <c r="A100" s="313" t="s">
        <v>60</v>
      </c>
      <c r="B100" s="337" t="s">
        <v>412</v>
      </c>
      <c r="C100" s="311"/>
      <c r="D100" s="311"/>
      <c r="E100" s="307"/>
      <c r="F100" s="307">
        <v>130</v>
      </c>
      <c r="G100" s="307"/>
      <c r="H100" s="307"/>
      <c r="I100" s="307"/>
      <c r="J100" s="307"/>
      <c r="K100" s="307"/>
      <c r="L100" s="307"/>
      <c r="M100" s="307">
        <f>F100+L100-G100-K100</f>
        <v>130</v>
      </c>
      <c r="N100" s="316" t="s">
        <v>411</v>
      </c>
    </row>
    <row r="101" spans="1:16" s="292" customFormat="1" ht="35.25" customHeight="1">
      <c r="A101" s="295">
        <v>4</v>
      </c>
      <c r="B101" s="296" t="s">
        <v>410</v>
      </c>
      <c r="C101" s="297">
        <f t="shared" ref="C101:M101" si="32">C102+C103+C109+C110</f>
        <v>2320</v>
      </c>
      <c r="D101" s="297">
        <f t="shared" si="32"/>
        <v>112</v>
      </c>
      <c r="E101" s="298">
        <f t="shared" si="32"/>
        <v>0</v>
      </c>
      <c r="F101" s="298">
        <f t="shared" si="32"/>
        <v>424601.68000000005</v>
      </c>
      <c r="G101" s="298">
        <f t="shared" si="32"/>
        <v>15325.48</v>
      </c>
      <c r="H101" s="298">
        <f t="shared" si="32"/>
        <v>5658.7999999999993</v>
      </c>
      <c r="I101" s="298">
        <f t="shared" si="32"/>
        <v>157.68</v>
      </c>
      <c r="J101" s="298">
        <f t="shared" si="32"/>
        <v>9509</v>
      </c>
      <c r="K101" s="298">
        <f t="shared" si="32"/>
        <v>398</v>
      </c>
      <c r="L101" s="298">
        <f t="shared" si="32"/>
        <v>50167</v>
      </c>
      <c r="M101" s="298">
        <f t="shared" si="32"/>
        <v>459045.2</v>
      </c>
      <c r="N101" s="340"/>
      <c r="O101" s="291">
        <f>F101+L101-G101-K101-M101</f>
        <v>0</v>
      </c>
    </row>
    <row r="102" spans="1:16" s="300" customFormat="1" ht="176.25" customHeight="1">
      <c r="A102" s="295" t="s">
        <v>299</v>
      </c>
      <c r="B102" s="296" t="s">
        <v>320</v>
      </c>
      <c r="C102" s="297">
        <v>51</v>
      </c>
      <c r="D102" s="297">
        <v>5</v>
      </c>
      <c r="E102" s="298">
        <v>0</v>
      </c>
      <c r="F102" s="298">
        <v>8355.08</v>
      </c>
      <c r="G102" s="298">
        <f>SUM(H102:J102)</f>
        <v>332.88</v>
      </c>
      <c r="H102" s="298">
        <v>175.20000000000002</v>
      </c>
      <c r="I102" s="298">
        <v>157.68</v>
      </c>
      <c r="J102" s="298">
        <v>0</v>
      </c>
      <c r="K102" s="298">
        <v>0</v>
      </c>
      <c r="L102" s="298">
        <v>940</v>
      </c>
      <c r="M102" s="298">
        <f>F102+L102-G102-K102</f>
        <v>8962.2000000000007</v>
      </c>
      <c r="N102" s="308" t="s">
        <v>771</v>
      </c>
      <c r="O102" s="300">
        <f>510+99+25+21+60+30+50+130+15</f>
        <v>940</v>
      </c>
    </row>
    <row r="103" spans="1:16" s="300" customFormat="1" ht="42" customHeight="1">
      <c r="A103" s="295" t="s">
        <v>297</v>
      </c>
      <c r="B103" s="296" t="s">
        <v>409</v>
      </c>
      <c r="C103" s="297">
        <f>C104+C105+C106+C107+C109</f>
        <v>2109</v>
      </c>
      <c r="D103" s="297">
        <f>D104+D105+D106+D107+D109</f>
        <v>107</v>
      </c>
      <c r="E103" s="298">
        <f>E104+E105+E106+E107+E109</f>
        <v>0</v>
      </c>
      <c r="F103" s="298">
        <f t="shared" ref="F103:M103" si="33">F104+F105+F106+F107</f>
        <v>387610.2</v>
      </c>
      <c r="G103" s="298">
        <f t="shared" si="33"/>
        <v>12602.9</v>
      </c>
      <c r="H103" s="298">
        <f t="shared" si="33"/>
        <v>4988.2</v>
      </c>
      <c r="I103" s="298">
        <f t="shared" si="33"/>
        <v>0</v>
      </c>
      <c r="J103" s="298">
        <f t="shared" si="33"/>
        <v>7614.7000000000007</v>
      </c>
      <c r="K103" s="298">
        <f t="shared" si="33"/>
        <v>264.3</v>
      </c>
      <c r="L103" s="298">
        <f t="shared" si="33"/>
        <v>39745</v>
      </c>
      <c r="M103" s="298">
        <f t="shared" si="33"/>
        <v>414488</v>
      </c>
      <c r="N103" s="312"/>
      <c r="O103" s="341"/>
    </row>
    <row r="104" spans="1:16" s="292" customFormat="1" ht="57.75" customHeight="1">
      <c r="A104" s="313" t="s">
        <v>398</v>
      </c>
      <c r="B104" s="310" t="s">
        <v>408</v>
      </c>
      <c r="C104" s="311">
        <v>1682</v>
      </c>
      <c r="D104" s="311">
        <v>16</v>
      </c>
      <c r="E104" s="307">
        <v>0</v>
      </c>
      <c r="F104" s="307">
        <v>265185</v>
      </c>
      <c r="G104" s="307">
        <f>SUM(H104:J104)</f>
        <v>10912.6</v>
      </c>
      <c r="H104" s="307">
        <v>3930.5000000000005</v>
      </c>
      <c r="I104" s="307">
        <v>0</v>
      </c>
      <c r="J104" s="307">
        <v>6982.1</v>
      </c>
      <c r="K104" s="307">
        <v>264.3</v>
      </c>
      <c r="L104" s="307">
        <v>1962</v>
      </c>
      <c r="M104" s="307">
        <f>F104+L104-G104-K104</f>
        <v>255970.1</v>
      </c>
      <c r="N104" s="333" t="s">
        <v>859</v>
      </c>
      <c r="O104" s="292">
        <f>1652+295+15</f>
        <v>1962</v>
      </c>
      <c r="P104" s="342"/>
    </row>
    <row r="105" spans="1:16" s="292" customFormat="1" ht="57.75" customHeight="1">
      <c r="A105" s="313" t="s">
        <v>396</v>
      </c>
      <c r="B105" s="310" t="s">
        <v>407</v>
      </c>
      <c r="C105" s="311">
        <v>354</v>
      </c>
      <c r="D105" s="311">
        <v>85</v>
      </c>
      <c r="E105" s="307">
        <v>0</v>
      </c>
      <c r="F105" s="307">
        <v>111773.2</v>
      </c>
      <c r="G105" s="307">
        <f>SUM(H105:J105)</f>
        <v>890.30000000000007</v>
      </c>
      <c r="H105" s="307">
        <v>890.30000000000007</v>
      </c>
      <c r="I105" s="307">
        <v>0</v>
      </c>
      <c r="J105" s="307">
        <v>0</v>
      </c>
      <c r="K105" s="307">
        <v>0</v>
      </c>
      <c r="L105" s="307">
        <v>1299</v>
      </c>
      <c r="M105" s="307">
        <f>F105+L105-G105-K105</f>
        <v>112181.9</v>
      </c>
      <c r="N105" s="343" t="s">
        <v>772</v>
      </c>
      <c r="O105" s="292">
        <f>421+878</f>
        <v>1299</v>
      </c>
      <c r="P105" s="342"/>
    </row>
    <row r="106" spans="1:16" s="292" customFormat="1" ht="47.25" customHeight="1">
      <c r="A106" s="313" t="s">
        <v>394</v>
      </c>
      <c r="B106" s="310" t="s">
        <v>406</v>
      </c>
      <c r="C106" s="311">
        <v>73</v>
      </c>
      <c r="D106" s="311">
        <v>6</v>
      </c>
      <c r="E106" s="307">
        <v>0</v>
      </c>
      <c r="F106" s="307">
        <v>10652</v>
      </c>
      <c r="G106" s="307">
        <f>SUM(H106:J106)</f>
        <v>800</v>
      </c>
      <c r="H106" s="307">
        <v>167.4</v>
      </c>
      <c r="I106" s="307">
        <v>0</v>
      </c>
      <c r="J106" s="307">
        <v>632.6</v>
      </c>
      <c r="K106" s="307">
        <v>0</v>
      </c>
      <c r="L106" s="307">
        <v>65</v>
      </c>
      <c r="M106" s="307">
        <f>F106+L106-G106-K106</f>
        <v>9917</v>
      </c>
      <c r="N106" s="343" t="s">
        <v>330</v>
      </c>
    </row>
    <row r="107" spans="1:16" s="292" customFormat="1" ht="210" customHeight="1">
      <c r="A107" s="991" t="s">
        <v>405</v>
      </c>
      <c r="B107" s="1033" t="s">
        <v>404</v>
      </c>
      <c r="C107" s="1031"/>
      <c r="D107" s="1031"/>
      <c r="E107" s="1026"/>
      <c r="F107" s="1026"/>
      <c r="G107" s="1026">
        <f>SUM(H107:J107)</f>
        <v>0</v>
      </c>
      <c r="H107" s="1026"/>
      <c r="I107" s="345"/>
      <c r="J107" s="1026"/>
      <c r="K107" s="1026"/>
      <c r="L107" s="1026">
        <v>36419</v>
      </c>
      <c r="M107" s="1026">
        <f>F107+L107-G107-K107</f>
        <v>36419</v>
      </c>
      <c r="N107" s="308" t="s">
        <v>860</v>
      </c>
      <c r="O107" s="346">
        <f>4509+3106+50+700+2000+750+1800+3138+1000+1750+1500+900+1300+1500</f>
        <v>24003</v>
      </c>
    </row>
    <row r="108" spans="1:16" s="292" customFormat="1" ht="214.5" customHeight="1">
      <c r="A108" s="993"/>
      <c r="B108" s="1034"/>
      <c r="C108" s="1032"/>
      <c r="D108" s="1032"/>
      <c r="E108" s="1027"/>
      <c r="F108" s="1027"/>
      <c r="G108" s="1027"/>
      <c r="H108" s="1027"/>
      <c r="I108" s="347"/>
      <c r="J108" s="1027"/>
      <c r="K108" s="1027"/>
      <c r="L108" s="1027"/>
      <c r="M108" s="1027"/>
      <c r="N108" s="308" t="s">
        <v>861</v>
      </c>
      <c r="O108" s="346">
        <f>2822+290+577+930+7797</f>
        <v>12416</v>
      </c>
    </row>
    <row r="109" spans="1:16" s="300" customFormat="1" ht="60" customHeight="1">
      <c r="A109" s="295" t="s">
        <v>295</v>
      </c>
      <c r="B109" s="296" t="s">
        <v>403</v>
      </c>
      <c r="C109" s="297"/>
      <c r="D109" s="297"/>
      <c r="E109" s="298"/>
      <c r="F109" s="298"/>
      <c r="G109" s="307"/>
      <c r="H109" s="298"/>
      <c r="I109" s="298"/>
      <c r="J109" s="298"/>
      <c r="K109" s="298"/>
      <c r="L109" s="298">
        <v>9307</v>
      </c>
      <c r="M109" s="298">
        <f>F109+L109-G109-K109</f>
        <v>9307</v>
      </c>
      <c r="N109" s="333" t="s">
        <v>773</v>
      </c>
      <c r="O109" s="328"/>
    </row>
    <row r="110" spans="1:16" s="300" customFormat="1" ht="52.5" customHeight="1">
      <c r="A110" s="295" t="s">
        <v>291</v>
      </c>
      <c r="B110" s="296" t="s">
        <v>402</v>
      </c>
      <c r="C110" s="297">
        <v>160</v>
      </c>
      <c r="D110" s="297">
        <v>0</v>
      </c>
      <c r="E110" s="298">
        <v>0</v>
      </c>
      <c r="F110" s="298">
        <v>28636.400000000001</v>
      </c>
      <c r="G110" s="298">
        <f>H110+J110</f>
        <v>2389.6999999999998</v>
      </c>
      <c r="H110" s="298">
        <v>495.40000000000003</v>
      </c>
      <c r="I110" s="298">
        <v>0</v>
      </c>
      <c r="J110" s="298">
        <v>1894.3</v>
      </c>
      <c r="K110" s="298">
        <v>133.69999999999999</v>
      </c>
      <c r="L110" s="298">
        <v>175</v>
      </c>
      <c r="M110" s="298">
        <f>F110+L110-G110-K110</f>
        <v>26288</v>
      </c>
      <c r="N110" s="333" t="s">
        <v>774</v>
      </c>
      <c r="O110" s="300">
        <f>150+25</f>
        <v>175</v>
      </c>
    </row>
    <row r="111" spans="1:16" s="292" customFormat="1" ht="38.25" customHeight="1">
      <c r="A111" s="295">
        <v>5</v>
      </c>
      <c r="B111" s="296" t="s">
        <v>273</v>
      </c>
      <c r="C111" s="297">
        <f t="shared" ref="C111:M111" si="34">C112+C116+C122+C128</f>
        <v>540</v>
      </c>
      <c r="D111" s="297">
        <f t="shared" si="34"/>
        <v>9</v>
      </c>
      <c r="E111" s="298">
        <f t="shared" si="34"/>
        <v>12430</v>
      </c>
      <c r="F111" s="298">
        <f t="shared" si="34"/>
        <v>77567.66</v>
      </c>
      <c r="G111" s="298">
        <f t="shared" si="34"/>
        <v>4298.66</v>
      </c>
      <c r="H111" s="298">
        <f t="shared" si="34"/>
        <v>1612.5</v>
      </c>
      <c r="I111" s="298">
        <f t="shared" si="34"/>
        <v>167.76</v>
      </c>
      <c r="J111" s="298">
        <f t="shared" si="34"/>
        <v>2518.4</v>
      </c>
      <c r="K111" s="298">
        <f t="shared" si="34"/>
        <v>8636.5</v>
      </c>
      <c r="L111" s="298">
        <f t="shared" si="34"/>
        <v>14549</v>
      </c>
      <c r="M111" s="298">
        <f t="shared" si="34"/>
        <v>79181.5</v>
      </c>
      <c r="N111" s="326"/>
      <c r="O111" s="291">
        <f>F111+L111-G111-K111-M111</f>
        <v>0</v>
      </c>
    </row>
    <row r="112" spans="1:16" s="300" customFormat="1" ht="38.25" customHeight="1">
      <c r="A112" s="295" t="s">
        <v>299</v>
      </c>
      <c r="B112" s="296" t="s">
        <v>320</v>
      </c>
      <c r="C112" s="297">
        <f t="shared" ref="C112:M112" si="35">SUM(C113:C115)</f>
        <v>55</v>
      </c>
      <c r="D112" s="297">
        <f t="shared" si="35"/>
        <v>9</v>
      </c>
      <c r="E112" s="298">
        <f t="shared" si="35"/>
        <v>430</v>
      </c>
      <c r="F112" s="298">
        <f t="shared" si="35"/>
        <v>8873.16</v>
      </c>
      <c r="G112" s="298">
        <f t="shared" si="35"/>
        <v>416.16000000000008</v>
      </c>
      <c r="H112" s="298">
        <f t="shared" si="35"/>
        <v>186.4</v>
      </c>
      <c r="I112" s="298">
        <f t="shared" si="35"/>
        <v>167.76</v>
      </c>
      <c r="J112" s="298">
        <f t="shared" si="35"/>
        <v>62</v>
      </c>
      <c r="K112" s="298">
        <f t="shared" si="35"/>
        <v>0</v>
      </c>
      <c r="L112" s="298">
        <f t="shared" si="35"/>
        <v>3640</v>
      </c>
      <c r="M112" s="298">
        <f t="shared" si="35"/>
        <v>12097</v>
      </c>
      <c r="N112" s="326"/>
    </row>
    <row r="113" spans="1:17" s="292" customFormat="1" ht="168" customHeight="1">
      <c r="A113" s="313" t="s">
        <v>276</v>
      </c>
      <c r="B113" s="310" t="s">
        <v>401</v>
      </c>
      <c r="C113" s="311">
        <v>31</v>
      </c>
      <c r="D113" s="311">
        <v>5</v>
      </c>
      <c r="E113" s="307">
        <v>400</v>
      </c>
      <c r="F113" s="307">
        <v>5381.04</v>
      </c>
      <c r="G113" s="307">
        <f>SUM(H113:J113)</f>
        <v>270.24</v>
      </c>
      <c r="H113" s="307">
        <v>109.60000000000001</v>
      </c>
      <c r="I113" s="307">
        <v>98.64</v>
      </c>
      <c r="J113" s="307">
        <v>62</v>
      </c>
      <c r="K113" s="307">
        <v>0</v>
      </c>
      <c r="L113" s="307">
        <v>1043</v>
      </c>
      <c r="M113" s="307">
        <f>F113+L113-G113-K113</f>
        <v>6153.8</v>
      </c>
      <c r="N113" s="319" t="s">
        <v>775</v>
      </c>
      <c r="O113" s="292">
        <f>418+40+30+10+20+180+80+140+5+120</f>
        <v>1043</v>
      </c>
    </row>
    <row r="114" spans="1:17" s="292" customFormat="1" ht="301.5" customHeight="1">
      <c r="A114" s="313" t="s">
        <v>276</v>
      </c>
      <c r="B114" s="310" t="s">
        <v>822</v>
      </c>
      <c r="C114" s="311">
        <v>12</v>
      </c>
      <c r="D114" s="311">
        <v>2</v>
      </c>
      <c r="E114" s="307">
        <v>0</v>
      </c>
      <c r="F114" s="307">
        <v>1693.06</v>
      </c>
      <c r="G114" s="307">
        <f>SUM(H114:J114)</f>
        <v>72.960000000000008</v>
      </c>
      <c r="H114" s="307">
        <v>38.400000000000006</v>
      </c>
      <c r="I114" s="307">
        <v>34.56</v>
      </c>
      <c r="J114" s="307">
        <v>0</v>
      </c>
      <c r="K114" s="307">
        <v>0</v>
      </c>
      <c r="L114" s="307">
        <v>1233</v>
      </c>
      <c r="M114" s="307">
        <f>F114+L114-G114-K114</f>
        <v>2853.1</v>
      </c>
      <c r="N114" s="319" t="s">
        <v>862</v>
      </c>
      <c r="O114" s="292">
        <f>143+15+7+230+120+148+142+15+63+200+150</f>
        <v>1233</v>
      </c>
    </row>
    <row r="115" spans="1:17" s="292" customFormat="1" ht="135.75" customHeight="1">
      <c r="A115" s="313" t="s">
        <v>276</v>
      </c>
      <c r="B115" s="305" t="s">
        <v>400</v>
      </c>
      <c r="C115" s="311">
        <v>12</v>
      </c>
      <c r="D115" s="311">
        <v>2</v>
      </c>
      <c r="E115" s="307">
        <v>30</v>
      </c>
      <c r="F115" s="307">
        <v>1799.06</v>
      </c>
      <c r="G115" s="307">
        <f>SUM(H115:J115)</f>
        <v>72.960000000000008</v>
      </c>
      <c r="H115" s="307">
        <v>38.400000000000006</v>
      </c>
      <c r="I115" s="307">
        <v>34.56</v>
      </c>
      <c r="J115" s="307">
        <v>0</v>
      </c>
      <c r="K115" s="307">
        <v>0</v>
      </c>
      <c r="L115" s="307">
        <v>1364</v>
      </c>
      <c r="M115" s="307">
        <f>F115+L115-G115-K115</f>
        <v>3090.1</v>
      </c>
      <c r="N115" s="319" t="s">
        <v>863</v>
      </c>
      <c r="O115" s="292">
        <f>169+15+30+150+600+400</f>
        <v>1364</v>
      </c>
    </row>
    <row r="116" spans="1:17" s="300" customFormat="1" ht="39.75" customHeight="1">
      <c r="A116" s="295" t="s">
        <v>297</v>
      </c>
      <c r="B116" s="296" t="s">
        <v>399</v>
      </c>
      <c r="C116" s="297">
        <f t="shared" ref="C116:M116" si="36">C117+C118+C121</f>
        <v>414</v>
      </c>
      <c r="D116" s="297">
        <f t="shared" si="36"/>
        <v>0</v>
      </c>
      <c r="E116" s="298">
        <f t="shared" si="36"/>
        <v>12000</v>
      </c>
      <c r="F116" s="298">
        <f t="shared" si="36"/>
        <v>59503.199999999997</v>
      </c>
      <c r="G116" s="298">
        <f t="shared" si="36"/>
        <v>3077.2</v>
      </c>
      <c r="H116" s="298">
        <f t="shared" si="36"/>
        <v>1261</v>
      </c>
      <c r="I116" s="298">
        <f t="shared" si="36"/>
        <v>0</v>
      </c>
      <c r="J116" s="298">
        <f t="shared" si="36"/>
        <v>1816.2</v>
      </c>
      <c r="K116" s="298">
        <f t="shared" si="36"/>
        <v>8454.5</v>
      </c>
      <c r="L116" s="298">
        <f t="shared" si="36"/>
        <v>10577</v>
      </c>
      <c r="M116" s="298">
        <f t="shared" si="36"/>
        <v>58548.5</v>
      </c>
      <c r="N116" s="348"/>
    </row>
    <row r="117" spans="1:17" s="292" customFormat="1" ht="255" customHeight="1">
      <c r="A117" s="313" t="s">
        <v>398</v>
      </c>
      <c r="B117" s="310" t="s">
        <v>397</v>
      </c>
      <c r="C117" s="311">
        <v>225</v>
      </c>
      <c r="D117" s="311">
        <v>0</v>
      </c>
      <c r="E117" s="307">
        <v>12000</v>
      </c>
      <c r="F117" s="307">
        <v>32970.1</v>
      </c>
      <c r="G117" s="307">
        <f>SUM(H117:J117)</f>
        <v>2489.6</v>
      </c>
      <c r="H117" s="307">
        <v>796.6</v>
      </c>
      <c r="I117" s="307">
        <v>0</v>
      </c>
      <c r="J117" s="307">
        <v>1693</v>
      </c>
      <c r="K117" s="307">
        <v>8426</v>
      </c>
      <c r="L117" s="307">
        <v>3765</v>
      </c>
      <c r="M117" s="307">
        <f>F117+L117-G117-K117</f>
        <v>25819.5</v>
      </c>
      <c r="N117" s="319" t="s">
        <v>864</v>
      </c>
      <c r="O117" s="342">
        <f>278+300+260+1131+500+396+900</f>
        <v>3765</v>
      </c>
    </row>
    <row r="118" spans="1:17" s="292" customFormat="1" ht="270" customHeight="1">
      <c r="A118" s="991" t="s">
        <v>396</v>
      </c>
      <c r="B118" s="1033" t="s">
        <v>395</v>
      </c>
      <c r="C118" s="1031">
        <v>189</v>
      </c>
      <c r="D118" s="1031">
        <v>0</v>
      </c>
      <c r="E118" s="994">
        <v>0</v>
      </c>
      <c r="F118" s="994">
        <v>26533.1</v>
      </c>
      <c r="G118" s="994">
        <f>SUM(H118:J118)</f>
        <v>587.59999999999991</v>
      </c>
      <c r="H118" s="994">
        <v>464.4</v>
      </c>
      <c r="I118" s="994">
        <v>0</v>
      </c>
      <c r="J118" s="994">
        <v>123.19999999999999</v>
      </c>
      <c r="K118" s="994">
        <v>28.5</v>
      </c>
      <c r="L118" s="994">
        <v>5612</v>
      </c>
      <c r="M118" s="994">
        <f>F118+L118-G118-K118</f>
        <v>31529</v>
      </c>
      <c r="N118" s="319" t="s">
        <v>1078</v>
      </c>
      <c r="O118" s="292">
        <f>175+600+100+250+500+440+160</f>
        <v>2225</v>
      </c>
      <c r="Q118" s="292">
        <f>O118+O119+O120</f>
        <v>5612</v>
      </c>
    </row>
    <row r="119" spans="1:17" s="292" customFormat="1" ht="234.75" customHeight="1">
      <c r="A119" s="992"/>
      <c r="B119" s="1036"/>
      <c r="C119" s="1035"/>
      <c r="D119" s="1035"/>
      <c r="E119" s="995"/>
      <c r="F119" s="995"/>
      <c r="G119" s="995"/>
      <c r="H119" s="995"/>
      <c r="I119" s="995"/>
      <c r="J119" s="995"/>
      <c r="K119" s="995"/>
      <c r="L119" s="995"/>
      <c r="M119" s="995"/>
      <c r="N119" s="319" t="s">
        <v>865</v>
      </c>
      <c r="O119" s="292">
        <f>197+157+250+720+1125+85+20</f>
        <v>2554</v>
      </c>
    </row>
    <row r="120" spans="1:17" s="292" customFormat="1" ht="161.25" customHeight="1">
      <c r="A120" s="993"/>
      <c r="B120" s="1034"/>
      <c r="C120" s="1032"/>
      <c r="D120" s="1032"/>
      <c r="E120" s="996"/>
      <c r="F120" s="996"/>
      <c r="G120" s="996"/>
      <c r="H120" s="996"/>
      <c r="I120" s="996"/>
      <c r="J120" s="996"/>
      <c r="K120" s="996"/>
      <c r="L120" s="996"/>
      <c r="M120" s="996"/>
      <c r="N120" s="319" t="s">
        <v>866</v>
      </c>
      <c r="O120" s="292">
        <f>450+200+30+33+10+80+30</f>
        <v>833</v>
      </c>
    </row>
    <row r="121" spans="1:17" s="292" customFormat="1" ht="128.25" customHeight="1">
      <c r="A121" s="313" t="s">
        <v>394</v>
      </c>
      <c r="B121" s="310" t="s">
        <v>393</v>
      </c>
      <c r="C121" s="311"/>
      <c r="D121" s="311"/>
      <c r="E121" s="307"/>
      <c r="F121" s="307">
        <v>0</v>
      </c>
      <c r="G121" s="307"/>
      <c r="H121" s="307"/>
      <c r="I121" s="307"/>
      <c r="J121" s="307"/>
      <c r="K121" s="307"/>
      <c r="L121" s="307">
        <v>1200</v>
      </c>
      <c r="M121" s="307">
        <f>F121+L121-G121-K121</f>
        <v>1200</v>
      </c>
      <c r="N121" s="319" t="s">
        <v>867</v>
      </c>
      <c r="O121" s="292">
        <f>500+300+400</f>
        <v>1200</v>
      </c>
    </row>
    <row r="122" spans="1:17" s="300" customFormat="1" ht="41.25" customHeight="1">
      <c r="A122" s="295" t="s">
        <v>295</v>
      </c>
      <c r="B122" s="296" t="s">
        <v>392</v>
      </c>
      <c r="C122" s="297"/>
      <c r="D122" s="297"/>
      <c r="E122" s="298"/>
      <c r="F122" s="298"/>
      <c r="G122" s="298"/>
      <c r="H122" s="298"/>
      <c r="I122" s="298"/>
      <c r="J122" s="298"/>
      <c r="K122" s="298"/>
      <c r="L122" s="307">
        <f>SUM(L123:L127)</f>
        <v>332</v>
      </c>
      <c r="M122" s="307">
        <f>SUM(M123:M127)</f>
        <v>332</v>
      </c>
      <c r="N122" s="349"/>
    </row>
    <row r="123" spans="1:17" s="300" customFormat="1" ht="46.5" customHeight="1">
      <c r="A123" s="295" t="s">
        <v>3</v>
      </c>
      <c r="B123" s="310" t="s">
        <v>391</v>
      </c>
      <c r="C123" s="297"/>
      <c r="D123" s="297"/>
      <c r="E123" s="298"/>
      <c r="F123" s="298"/>
      <c r="G123" s="298"/>
      <c r="H123" s="298"/>
      <c r="I123" s="298"/>
      <c r="J123" s="298"/>
      <c r="K123" s="298"/>
      <c r="L123" s="307">
        <v>32</v>
      </c>
      <c r="M123" s="307">
        <f t="shared" ref="M123:M128" si="37">F123+L123-G123-K123</f>
        <v>32</v>
      </c>
      <c r="N123" s="333" t="s">
        <v>390</v>
      </c>
    </row>
    <row r="124" spans="1:17" s="300" customFormat="1" ht="46.5" customHeight="1">
      <c r="A124" s="295" t="s">
        <v>3</v>
      </c>
      <c r="B124" s="310" t="s">
        <v>389</v>
      </c>
      <c r="C124" s="297"/>
      <c r="D124" s="297"/>
      <c r="E124" s="298"/>
      <c r="F124" s="298"/>
      <c r="G124" s="298"/>
      <c r="H124" s="298"/>
      <c r="I124" s="298"/>
      <c r="J124" s="298"/>
      <c r="K124" s="298"/>
      <c r="L124" s="307">
        <v>30</v>
      </c>
      <c r="M124" s="307">
        <f t="shared" si="37"/>
        <v>30</v>
      </c>
      <c r="N124" s="333" t="s">
        <v>388</v>
      </c>
    </row>
    <row r="125" spans="1:17" s="300" customFormat="1" ht="46.5" customHeight="1">
      <c r="A125" s="295" t="s">
        <v>3</v>
      </c>
      <c r="B125" s="310" t="s">
        <v>387</v>
      </c>
      <c r="C125" s="297"/>
      <c r="D125" s="297"/>
      <c r="E125" s="298"/>
      <c r="F125" s="298"/>
      <c r="G125" s="298"/>
      <c r="H125" s="298"/>
      <c r="I125" s="298"/>
      <c r="J125" s="298"/>
      <c r="K125" s="298"/>
      <c r="L125" s="307">
        <v>90</v>
      </c>
      <c r="M125" s="307">
        <f t="shared" si="37"/>
        <v>90</v>
      </c>
      <c r="N125" s="333" t="s">
        <v>386</v>
      </c>
    </row>
    <row r="126" spans="1:17" s="300" customFormat="1" ht="46.5" customHeight="1">
      <c r="A126" s="295" t="s">
        <v>3</v>
      </c>
      <c r="B126" s="310" t="s">
        <v>823</v>
      </c>
      <c r="C126" s="297"/>
      <c r="D126" s="297"/>
      <c r="E126" s="298"/>
      <c r="F126" s="298"/>
      <c r="G126" s="298"/>
      <c r="H126" s="298"/>
      <c r="I126" s="298"/>
      <c r="J126" s="298"/>
      <c r="K126" s="298"/>
      <c r="L126" s="307">
        <v>90</v>
      </c>
      <c r="M126" s="307">
        <f t="shared" si="37"/>
        <v>90</v>
      </c>
      <c r="N126" s="333" t="s">
        <v>385</v>
      </c>
    </row>
    <row r="127" spans="1:17" s="300" customFormat="1" ht="46.5" customHeight="1">
      <c r="A127" s="295" t="s">
        <v>3</v>
      </c>
      <c r="B127" s="310" t="s">
        <v>824</v>
      </c>
      <c r="C127" s="297"/>
      <c r="D127" s="297"/>
      <c r="E127" s="298"/>
      <c r="F127" s="298"/>
      <c r="G127" s="298"/>
      <c r="H127" s="298"/>
      <c r="I127" s="298"/>
      <c r="J127" s="298"/>
      <c r="K127" s="298"/>
      <c r="L127" s="307">
        <v>90</v>
      </c>
      <c r="M127" s="307">
        <f t="shared" si="37"/>
        <v>90</v>
      </c>
      <c r="N127" s="333" t="s">
        <v>384</v>
      </c>
    </row>
    <row r="128" spans="1:17" s="300" customFormat="1" ht="46.5" customHeight="1">
      <c r="A128" s="295" t="s">
        <v>291</v>
      </c>
      <c r="B128" s="296" t="s">
        <v>383</v>
      </c>
      <c r="C128" s="297">
        <v>71</v>
      </c>
      <c r="D128" s="297">
        <v>0</v>
      </c>
      <c r="E128" s="298">
        <v>0</v>
      </c>
      <c r="F128" s="298">
        <v>9191.2999999999993</v>
      </c>
      <c r="G128" s="298">
        <f>H128+J128</f>
        <v>805.30000000000007</v>
      </c>
      <c r="H128" s="298">
        <v>165.10000000000002</v>
      </c>
      <c r="I128" s="298">
        <v>0</v>
      </c>
      <c r="J128" s="298">
        <v>640.20000000000005</v>
      </c>
      <c r="K128" s="298">
        <v>182</v>
      </c>
      <c r="L128" s="298">
        <v>0</v>
      </c>
      <c r="M128" s="298">
        <f t="shared" si="37"/>
        <v>8204</v>
      </c>
      <c r="N128" s="326"/>
    </row>
    <row r="129" spans="1:15" s="292" customFormat="1" ht="36.75" customHeight="1">
      <c r="A129" s="295">
        <v>6</v>
      </c>
      <c r="B129" s="296" t="s">
        <v>825</v>
      </c>
      <c r="C129" s="309">
        <f t="shared" ref="C129:M129" si="38">C130+C133+C136</f>
        <v>122</v>
      </c>
      <c r="D129" s="309">
        <f t="shared" si="38"/>
        <v>78</v>
      </c>
      <c r="E129" s="298">
        <f t="shared" si="38"/>
        <v>0</v>
      </c>
      <c r="F129" s="298">
        <f t="shared" si="38"/>
        <v>17940.68</v>
      </c>
      <c r="G129" s="298">
        <f t="shared" si="38"/>
        <v>476.08000000000004</v>
      </c>
      <c r="H129" s="298">
        <f t="shared" si="38"/>
        <v>332.80000000000007</v>
      </c>
      <c r="I129" s="298">
        <f t="shared" si="38"/>
        <v>143.28</v>
      </c>
      <c r="J129" s="298">
        <f t="shared" si="38"/>
        <v>0</v>
      </c>
      <c r="K129" s="298">
        <f t="shared" si="38"/>
        <v>0</v>
      </c>
      <c r="L129" s="298">
        <f t="shared" si="38"/>
        <v>35396</v>
      </c>
      <c r="M129" s="298">
        <f t="shared" si="38"/>
        <v>52860.6</v>
      </c>
      <c r="N129" s="308"/>
      <c r="O129" s="291">
        <f>F129+L129-G129-K129-M129</f>
        <v>0</v>
      </c>
    </row>
    <row r="130" spans="1:15" s="300" customFormat="1" ht="36.75" customHeight="1">
      <c r="A130" s="295" t="s">
        <v>299</v>
      </c>
      <c r="B130" s="296" t="s">
        <v>320</v>
      </c>
      <c r="C130" s="297">
        <f t="shared" ref="C130:M130" si="39">C131</f>
        <v>46</v>
      </c>
      <c r="D130" s="297">
        <f t="shared" si="39"/>
        <v>6</v>
      </c>
      <c r="E130" s="298">
        <f t="shared" si="39"/>
        <v>0</v>
      </c>
      <c r="F130" s="298">
        <f t="shared" si="39"/>
        <v>7379.08</v>
      </c>
      <c r="G130" s="298">
        <f t="shared" si="39"/>
        <v>302.48</v>
      </c>
      <c r="H130" s="298">
        <f t="shared" si="39"/>
        <v>159.20000000000002</v>
      </c>
      <c r="I130" s="298">
        <f t="shared" si="39"/>
        <v>143.28</v>
      </c>
      <c r="J130" s="298">
        <f t="shared" si="39"/>
        <v>0</v>
      </c>
      <c r="K130" s="298">
        <f t="shared" si="39"/>
        <v>0</v>
      </c>
      <c r="L130" s="298">
        <f t="shared" si="39"/>
        <v>1909</v>
      </c>
      <c r="M130" s="298">
        <f t="shared" si="39"/>
        <v>8985.6</v>
      </c>
      <c r="N130" s="312"/>
    </row>
    <row r="131" spans="1:15" s="292" customFormat="1" ht="198" customHeight="1">
      <c r="A131" s="991" t="s">
        <v>276</v>
      </c>
      <c r="B131" s="991" t="s">
        <v>1086</v>
      </c>
      <c r="C131" s="1031">
        <v>46</v>
      </c>
      <c r="D131" s="1031">
        <v>6</v>
      </c>
      <c r="E131" s="1026">
        <v>0</v>
      </c>
      <c r="F131" s="1026">
        <v>7379.08</v>
      </c>
      <c r="G131" s="1026">
        <f>SUM(H131:J131)</f>
        <v>302.48</v>
      </c>
      <c r="H131" s="1026">
        <v>159.20000000000002</v>
      </c>
      <c r="I131" s="1026">
        <v>143.28</v>
      </c>
      <c r="J131" s="1026">
        <v>0</v>
      </c>
      <c r="K131" s="1026">
        <v>0</v>
      </c>
      <c r="L131" s="1026">
        <v>1909</v>
      </c>
      <c r="M131" s="1026">
        <f>F131+L131-G131-K131</f>
        <v>8985.6</v>
      </c>
      <c r="N131" s="1050" t="s">
        <v>868</v>
      </c>
      <c r="O131" s="1049">
        <f>466+80+35+30+10+30+60+50+169+60+70+20+50+80+184+15+500</f>
        <v>1909</v>
      </c>
    </row>
    <row r="132" spans="1:15" s="292" customFormat="1" ht="252.75" customHeight="1">
      <c r="A132" s="993"/>
      <c r="B132" s="993"/>
      <c r="C132" s="1032"/>
      <c r="D132" s="1032"/>
      <c r="E132" s="1027"/>
      <c r="F132" s="1027"/>
      <c r="G132" s="1027"/>
      <c r="H132" s="1027"/>
      <c r="I132" s="1027"/>
      <c r="J132" s="1027"/>
      <c r="K132" s="1027"/>
      <c r="L132" s="1027"/>
      <c r="M132" s="1027"/>
      <c r="N132" s="1051"/>
      <c r="O132" s="1049"/>
    </row>
    <row r="133" spans="1:15" s="300" customFormat="1" ht="29.25" customHeight="1">
      <c r="A133" s="295" t="s">
        <v>297</v>
      </c>
      <c r="B133" s="296" t="s">
        <v>382</v>
      </c>
      <c r="C133" s="297"/>
      <c r="D133" s="297"/>
      <c r="E133" s="298"/>
      <c r="F133" s="307"/>
      <c r="G133" s="298"/>
      <c r="H133" s="298"/>
      <c r="I133" s="298"/>
      <c r="J133" s="298"/>
      <c r="K133" s="298"/>
      <c r="L133" s="298">
        <f>L134+L135</f>
        <v>310</v>
      </c>
      <c r="M133" s="298">
        <f>M134+M135</f>
        <v>310</v>
      </c>
      <c r="N133" s="308"/>
    </row>
    <row r="134" spans="1:15" s="292" customFormat="1" ht="114.75" customHeight="1">
      <c r="A134" s="313" t="s">
        <v>276</v>
      </c>
      <c r="B134" s="310" t="s">
        <v>826</v>
      </c>
      <c r="C134" s="311"/>
      <c r="D134" s="311"/>
      <c r="E134" s="307"/>
      <c r="F134" s="307"/>
      <c r="G134" s="307"/>
      <c r="H134" s="307"/>
      <c r="I134" s="307"/>
      <c r="J134" s="307"/>
      <c r="K134" s="307"/>
      <c r="L134" s="307">
        <v>170</v>
      </c>
      <c r="M134" s="307">
        <f>F134+L134-G134-K134</f>
        <v>170</v>
      </c>
      <c r="N134" s="308" t="s">
        <v>381</v>
      </c>
    </row>
    <row r="135" spans="1:15" s="292" customFormat="1" ht="79.5" customHeight="1">
      <c r="A135" s="313" t="s">
        <v>276</v>
      </c>
      <c r="B135" s="310" t="s">
        <v>380</v>
      </c>
      <c r="C135" s="311"/>
      <c r="D135" s="311"/>
      <c r="E135" s="307"/>
      <c r="F135" s="307"/>
      <c r="G135" s="307"/>
      <c r="H135" s="307"/>
      <c r="I135" s="307"/>
      <c r="J135" s="307"/>
      <c r="K135" s="307"/>
      <c r="L135" s="307">
        <v>140</v>
      </c>
      <c r="M135" s="307">
        <f>F135+L135-G135-K135</f>
        <v>140</v>
      </c>
      <c r="N135" s="308" t="s">
        <v>869</v>
      </c>
    </row>
    <row r="136" spans="1:15" s="300" customFormat="1" ht="58.5" customHeight="1">
      <c r="A136" s="295" t="s">
        <v>295</v>
      </c>
      <c r="B136" s="296" t="s">
        <v>294</v>
      </c>
      <c r="C136" s="297">
        <f t="shared" ref="C136:M136" si="40">C137+C142</f>
        <v>76</v>
      </c>
      <c r="D136" s="297">
        <f t="shared" si="40"/>
        <v>72</v>
      </c>
      <c r="E136" s="298">
        <f t="shared" si="40"/>
        <v>0</v>
      </c>
      <c r="F136" s="298">
        <f t="shared" si="40"/>
        <v>10561.6</v>
      </c>
      <c r="G136" s="298">
        <f t="shared" si="40"/>
        <v>173.60000000000002</v>
      </c>
      <c r="H136" s="298">
        <f t="shared" si="40"/>
        <v>173.60000000000002</v>
      </c>
      <c r="I136" s="298">
        <f t="shared" si="40"/>
        <v>0</v>
      </c>
      <c r="J136" s="298">
        <f t="shared" si="40"/>
        <v>0</v>
      </c>
      <c r="K136" s="298">
        <f t="shared" si="40"/>
        <v>0</v>
      </c>
      <c r="L136" s="298">
        <f t="shared" si="40"/>
        <v>33177</v>
      </c>
      <c r="M136" s="298">
        <f t="shared" si="40"/>
        <v>43565</v>
      </c>
      <c r="N136" s="312"/>
    </row>
    <row r="137" spans="1:15" s="300" customFormat="1" ht="60" customHeight="1">
      <c r="A137" s="295" t="s">
        <v>379</v>
      </c>
      <c r="B137" s="296" t="s">
        <v>309</v>
      </c>
      <c r="C137" s="297">
        <f t="shared" ref="C137:M137" si="41">SUM(C138:C141)</f>
        <v>76</v>
      </c>
      <c r="D137" s="297">
        <f t="shared" si="41"/>
        <v>72</v>
      </c>
      <c r="E137" s="298">
        <f t="shared" si="41"/>
        <v>0</v>
      </c>
      <c r="F137" s="298">
        <f t="shared" si="41"/>
        <v>10561.6</v>
      </c>
      <c r="G137" s="298">
        <f t="shared" si="41"/>
        <v>173.60000000000002</v>
      </c>
      <c r="H137" s="298">
        <f t="shared" si="41"/>
        <v>173.60000000000002</v>
      </c>
      <c r="I137" s="298">
        <f t="shared" si="41"/>
        <v>0</v>
      </c>
      <c r="J137" s="298">
        <f t="shared" si="41"/>
        <v>0</v>
      </c>
      <c r="K137" s="298">
        <f t="shared" si="41"/>
        <v>0</v>
      </c>
      <c r="L137" s="298">
        <f t="shared" si="41"/>
        <v>19517</v>
      </c>
      <c r="M137" s="298">
        <f t="shared" si="41"/>
        <v>29904.999999999996</v>
      </c>
      <c r="N137" s="312"/>
    </row>
    <row r="138" spans="1:15" s="292" customFormat="1" ht="219" customHeight="1">
      <c r="A138" s="313" t="s">
        <v>276</v>
      </c>
      <c r="B138" s="310" t="s">
        <v>378</v>
      </c>
      <c r="C138" s="311">
        <v>26</v>
      </c>
      <c r="D138" s="311">
        <v>40</v>
      </c>
      <c r="E138" s="307">
        <v>0</v>
      </c>
      <c r="F138" s="307">
        <v>4066</v>
      </c>
      <c r="G138" s="307">
        <f>SUM(H138:J138)</f>
        <v>59.2</v>
      </c>
      <c r="H138" s="307">
        <v>59.2</v>
      </c>
      <c r="I138" s="307">
        <v>0</v>
      </c>
      <c r="J138" s="307">
        <v>0</v>
      </c>
      <c r="K138" s="307">
        <v>0</v>
      </c>
      <c r="L138" s="307">
        <v>10214</v>
      </c>
      <c r="M138" s="307">
        <f>F138+L138-G138-K138</f>
        <v>14220.8</v>
      </c>
      <c r="N138" s="308" t="s">
        <v>870</v>
      </c>
      <c r="O138" s="292">
        <f>3260+35+849+5600+100+48+96+10+6+110+100</f>
        <v>10214</v>
      </c>
    </row>
    <row r="139" spans="1:15" s="292" customFormat="1" ht="331.5" customHeight="1">
      <c r="A139" s="313" t="s">
        <v>276</v>
      </c>
      <c r="B139" s="310" t="s">
        <v>377</v>
      </c>
      <c r="C139" s="311">
        <v>26</v>
      </c>
      <c r="D139" s="311">
        <v>22</v>
      </c>
      <c r="E139" s="307">
        <v>0</v>
      </c>
      <c r="F139" s="307">
        <v>3654.6</v>
      </c>
      <c r="G139" s="307">
        <f>SUM(H139:J139)</f>
        <v>59.2</v>
      </c>
      <c r="H139" s="307">
        <v>59.2</v>
      </c>
      <c r="I139" s="307"/>
      <c r="J139" s="307">
        <v>0</v>
      </c>
      <c r="K139" s="307">
        <v>0</v>
      </c>
      <c r="L139" s="307">
        <v>6026</v>
      </c>
      <c r="M139" s="307">
        <f>F139+L139-G139-K139</f>
        <v>9621.4</v>
      </c>
      <c r="N139" s="308" t="s">
        <v>871</v>
      </c>
      <c r="O139" s="292">
        <f>1699+35+2635+400+72+80+70+380+200+143+100+10+30+7+165</f>
        <v>6026</v>
      </c>
    </row>
    <row r="140" spans="1:15" s="292" customFormat="1" ht="73.5" customHeight="1">
      <c r="A140" s="313" t="s">
        <v>276</v>
      </c>
      <c r="B140" s="310" t="s">
        <v>827</v>
      </c>
      <c r="C140" s="311">
        <v>13</v>
      </c>
      <c r="D140" s="311">
        <v>0</v>
      </c>
      <c r="E140" s="307">
        <v>0</v>
      </c>
      <c r="F140" s="307">
        <v>1506</v>
      </c>
      <c r="G140" s="307">
        <f>SUM(H140:J140)</f>
        <v>29.900000000000002</v>
      </c>
      <c r="H140" s="307">
        <v>29.900000000000002</v>
      </c>
      <c r="I140" s="307"/>
      <c r="J140" s="307">
        <v>0</v>
      </c>
      <c r="K140" s="307">
        <v>0</v>
      </c>
      <c r="L140" s="307">
        <v>134</v>
      </c>
      <c r="M140" s="307">
        <f>F140+L140-G140-K140</f>
        <v>1610.1</v>
      </c>
      <c r="N140" s="308" t="s">
        <v>776</v>
      </c>
      <c r="O140" s="292">
        <f>14+120</f>
        <v>134</v>
      </c>
    </row>
    <row r="141" spans="1:15" s="292" customFormat="1" ht="148.5" customHeight="1">
      <c r="A141" s="313" t="s">
        <v>276</v>
      </c>
      <c r="B141" s="310" t="s">
        <v>828</v>
      </c>
      <c r="C141" s="311">
        <v>11</v>
      </c>
      <c r="D141" s="311">
        <v>10</v>
      </c>
      <c r="E141" s="307">
        <v>0</v>
      </c>
      <c r="F141" s="307">
        <v>1335</v>
      </c>
      <c r="G141" s="307">
        <f>SUM(H141:J141)</f>
        <v>25.3</v>
      </c>
      <c r="H141" s="307">
        <v>25.3</v>
      </c>
      <c r="I141" s="307">
        <v>0</v>
      </c>
      <c r="J141" s="307">
        <v>0</v>
      </c>
      <c r="K141" s="307">
        <v>0</v>
      </c>
      <c r="L141" s="307">
        <v>3143</v>
      </c>
      <c r="M141" s="307">
        <f>F141+L141-G141-K141</f>
        <v>4452.7</v>
      </c>
      <c r="N141" s="308" t="s">
        <v>777</v>
      </c>
      <c r="O141" s="292">
        <f>667+14+100+2146+160+6+50</f>
        <v>3143</v>
      </c>
    </row>
    <row r="142" spans="1:15" s="300" customFormat="1" ht="337.5">
      <c r="A142" s="1037" t="s">
        <v>376</v>
      </c>
      <c r="B142" s="1039" t="s">
        <v>375</v>
      </c>
      <c r="C142" s="1041"/>
      <c r="D142" s="1041"/>
      <c r="E142" s="1044"/>
      <c r="F142" s="1044"/>
      <c r="G142" s="1044"/>
      <c r="H142" s="1044"/>
      <c r="I142" s="351"/>
      <c r="J142" s="1044"/>
      <c r="K142" s="1044"/>
      <c r="L142" s="1016">
        <v>13660</v>
      </c>
      <c r="M142" s="1040">
        <f>F142+L142-G142-K142</f>
        <v>13660</v>
      </c>
      <c r="N142" s="308" t="s">
        <v>778</v>
      </c>
      <c r="O142" s="300">
        <f>713+80+60+250+48+200+1380+755+210+240+160+100+140+60</f>
        <v>4396</v>
      </c>
    </row>
    <row r="143" spans="1:15" s="300" customFormat="1" ht="336.75" customHeight="1">
      <c r="A143" s="1038"/>
      <c r="B143" s="1038"/>
      <c r="C143" s="1042"/>
      <c r="D143" s="1042"/>
      <c r="E143" s="1045"/>
      <c r="F143" s="1045"/>
      <c r="G143" s="1045"/>
      <c r="H143" s="1045"/>
      <c r="I143" s="352"/>
      <c r="J143" s="1045"/>
      <c r="K143" s="1045"/>
      <c r="L143" s="1016"/>
      <c r="M143" s="1040"/>
      <c r="N143" s="308" t="s">
        <v>779</v>
      </c>
      <c r="O143" s="300">
        <f>100+1200+128+71+65+300+100+150+100+50+82</f>
        <v>2346</v>
      </c>
    </row>
    <row r="144" spans="1:15" s="300" customFormat="1" ht="308.25" customHeight="1">
      <c r="A144" s="1038"/>
      <c r="B144" s="1038"/>
      <c r="C144" s="1043"/>
      <c r="D144" s="1043"/>
      <c r="E144" s="1046"/>
      <c r="F144" s="1046"/>
      <c r="G144" s="1046"/>
      <c r="H144" s="1046"/>
      <c r="I144" s="354"/>
      <c r="J144" s="1046"/>
      <c r="K144" s="1046"/>
      <c r="L144" s="1016"/>
      <c r="M144" s="1040"/>
      <c r="N144" s="333" t="s">
        <v>780</v>
      </c>
      <c r="O144" s="300">
        <f>100+3500+200+1722+701+345+250+100</f>
        <v>6918</v>
      </c>
    </row>
    <row r="145" spans="1:15" s="292" customFormat="1" ht="44.25" customHeight="1">
      <c r="A145" s="295">
        <v>7</v>
      </c>
      <c r="B145" s="296" t="s">
        <v>374</v>
      </c>
      <c r="C145" s="297">
        <f t="shared" ref="C145:M145" si="42">C146+C149+C151</f>
        <v>52</v>
      </c>
      <c r="D145" s="297">
        <f t="shared" si="42"/>
        <v>8</v>
      </c>
      <c r="E145" s="298">
        <f t="shared" si="42"/>
        <v>540</v>
      </c>
      <c r="F145" s="298">
        <f t="shared" si="42"/>
        <v>7201.0599999999995</v>
      </c>
      <c r="G145" s="298">
        <f t="shared" si="42"/>
        <v>276.56000000000006</v>
      </c>
      <c r="H145" s="298">
        <f t="shared" si="42"/>
        <v>161.9</v>
      </c>
      <c r="I145" s="298">
        <f t="shared" si="42"/>
        <v>114.66000000000001</v>
      </c>
      <c r="J145" s="298">
        <f t="shared" si="42"/>
        <v>0</v>
      </c>
      <c r="K145" s="298">
        <f t="shared" si="42"/>
        <v>0</v>
      </c>
      <c r="L145" s="298">
        <f t="shared" si="42"/>
        <v>30200</v>
      </c>
      <c r="M145" s="298">
        <f t="shared" si="42"/>
        <v>37124.5</v>
      </c>
      <c r="N145" s="326"/>
      <c r="O145" s="291">
        <f>F145+L145-G145-K145-M145</f>
        <v>0</v>
      </c>
    </row>
    <row r="146" spans="1:15" s="300" customFormat="1" ht="44.25" customHeight="1">
      <c r="A146" s="295" t="s">
        <v>299</v>
      </c>
      <c r="B146" s="296" t="s">
        <v>373</v>
      </c>
      <c r="C146" s="297">
        <f t="shared" ref="C146:M146" si="43">SUM(C147:C148)</f>
        <v>37</v>
      </c>
      <c r="D146" s="297">
        <f t="shared" si="43"/>
        <v>8</v>
      </c>
      <c r="E146" s="298">
        <f t="shared" si="43"/>
        <v>0</v>
      </c>
      <c r="F146" s="298">
        <f t="shared" si="43"/>
        <v>5626.0599999999995</v>
      </c>
      <c r="G146" s="298">
        <f t="shared" si="43"/>
        <v>242.06000000000003</v>
      </c>
      <c r="H146" s="298">
        <f t="shared" si="43"/>
        <v>127.4</v>
      </c>
      <c r="I146" s="298">
        <f t="shared" si="43"/>
        <v>114.66000000000001</v>
      </c>
      <c r="J146" s="298">
        <f t="shared" si="43"/>
        <v>0</v>
      </c>
      <c r="K146" s="298">
        <f t="shared" si="43"/>
        <v>0</v>
      </c>
      <c r="L146" s="298">
        <f t="shared" si="43"/>
        <v>10574</v>
      </c>
      <c r="M146" s="298">
        <f t="shared" si="43"/>
        <v>15958</v>
      </c>
      <c r="N146" s="326"/>
    </row>
    <row r="147" spans="1:15" s="292" customFormat="1" ht="242.25" customHeight="1">
      <c r="A147" s="313" t="s">
        <v>3</v>
      </c>
      <c r="B147" s="310" t="s">
        <v>372</v>
      </c>
      <c r="C147" s="311">
        <v>25</v>
      </c>
      <c r="D147" s="311">
        <v>5</v>
      </c>
      <c r="E147" s="307">
        <v>0</v>
      </c>
      <c r="F147" s="307">
        <v>3935</v>
      </c>
      <c r="G147" s="307">
        <f>SUM(H147:J147)</f>
        <v>169.10000000000002</v>
      </c>
      <c r="H147" s="307">
        <v>89</v>
      </c>
      <c r="I147" s="307">
        <v>80.100000000000009</v>
      </c>
      <c r="J147" s="307">
        <v>0</v>
      </c>
      <c r="K147" s="307">
        <v>0</v>
      </c>
      <c r="L147" s="307">
        <v>9510</v>
      </c>
      <c r="M147" s="307">
        <f>F147+L147-G147-K147</f>
        <v>13275.9</v>
      </c>
      <c r="N147" s="316" t="s">
        <v>781</v>
      </c>
      <c r="O147" s="355">
        <f>422+68+40+15+90+70+5+80+120+2200+5500+50+800+50</f>
        <v>9510</v>
      </c>
    </row>
    <row r="148" spans="1:15" s="292" customFormat="1" ht="174.75" customHeight="1">
      <c r="A148" s="313" t="s">
        <v>3</v>
      </c>
      <c r="B148" s="310" t="s">
        <v>371</v>
      </c>
      <c r="C148" s="311">
        <v>12</v>
      </c>
      <c r="D148" s="311">
        <v>3</v>
      </c>
      <c r="E148" s="307"/>
      <c r="F148" s="307">
        <v>1691.06</v>
      </c>
      <c r="G148" s="307">
        <f>SUM(H148:J148)</f>
        <v>72.960000000000008</v>
      </c>
      <c r="H148" s="307">
        <v>38.400000000000006</v>
      </c>
      <c r="I148" s="307">
        <v>34.56</v>
      </c>
      <c r="J148" s="307">
        <v>0</v>
      </c>
      <c r="K148" s="307">
        <v>0</v>
      </c>
      <c r="L148" s="307">
        <v>1064</v>
      </c>
      <c r="M148" s="307">
        <f>F148+L148-G148-K148</f>
        <v>2682.1</v>
      </c>
      <c r="N148" s="316" t="s">
        <v>782</v>
      </c>
      <c r="O148" s="356">
        <f>244+50+500+150+100+20</f>
        <v>1064</v>
      </c>
    </row>
    <row r="149" spans="1:15" s="300" customFormat="1" ht="44.25" customHeight="1">
      <c r="A149" s="295" t="s">
        <v>297</v>
      </c>
      <c r="B149" s="296" t="s">
        <v>336</v>
      </c>
      <c r="C149" s="297">
        <f t="shared" ref="C149:M149" si="44">C150</f>
        <v>15</v>
      </c>
      <c r="D149" s="297">
        <f t="shared" si="44"/>
        <v>0</v>
      </c>
      <c r="E149" s="298">
        <f t="shared" si="44"/>
        <v>540</v>
      </c>
      <c r="F149" s="298">
        <f t="shared" si="44"/>
        <v>1575</v>
      </c>
      <c r="G149" s="298">
        <f t="shared" si="44"/>
        <v>34.5</v>
      </c>
      <c r="H149" s="298">
        <f t="shared" si="44"/>
        <v>34.5</v>
      </c>
      <c r="I149" s="298">
        <f t="shared" si="44"/>
        <v>0</v>
      </c>
      <c r="J149" s="298">
        <f t="shared" si="44"/>
        <v>0</v>
      </c>
      <c r="K149" s="298">
        <f t="shared" si="44"/>
        <v>0</v>
      </c>
      <c r="L149" s="298">
        <f t="shared" si="44"/>
        <v>1626</v>
      </c>
      <c r="M149" s="298">
        <f t="shared" si="44"/>
        <v>3166.5</v>
      </c>
      <c r="N149" s="312"/>
    </row>
    <row r="150" spans="1:15" s="292" customFormat="1" ht="191.25" customHeight="1">
      <c r="A150" s="304" t="s">
        <v>368</v>
      </c>
      <c r="B150" s="305" t="s">
        <v>370</v>
      </c>
      <c r="C150" s="311">
        <v>15</v>
      </c>
      <c r="D150" s="311">
        <v>0</v>
      </c>
      <c r="E150" s="307">
        <v>540</v>
      </c>
      <c r="F150" s="307">
        <v>1575</v>
      </c>
      <c r="G150" s="307">
        <f>SUM(H150:J150)</f>
        <v>34.5</v>
      </c>
      <c r="H150" s="307">
        <v>34.5</v>
      </c>
      <c r="I150" s="307">
        <v>0</v>
      </c>
      <c r="J150" s="307">
        <v>0</v>
      </c>
      <c r="K150" s="307">
        <v>0</v>
      </c>
      <c r="L150" s="307">
        <v>1626</v>
      </c>
      <c r="M150" s="307">
        <f>F150+L150-G150-K150</f>
        <v>3166.5</v>
      </c>
      <c r="N150" s="308" t="s">
        <v>872</v>
      </c>
      <c r="O150" s="292">
        <f>100+209+166+469+240+350+14.5+77.5</f>
        <v>1626</v>
      </c>
    </row>
    <row r="151" spans="1:15" s="300" customFormat="1" ht="44.25" customHeight="1">
      <c r="A151" s="295" t="s">
        <v>295</v>
      </c>
      <c r="B151" s="296" t="s">
        <v>369</v>
      </c>
      <c r="C151" s="297">
        <f t="shared" ref="C151:M151" si="45">C152</f>
        <v>0</v>
      </c>
      <c r="D151" s="297">
        <f t="shared" si="45"/>
        <v>0</v>
      </c>
      <c r="E151" s="298">
        <f t="shared" si="45"/>
        <v>0</v>
      </c>
      <c r="F151" s="298">
        <f t="shared" si="45"/>
        <v>0</v>
      </c>
      <c r="G151" s="298">
        <f t="shared" si="45"/>
        <v>0</v>
      </c>
      <c r="H151" s="298">
        <f t="shared" si="45"/>
        <v>0</v>
      </c>
      <c r="I151" s="298">
        <f t="shared" si="45"/>
        <v>0</v>
      </c>
      <c r="J151" s="298">
        <f t="shared" si="45"/>
        <v>0</v>
      </c>
      <c r="K151" s="298">
        <f t="shared" si="45"/>
        <v>0</v>
      </c>
      <c r="L151" s="298">
        <f t="shared" si="45"/>
        <v>18000</v>
      </c>
      <c r="M151" s="298">
        <f t="shared" si="45"/>
        <v>18000</v>
      </c>
      <c r="N151" s="312"/>
    </row>
    <row r="152" spans="1:15" s="292" customFormat="1" ht="44.25" customHeight="1">
      <c r="A152" s="304" t="s">
        <v>368</v>
      </c>
      <c r="B152" s="305" t="s">
        <v>367</v>
      </c>
      <c r="C152" s="311"/>
      <c r="D152" s="311"/>
      <c r="E152" s="307"/>
      <c r="F152" s="307"/>
      <c r="G152" s="307">
        <f>SUM(H152:J152)</f>
        <v>0</v>
      </c>
      <c r="H152" s="307"/>
      <c r="I152" s="307"/>
      <c r="J152" s="307"/>
      <c r="K152" s="307"/>
      <c r="L152" s="307">
        <v>18000</v>
      </c>
      <c r="M152" s="307">
        <f>F152+L152-G152-K152</f>
        <v>18000</v>
      </c>
      <c r="N152" s="308"/>
    </row>
    <row r="153" spans="1:15" s="292" customFormat="1" ht="48.75" customHeight="1">
      <c r="A153" s="295">
        <v>8</v>
      </c>
      <c r="B153" s="296" t="s">
        <v>366</v>
      </c>
      <c r="C153" s="309">
        <f t="shared" ref="C153:M153" si="46">C154+C155</f>
        <v>39</v>
      </c>
      <c r="D153" s="309">
        <f t="shared" si="46"/>
        <v>4</v>
      </c>
      <c r="E153" s="298">
        <f t="shared" si="46"/>
        <v>1505</v>
      </c>
      <c r="F153" s="298">
        <f t="shared" si="46"/>
        <v>5732.04</v>
      </c>
      <c r="G153" s="298">
        <f t="shared" si="46"/>
        <v>522.94000000000005</v>
      </c>
      <c r="H153" s="298">
        <f t="shared" si="46"/>
        <v>136.6</v>
      </c>
      <c r="I153" s="298">
        <f t="shared" si="46"/>
        <v>122.94000000000001</v>
      </c>
      <c r="J153" s="298">
        <f t="shared" si="46"/>
        <v>263.39999999999998</v>
      </c>
      <c r="K153" s="298">
        <f t="shared" si="46"/>
        <v>0</v>
      </c>
      <c r="L153" s="298">
        <f t="shared" si="46"/>
        <v>19312</v>
      </c>
      <c r="M153" s="298">
        <f t="shared" si="46"/>
        <v>24521.1</v>
      </c>
      <c r="N153" s="333"/>
      <c r="O153" s="291">
        <f>F153+L153-G153-K153-M153</f>
        <v>0</v>
      </c>
    </row>
    <row r="154" spans="1:15" s="300" customFormat="1" ht="159" customHeight="1">
      <c r="A154" s="295" t="s">
        <v>299</v>
      </c>
      <c r="B154" s="296" t="s">
        <v>320</v>
      </c>
      <c r="C154" s="297">
        <v>39</v>
      </c>
      <c r="D154" s="297">
        <v>4</v>
      </c>
      <c r="E154" s="298">
        <v>1505</v>
      </c>
      <c r="F154" s="298">
        <v>5732.04</v>
      </c>
      <c r="G154" s="298">
        <f>SUM(H154:J154)</f>
        <v>522.94000000000005</v>
      </c>
      <c r="H154" s="298">
        <v>136.6</v>
      </c>
      <c r="I154" s="298">
        <v>122.94000000000001</v>
      </c>
      <c r="J154" s="298">
        <v>263.39999999999998</v>
      </c>
      <c r="K154" s="298">
        <v>0</v>
      </c>
      <c r="L154" s="298">
        <v>1474</v>
      </c>
      <c r="M154" s="298">
        <f>F154+L154-G154-K154</f>
        <v>6683.1</v>
      </c>
      <c r="N154" s="308" t="s">
        <v>873</v>
      </c>
      <c r="O154" s="300">
        <f>348+45+35+32+120+50+20+20+50+50+90+614</f>
        <v>1474</v>
      </c>
    </row>
    <row r="155" spans="1:15" s="300" customFormat="1" ht="180" customHeight="1">
      <c r="A155" s="295" t="s">
        <v>297</v>
      </c>
      <c r="B155" s="296" t="s">
        <v>365</v>
      </c>
      <c r="C155" s="297"/>
      <c r="D155" s="297"/>
      <c r="E155" s="298"/>
      <c r="F155" s="298"/>
      <c r="G155" s="298">
        <f>SUM(H155:J155)</f>
        <v>0</v>
      </c>
      <c r="H155" s="298"/>
      <c r="I155" s="298"/>
      <c r="J155" s="298"/>
      <c r="K155" s="298"/>
      <c r="L155" s="298">
        <v>17838</v>
      </c>
      <c r="M155" s="298">
        <f>F155+L155-G155-K155</f>
        <v>17838</v>
      </c>
      <c r="N155" s="308" t="s">
        <v>783</v>
      </c>
      <c r="O155" s="300">
        <f>10000+1063+1500+4775+500</f>
        <v>17838</v>
      </c>
    </row>
    <row r="156" spans="1:15" s="292" customFormat="1" ht="48.75" customHeight="1">
      <c r="A156" s="295">
        <v>9</v>
      </c>
      <c r="B156" s="296" t="s">
        <v>364</v>
      </c>
      <c r="C156" s="309">
        <f t="shared" ref="C156:M156" si="47">C157+C158+C165+C166+C170+C171+C172</f>
        <v>173</v>
      </c>
      <c r="D156" s="309">
        <f t="shared" si="47"/>
        <v>20</v>
      </c>
      <c r="E156" s="298">
        <f t="shared" si="47"/>
        <v>20</v>
      </c>
      <c r="F156" s="298">
        <f t="shared" si="47"/>
        <v>29855.360000000001</v>
      </c>
      <c r="G156" s="298">
        <f t="shared" si="47"/>
        <v>1116.6599999999999</v>
      </c>
      <c r="H156" s="298">
        <f t="shared" si="47"/>
        <v>441.90000000000003</v>
      </c>
      <c r="I156" s="298">
        <f t="shared" si="47"/>
        <v>131.76</v>
      </c>
      <c r="J156" s="298">
        <f t="shared" si="47"/>
        <v>543</v>
      </c>
      <c r="K156" s="298">
        <f t="shared" si="47"/>
        <v>210</v>
      </c>
      <c r="L156" s="298">
        <f t="shared" si="47"/>
        <v>45906</v>
      </c>
      <c r="M156" s="298">
        <f t="shared" si="47"/>
        <v>74434.7</v>
      </c>
      <c r="N156" s="326"/>
      <c r="O156" s="291">
        <f>F156+L156-G156-K156-M156</f>
        <v>0</v>
      </c>
    </row>
    <row r="157" spans="1:15" s="292" customFormat="1" ht="199.5" customHeight="1">
      <c r="A157" s="295" t="s">
        <v>299</v>
      </c>
      <c r="B157" s="296" t="s">
        <v>320</v>
      </c>
      <c r="C157" s="297">
        <v>42</v>
      </c>
      <c r="D157" s="297">
        <v>20</v>
      </c>
      <c r="E157" s="298">
        <v>20</v>
      </c>
      <c r="F157" s="298">
        <v>6560.06</v>
      </c>
      <c r="G157" s="298">
        <f>SUM(H157:J157)</f>
        <v>278.15999999999997</v>
      </c>
      <c r="H157" s="298">
        <v>146.4</v>
      </c>
      <c r="I157" s="298">
        <v>131.76</v>
      </c>
      <c r="J157" s="298">
        <v>0</v>
      </c>
      <c r="K157" s="298">
        <v>0</v>
      </c>
      <c r="L157" s="298">
        <v>2282</v>
      </c>
      <c r="M157" s="298">
        <f>F157+L157-G157-K157</f>
        <v>8563.9000000000015</v>
      </c>
      <c r="N157" s="319" t="s">
        <v>874</v>
      </c>
      <c r="O157" s="292">
        <f>384+55+20+20+50+100+100+50+50+50+1388+15</f>
        <v>2282</v>
      </c>
    </row>
    <row r="158" spans="1:15" s="292" customFormat="1" ht="54.75" customHeight="1">
      <c r="A158" s="295" t="s">
        <v>297</v>
      </c>
      <c r="B158" s="296" t="s">
        <v>363</v>
      </c>
      <c r="C158" s="297">
        <f>C159+C164</f>
        <v>112</v>
      </c>
      <c r="D158" s="297"/>
      <c r="E158" s="298">
        <f t="shared" ref="E158:M158" si="48">E159+E164</f>
        <v>0</v>
      </c>
      <c r="F158" s="298">
        <f t="shared" si="48"/>
        <v>13612.9</v>
      </c>
      <c r="G158" s="298">
        <f t="shared" si="48"/>
        <v>394.79999999999995</v>
      </c>
      <c r="H158" s="298">
        <f t="shared" si="48"/>
        <v>251.8</v>
      </c>
      <c r="I158" s="298">
        <f t="shared" si="48"/>
        <v>0</v>
      </c>
      <c r="J158" s="298">
        <f t="shared" si="48"/>
        <v>143</v>
      </c>
      <c r="K158" s="298">
        <f t="shared" si="48"/>
        <v>12</v>
      </c>
      <c r="L158" s="298">
        <f t="shared" si="48"/>
        <v>15263</v>
      </c>
      <c r="M158" s="298">
        <f t="shared" si="48"/>
        <v>28469.100000000002</v>
      </c>
      <c r="N158" s="349"/>
    </row>
    <row r="159" spans="1:15" s="292" customFormat="1" ht="54.75" customHeight="1">
      <c r="A159" s="295" t="s">
        <v>362</v>
      </c>
      <c r="B159" s="296" t="s">
        <v>309</v>
      </c>
      <c r="C159" s="297">
        <f>SUM(C160:C163)</f>
        <v>112</v>
      </c>
      <c r="D159" s="297"/>
      <c r="E159" s="298">
        <f t="shared" ref="E159:M159" si="49">SUM(E160:E163)</f>
        <v>0</v>
      </c>
      <c r="F159" s="298">
        <f t="shared" si="49"/>
        <v>13612.9</v>
      </c>
      <c r="G159" s="298">
        <f t="shared" si="49"/>
        <v>394.79999999999995</v>
      </c>
      <c r="H159" s="298">
        <f t="shared" si="49"/>
        <v>251.8</v>
      </c>
      <c r="I159" s="298">
        <f t="shared" si="49"/>
        <v>0</v>
      </c>
      <c r="J159" s="298">
        <f t="shared" si="49"/>
        <v>143</v>
      </c>
      <c r="K159" s="298">
        <f t="shared" si="49"/>
        <v>12</v>
      </c>
      <c r="L159" s="298">
        <f t="shared" si="49"/>
        <v>4413</v>
      </c>
      <c r="M159" s="298">
        <f t="shared" si="49"/>
        <v>17619.100000000002</v>
      </c>
      <c r="N159" s="333"/>
    </row>
    <row r="160" spans="1:15" s="292" customFormat="1" ht="183.75" customHeight="1">
      <c r="A160" s="313" t="s">
        <v>3</v>
      </c>
      <c r="B160" s="310" t="s">
        <v>829</v>
      </c>
      <c r="C160" s="311">
        <v>58</v>
      </c>
      <c r="D160" s="311">
        <v>0</v>
      </c>
      <c r="E160" s="307">
        <v>0</v>
      </c>
      <c r="F160" s="307">
        <v>7249.3</v>
      </c>
      <c r="G160" s="307">
        <f>SUM(H160:J160)</f>
        <v>215.8</v>
      </c>
      <c r="H160" s="307">
        <v>127.80000000000001</v>
      </c>
      <c r="I160" s="307">
        <v>0</v>
      </c>
      <c r="J160" s="307">
        <v>88</v>
      </c>
      <c r="K160" s="307">
        <v>12</v>
      </c>
      <c r="L160" s="307">
        <v>2009</v>
      </c>
      <c r="M160" s="307">
        <f t="shared" ref="M160:M165" si="50">F160+L160-G160-K160</f>
        <v>9030.5</v>
      </c>
      <c r="N160" s="333" t="s">
        <v>1081</v>
      </c>
      <c r="O160" s="292">
        <f>64+45+80+300+500+120+320+90+250+90+150</f>
        <v>2009</v>
      </c>
    </row>
    <row r="161" spans="1:15" s="292" customFormat="1" ht="209.25" customHeight="1">
      <c r="A161" s="313" t="s">
        <v>3</v>
      </c>
      <c r="B161" s="310" t="s">
        <v>361</v>
      </c>
      <c r="C161" s="311">
        <v>17</v>
      </c>
      <c r="D161" s="311">
        <v>0</v>
      </c>
      <c r="E161" s="307">
        <v>0</v>
      </c>
      <c r="F161" s="307">
        <v>2115.1</v>
      </c>
      <c r="G161" s="307">
        <f>SUM(H161:J161)</f>
        <v>64.099999999999994</v>
      </c>
      <c r="H161" s="307">
        <v>39.1</v>
      </c>
      <c r="I161" s="307">
        <v>0</v>
      </c>
      <c r="J161" s="307">
        <v>25</v>
      </c>
      <c r="K161" s="307">
        <v>0</v>
      </c>
      <c r="L161" s="307">
        <v>1203</v>
      </c>
      <c r="M161" s="307">
        <f t="shared" si="50"/>
        <v>3254</v>
      </c>
      <c r="N161" s="333" t="s">
        <v>784</v>
      </c>
      <c r="O161" s="292">
        <f>20+250+20+50+90+90+40+50+120+80+20+50+23+50+250</f>
        <v>1203</v>
      </c>
    </row>
    <row r="162" spans="1:15" s="292" customFormat="1" ht="205.5" customHeight="1">
      <c r="A162" s="313" t="s">
        <v>3</v>
      </c>
      <c r="B162" s="310" t="s">
        <v>360</v>
      </c>
      <c r="C162" s="311">
        <v>22</v>
      </c>
      <c r="D162" s="311">
        <v>0</v>
      </c>
      <c r="E162" s="307">
        <v>0</v>
      </c>
      <c r="F162" s="307">
        <v>2559.1</v>
      </c>
      <c r="G162" s="307">
        <f>SUM(H162:J162)</f>
        <v>80.400000000000006</v>
      </c>
      <c r="H162" s="307">
        <v>50.400000000000006</v>
      </c>
      <c r="I162" s="307">
        <v>0</v>
      </c>
      <c r="J162" s="307">
        <v>30</v>
      </c>
      <c r="K162" s="307">
        <v>0</v>
      </c>
      <c r="L162" s="307">
        <v>999</v>
      </c>
      <c r="M162" s="307">
        <f t="shared" si="50"/>
        <v>3477.7</v>
      </c>
      <c r="N162" s="333" t="s">
        <v>1082</v>
      </c>
      <c r="O162" s="292">
        <f>24+35+30+45+80+35+50+30+50+200+150+120+150</f>
        <v>999</v>
      </c>
    </row>
    <row r="163" spans="1:15" s="292" customFormat="1" ht="60" customHeight="1">
      <c r="A163" s="313" t="s">
        <v>3</v>
      </c>
      <c r="B163" s="310" t="s">
        <v>830</v>
      </c>
      <c r="C163" s="311">
        <v>15</v>
      </c>
      <c r="D163" s="311">
        <v>0</v>
      </c>
      <c r="E163" s="307">
        <v>0</v>
      </c>
      <c r="F163" s="307">
        <v>1689.4</v>
      </c>
      <c r="G163" s="307">
        <f>SUM(H163:J163)</f>
        <v>34.5</v>
      </c>
      <c r="H163" s="307">
        <v>34.5</v>
      </c>
      <c r="I163" s="307">
        <v>0</v>
      </c>
      <c r="J163" s="307">
        <v>0</v>
      </c>
      <c r="K163" s="307">
        <v>0</v>
      </c>
      <c r="L163" s="307">
        <v>202</v>
      </c>
      <c r="M163" s="307">
        <f t="shared" si="50"/>
        <v>1856.9</v>
      </c>
      <c r="N163" s="333" t="s">
        <v>785</v>
      </c>
      <c r="O163" s="292">
        <f>12+100+50+40</f>
        <v>202</v>
      </c>
    </row>
    <row r="164" spans="1:15" s="300" customFormat="1" ht="220.5" customHeight="1">
      <c r="A164" s="295" t="s">
        <v>359</v>
      </c>
      <c r="B164" s="296" t="s">
        <v>358</v>
      </c>
      <c r="C164" s="297"/>
      <c r="D164" s="297"/>
      <c r="E164" s="298"/>
      <c r="F164" s="298"/>
      <c r="G164" s="298"/>
      <c r="H164" s="298"/>
      <c r="I164" s="298"/>
      <c r="J164" s="298"/>
      <c r="K164" s="298"/>
      <c r="L164" s="298">
        <v>10850</v>
      </c>
      <c r="M164" s="298">
        <f t="shared" si="50"/>
        <v>10850</v>
      </c>
      <c r="N164" s="319" t="s">
        <v>1083</v>
      </c>
      <c r="O164" s="300">
        <f>2300+1000+1000+1500+600+500+800+700+450+2000</f>
        <v>10850</v>
      </c>
    </row>
    <row r="165" spans="1:15" s="300" customFormat="1" ht="47.25" customHeight="1">
      <c r="A165" s="295" t="s">
        <v>295</v>
      </c>
      <c r="B165" s="296" t="s">
        <v>318</v>
      </c>
      <c r="C165" s="297"/>
      <c r="D165" s="297"/>
      <c r="E165" s="298"/>
      <c r="F165" s="298">
        <v>0</v>
      </c>
      <c r="G165" s="298">
        <f>SUM(H165:J165)</f>
        <v>0</v>
      </c>
      <c r="H165" s="298"/>
      <c r="I165" s="298"/>
      <c r="J165" s="298"/>
      <c r="K165" s="298"/>
      <c r="L165" s="298">
        <v>3300</v>
      </c>
      <c r="M165" s="298">
        <f t="shared" si="50"/>
        <v>3300</v>
      </c>
      <c r="N165" s="319" t="s">
        <v>357</v>
      </c>
    </row>
    <row r="166" spans="1:15" s="300" customFormat="1" ht="47.25" customHeight="1">
      <c r="A166" s="295" t="s">
        <v>291</v>
      </c>
      <c r="B166" s="296" t="s">
        <v>356</v>
      </c>
      <c r="C166" s="297">
        <f t="shared" ref="C166:M166" si="51">SUM(C167:C169)</f>
        <v>18</v>
      </c>
      <c r="D166" s="297">
        <f t="shared" si="51"/>
        <v>0</v>
      </c>
      <c r="E166" s="330">
        <f t="shared" si="51"/>
        <v>0</v>
      </c>
      <c r="F166" s="330">
        <f t="shared" si="51"/>
        <v>9555.4</v>
      </c>
      <c r="G166" s="330">
        <f t="shared" si="51"/>
        <v>441.4</v>
      </c>
      <c r="H166" s="330">
        <f t="shared" si="51"/>
        <v>41.400000000000006</v>
      </c>
      <c r="I166" s="330">
        <f t="shared" si="51"/>
        <v>0</v>
      </c>
      <c r="J166" s="330">
        <f t="shared" si="51"/>
        <v>400</v>
      </c>
      <c r="K166" s="330">
        <f t="shared" si="51"/>
        <v>198</v>
      </c>
      <c r="L166" s="330">
        <f t="shared" si="51"/>
        <v>5258</v>
      </c>
      <c r="M166" s="330">
        <f t="shared" si="51"/>
        <v>14174</v>
      </c>
      <c r="N166" s="312"/>
    </row>
    <row r="167" spans="1:15" s="292" customFormat="1" ht="111.75" customHeight="1">
      <c r="A167" s="313" t="s">
        <v>276</v>
      </c>
      <c r="B167" s="310" t="s">
        <v>355</v>
      </c>
      <c r="C167" s="311">
        <v>18</v>
      </c>
      <c r="D167" s="311">
        <v>0</v>
      </c>
      <c r="E167" s="307">
        <v>0</v>
      </c>
      <c r="F167" s="307">
        <v>1995.4</v>
      </c>
      <c r="G167" s="307">
        <f>SUM(H167:J167)</f>
        <v>441.4</v>
      </c>
      <c r="H167" s="307">
        <v>41.400000000000006</v>
      </c>
      <c r="I167" s="307">
        <v>0</v>
      </c>
      <c r="J167" s="307">
        <v>400</v>
      </c>
      <c r="K167" s="307">
        <v>198</v>
      </c>
      <c r="L167" s="307">
        <v>758</v>
      </c>
      <c r="M167" s="307">
        <f t="shared" ref="M167:M172" si="52">F167+L167-G167-K167</f>
        <v>2114</v>
      </c>
      <c r="N167" s="308" t="s">
        <v>875</v>
      </c>
      <c r="O167" s="292">
        <f>18+100+30+380+100+130</f>
        <v>758</v>
      </c>
    </row>
    <row r="168" spans="1:15" s="292" customFormat="1" ht="39" customHeight="1">
      <c r="A168" s="313" t="s">
        <v>276</v>
      </c>
      <c r="B168" s="310" t="s">
        <v>354</v>
      </c>
      <c r="C168" s="311"/>
      <c r="D168" s="311"/>
      <c r="E168" s="307"/>
      <c r="F168" s="307"/>
      <c r="G168" s="307">
        <f>SUM(H168:J168)</f>
        <v>0</v>
      </c>
      <c r="H168" s="307"/>
      <c r="I168" s="307"/>
      <c r="J168" s="307"/>
      <c r="K168" s="307"/>
      <c r="L168" s="307">
        <v>4500</v>
      </c>
      <c r="M168" s="307">
        <f t="shared" si="52"/>
        <v>4500</v>
      </c>
      <c r="N168" s="308" t="s">
        <v>353</v>
      </c>
    </row>
    <row r="169" spans="1:15" s="292" customFormat="1" ht="47.25" customHeight="1">
      <c r="A169" s="313" t="s">
        <v>276</v>
      </c>
      <c r="B169" s="310" t="s">
        <v>352</v>
      </c>
      <c r="C169" s="311"/>
      <c r="D169" s="311"/>
      <c r="E169" s="307"/>
      <c r="F169" s="307">
        <v>7560</v>
      </c>
      <c r="G169" s="307"/>
      <c r="H169" s="307"/>
      <c r="I169" s="307"/>
      <c r="J169" s="307"/>
      <c r="K169" s="307"/>
      <c r="L169" s="307"/>
      <c r="M169" s="307">
        <f t="shared" si="52"/>
        <v>7560</v>
      </c>
      <c r="N169" s="308"/>
    </row>
    <row r="170" spans="1:15" s="300" customFormat="1" ht="47.25" customHeight="1">
      <c r="A170" s="295" t="s">
        <v>351</v>
      </c>
      <c r="B170" s="296" t="s">
        <v>350</v>
      </c>
      <c r="C170" s="297"/>
      <c r="D170" s="297"/>
      <c r="E170" s="298"/>
      <c r="F170" s="298">
        <v>0</v>
      </c>
      <c r="G170" s="307"/>
      <c r="H170" s="298"/>
      <c r="I170" s="298"/>
      <c r="J170" s="298"/>
      <c r="K170" s="298"/>
      <c r="L170" s="298">
        <v>1050</v>
      </c>
      <c r="M170" s="298">
        <f t="shared" si="52"/>
        <v>1050</v>
      </c>
      <c r="N170" s="326"/>
    </row>
    <row r="171" spans="1:15" s="300" customFormat="1" ht="99.75" customHeight="1">
      <c r="A171" s="295" t="s">
        <v>349</v>
      </c>
      <c r="B171" s="357" t="s">
        <v>831</v>
      </c>
      <c r="C171" s="297"/>
      <c r="D171" s="297"/>
      <c r="E171" s="298"/>
      <c r="F171" s="298">
        <v>0</v>
      </c>
      <c r="G171" s="298">
        <f>SUM(H171:J171)</f>
        <v>0</v>
      </c>
      <c r="H171" s="298"/>
      <c r="I171" s="298"/>
      <c r="J171" s="298"/>
      <c r="K171" s="298"/>
      <c r="L171" s="298">
        <v>7028</v>
      </c>
      <c r="M171" s="298">
        <f t="shared" si="52"/>
        <v>7028</v>
      </c>
      <c r="N171" s="349" t="s">
        <v>876</v>
      </c>
      <c r="O171" s="300">
        <f>50+120+6808+50</f>
        <v>7028</v>
      </c>
    </row>
    <row r="172" spans="1:15" s="300" customFormat="1" ht="68.25" customHeight="1">
      <c r="A172" s="295" t="s">
        <v>348</v>
      </c>
      <c r="B172" s="357" t="s">
        <v>347</v>
      </c>
      <c r="C172" s="297">
        <v>1</v>
      </c>
      <c r="D172" s="297"/>
      <c r="E172" s="298"/>
      <c r="F172" s="298">
        <v>127</v>
      </c>
      <c r="G172" s="298">
        <f>SUM(H172:J172)</f>
        <v>2.3000000000000003</v>
      </c>
      <c r="H172" s="298">
        <v>2.3000000000000003</v>
      </c>
      <c r="I172" s="298">
        <v>0</v>
      </c>
      <c r="J172" s="298"/>
      <c r="K172" s="298"/>
      <c r="L172" s="298">
        <v>11725</v>
      </c>
      <c r="M172" s="298">
        <f t="shared" si="52"/>
        <v>11849.7</v>
      </c>
      <c r="N172" s="349" t="s">
        <v>786</v>
      </c>
      <c r="O172" s="300">
        <f>11525+200</f>
        <v>11725</v>
      </c>
    </row>
    <row r="173" spans="1:15" s="292" customFormat="1" ht="41.25" customHeight="1">
      <c r="A173" s="295">
        <v>10</v>
      </c>
      <c r="B173" s="296" t="s">
        <v>346</v>
      </c>
      <c r="C173" s="297">
        <f t="shared" ref="C173:M173" si="53">C174+C176</f>
        <v>60</v>
      </c>
      <c r="D173" s="297">
        <f t="shared" si="53"/>
        <v>4</v>
      </c>
      <c r="E173" s="298">
        <f t="shared" si="53"/>
        <v>0</v>
      </c>
      <c r="F173" s="298">
        <f t="shared" si="53"/>
        <v>7549.9</v>
      </c>
      <c r="G173" s="298">
        <f t="shared" si="53"/>
        <v>365.3</v>
      </c>
      <c r="H173" s="298">
        <f t="shared" si="53"/>
        <v>174.9</v>
      </c>
      <c r="I173" s="298">
        <f t="shared" si="53"/>
        <v>95.4</v>
      </c>
      <c r="J173" s="298">
        <f t="shared" si="53"/>
        <v>95</v>
      </c>
      <c r="K173" s="298">
        <f t="shared" si="53"/>
        <v>61</v>
      </c>
      <c r="L173" s="298">
        <f t="shared" si="53"/>
        <v>7552</v>
      </c>
      <c r="M173" s="298">
        <f t="shared" si="53"/>
        <v>14675.6</v>
      </c>
      <c r="N173" s="308"/>
      <c r="O173" s="291">
        <f>F173+L173-G173-K173-M173</f>
        <v>0</v>
      </c>
    </row>
    <row r="174" spans="1:15" s="292" customFormat="1" ht="135.75" customHeight="1">
      <c r="A174" s="358" t="s">
        <v>299</v>
      </c>
      <c r="B174" s="358" t="s">
        <v>320</v>
      </c>
      <c r="C174" s="350">
        <v>30</v>
      </c>
      <c r="D174" s="350">
        <v>4</v>
      </c>
      <c r="E174" s="359">
        <v>0</v>
      </c>
      <c r="F174" s="359">
        <v>4412</v>
      </c>
      <c r="G174" s="359">
        <f>SUM(H174:J174)</f>
        <v>201.4</v>
      </c>
      <c r="H174" s="359">
        <v>106</v>
      </c>
      <c r="I174" s="359">
        <v>95.4</v>
      </c>
      <c r="J174" s="359">
        <v>0</v>
      </c>
      <c r="K174" s="359">
        <v>0</v>
      </c>
      <c r="L174" s="359">
        <v>5015</v>
      </c>
      <c r="M174" s="359">
        <f>F174+L174-G174-K174</f>
        <v>9225.6</v>
      </c>
      <c r="N174" s="1047" t="s">
        <v>877</v>
      </c>
      <c r="O174" s="360">
        <f>55+365+35+15+1100+544+150+20+300+100+110+200+200+160+550+200+70+561+230+50</f>
        <v>5015</v>
      </c>
    </row>
    <row r="175" spans="1:15" s="292" customFormat="1" ht="140.25" customHeight="1">
      <c r="A175" s="361"/>
      <c r="B175" s="361"/>
      <c r="C175" s="353"/>
      <c r="D175" s="353"/>
      <c r="E175" s="362"/>
      <c r="F175" s="362"/>
      <c r="G175" s="362"/>
      <c r="H175" s="362"/>
      <c r="I175" s="362"/>
      <c r="J175" s="362"/>
      <c r="K175" s="362"/>
      <c r="L175" s="362"/>
      <c r="M175" s="362"/>
      <c r="N175" s="1048"/>
    </row>
    <row r="176" spans="1:15" s="292" customFormat="1" ht="35.25" customHeight="1">
      <c r="A176" s="295" t="s">
        <v>297</v>
      </c>
      <c r="B176" s="296" t="s">
        <v>345</v>
      </c>
      <c r="C176" s="297">
        <f t="shared" ref="C176:M176" si="54">SUM(C177:C178)</f>
        <v>30</v>
      </c>
      <c r="D176" s="297">
        <f t="shared" si="54"/>
        <v>0</v>
      </c>
      <c r="E176" s="298">
        <f t="shared" si="54"/>
        <v>0</v>
      </c>
      <c r="F176" s="298">
        <f t="shared" si="54"/>
        <v>3137.8999999999996</v>
      </c>
      <c r="G176" s="298">
        <f t="shared" si="54"/>
        <v>163.9</v>
      </c>
      <c r="H176" s="298">
        <f t="shared" si="54"/>
        <v>68.900000000000006</v>
      </c>
      <c r="I176" s="298">
        <f t="shared" si="54"/>
        <v>0</v>
      </c>
      <c r="J176" s="298">
        <f t="shared" si="54"/>
        <v>95</v>
      </c>
      <c r="K176" s="298">
        <f t="shared" si="54"/>
        <v>61</v>
      </c>
      <c r="L176" s="298">
        <f t="shared" si="54"/>
        <v>2537</v>
      </c>
      <c r="M176" s="298">
        <f t="shared" si="54"/>
        <v>5450</v>
      </c>
      <c r="N176" s="308"/>
    </row>
    <row r="177" spans="1:17" s="292" customFormat="1" ht="100.5" customHeight="1">
      <c r="A177" s="304" t="s">
        <v>276</v>
      </c>
      <c r="B177" s="310" t="s">
        <v>344</v>
      </c>
      <c r="C177" s="311">
        <v>21</v>
      </c>
      <c r="D177" s="311">
        <v>0</v>
      </c>
      <c r="E177" s="307">
        <v>0</v>
      </c>
      <c r="F177" s="307">
        <v>2157.1999999999998</v>
      </c>
      <c r="G177" s="307">
        <f>SUM(H177:J177)</f>
        <v>48.2</v>
      </c>
      <c r="H177" s="307">
        <v>48.2</v>
      </c>
      <c r="I177" s="307">
        <v>0</v>
      </c>
      <c r="J177" s="307">
        <v>0</v>
      </c>
      <c r="K177" s="307">
        <v>0</v>
      </c>
      <c r="L177" s="307">
        <v>2529</v>
      </c>
      <c r="M177" s="307">
        <f>F177+L177-G177-K177</f>
        <v>4638</v>
      </c>
      <c r="N177" s="363" t="s">
        <v>787</v>
      </c>
      <c r="O177" s="292">
        <f>12+39+76+1950+400+40+12</f>
        <v>2529</v>
      </c>
    </row>
    <row r="178" spans="1:17" s="292" customFormat="1" ht="33" customHeight="1">
      <c r="A178" s="304" t="s">
        <v>276</v>
      </c>
      <c r="B178" s="310" t="s">
        <v>832</v>
      </c>
      <c r="C178" s="311">
        <v>9</v>
      </c>
      <c r="D178" s="311">
        <v>0</v>
      </c>
      <c r="E178" s="307">
        <v>0</v>
      </c>
      <c r="F178" s="307">
        <v>980.7</v>
      </c>
      <c r="G178" s="307">
        <f>SUM(H178:J178)</f>
        <v>115.7</v>
      </c>
      <c r="H178" s="307">
        <v>20.700000000000003</v>
      </c>
      <c r="I178" s="307">
        <v>0</v>
      </c>
      <c r="J178" s="307">
        <v>95</v>
      </c>
      <c r="K178" s="307">
        <v>61</v>
      </c>
      <c r="L178" s="307">
        <v>8</v>
      </c>
      <c r="M178" s="307">
        <f>F178+L178-G178-K178</f>
        <v>812</v>
      </c>
      <c r="N178" s="308" t="s">
        <v>343</v>
      </c>
    </row>
    <row r="179" spans="1:17" s="300" customFormat="1" ht="32.25" customHeight="1">
      <c r="A179" s="295">
        <v>11</v>
      </c>
      <c r="B179" s="296" t="s">
        <v>833</v>
      </c>
      <c r="C179" s="297">
        <f t="shared" ref="C179:M179" si="55">C180+C181</f>
        <v>20</v>
      </c>
      <c r="D179" s="297">
        <f t="shared" si="55"/>
        <v>4</v>
      </c>
      <c r="E179" s="298">
        <f t="shared" si="55"/>
        <v>0</v>
      </c>
      <c r="F179" s="298">
        <f t="shared" si="55"/>
        <v>3334</v>
      </c>
      <c r="G179" s="298">
        <f t="shared" si="55"/>
        <v>136.80000000000001</v>
      </c>
      <c r="H179" s="298">
        <f t="shared" si="55"/>
        <v>72</v>
      </c>
      <c r="I179" s="298">
        <f t="shared" si="55"/>
        <v>64.8</v>
      </c>
      <c r="J179" s="298">
        <f t="shared" si="55"/>
        <v>0</v>
      </c>
      <c r="K179" s="298">
        <f t="shared" si="55"/>
        <v>0</v>
      </c>
      <c r="L179" s="298">
        <f t="shared" si="55"/>
        <v>4068</v>
      </c>
      <c r="M179" s="298">
        <f t="shared" si="55"/>
        <v>7265.2</v>
      </c>
      <c r="N179" s="308"/>
      <c r="O179" s="291">
        <f>F179+L179-G179-K179-M179</f>
        <v>0</v>
      </c>
    </row>
    <row r="180" spans="1:17" s="292" customFormat="1" ht="108.75" customHeight="1">
      <c r="A180" s="364" t="s">
        <v>3</v>
      </c>
      <c r="B180" s="310" t="s">
        <v>338</v>
      </c>
      <c r="C180" s="311">
        <v>20</v>
      </c>
      <c r="D180" s="311">
        <v>4</v>
      </c>
      <c r="E180" s="307">
        <v>0</v>
      </c>
      <c r="F180" s="307">
        <v>3334</v>
      </c>
      <c r="G180" s="307">
        <f>SUM(H180:J180)</f>
        <v>136.80000000000001</v>
      </c>
      <c r="H180" s="307">
        <v>72</v>
      </c>
      <c r="I180" s="307">
        <v>64.8</v>
      </c>
      <c r="J180" s="307">
        <v>0</v>
      </c>
      <c r="K180" s="307">
        <v>0</v>
      </c>
      <c r="L180" s="307">
        <v>1073</v>
      </c>
      <c r="M180" s="307">
        <f>F180+L180-G180-K180</f>
        <v>4270.2</v>
      </c>
      <c r="N180" s="308" t="s">
        <v>788</v>
      </c>
      <c r="O180" s="292">
        <f>332+40+120+25+26+30+500</f>
        <v>1073</v>
      </c>
    </row>
    <row r="181" spans="1:17" s="292" customFormat="1" ht="74.25" customHeight="1">
      <c r="A181" s="364" t="s">
        <v>3</v>
      </c>
      <c r="B181" s="305" t="s">
        <v>335</v>
      </c>
      <c r="C181" s="311"/>
      <c r="D181" s="311"/>
      <c r="E181" s="307"/>
      <c r="F181" s="307"/>
      <c r="G181" s="307"/>
      <c r="H181" s="307"/>
      <c r="I181" s="307"/>
      <c r="J181" s="307"/>
      <c r="K181" s="307"/>
      <c r="L181" s="307">
        <v>2995</v>
      </c>
      <c r="M181" s="307">
        <f>F181+L181-G181-K181</f>
        <v>2995</v>
      </c>
      <c r="N181" s="308" t="s">
        <v>342</v>
      </c>
    </row>
    <row r="182" spans="1:17" s="292" customFormat="1" ht="36.75" customHeight="1">
      <c r="A182" s="295">
        <v>12</v>
      </c>
      <c r="B182" s="296" t="s">
        <v>682</v>
      </c>
      <c r="C182" s="297">
        <f t="shared" ref="C182:M182" si="56">C183+C184</f>
        <v>61</v>
      </c>
      <c r="D182" s="297">
        <f t="shared" si="56"/>
        <v>5</v>
      </c>
      <c r="E182" s="298">
        <f t="shared" si="56"/>
        <v>75</v>
      </c>
      <c r="F182" s="298">
        <f t="shared" si="56"/>
        <v>8342.380000000001</v>
      </c>
      <c r="G182" s="298">
        <f t="shared" si="56"/>
        <v>342.78000000000009</v>
      </c>
      <c r="H182" s="298">
        <f t="shared" si="56"/>
        <v>189.20000000000002</v>
      </c>
      <c r="I182" s="298">
        <f t="shared" si="56"/>
        <v>128.88</v>
      </c>
      <c r="J182" s="298">
        <f t="shared" si="56"/>
        <v>24.700000000000003</v>
      </c>
      <c r="K182" s="298">
        <f t="shared" si="56"/>
        <v>0</v>
      </c>
      <c r="L182" s="298">
        <f t="shared" si="56"/>
        <v>8892</v>
      </c>
      <c r="M182" s="298">
        <f t="shared" si="56"/>
        <v>16891.599999999999</v>
      </c>
      <c r="N182" s="308"/>
      <c r="O182" s="291">
        <f>F182+L182-G182-K182-M182</f>
        <v>0</v>
      </c>
    </row>
    <row r="183" spans="1:17" s="292" customFormat="1" ht="233.25" customHeight="1">
      <c r="A183" s="295" t="s">
        <v>299</v>
      </c>
      <c r="B183" s="296" t="s">
        <v>320</v>
      </c>
      <c r="C183" s="297">
        <v>41</v>
      </c>
      <c r="D183" s="297">
        <v>5</v>
      </c>
      <c r="E183" s="298">
        <v>75</v>
      </c>
      <c r="F183" s="298">
        <v>6300.7800000000007</v>
      </c>
      <c r="G183" s="298">
        <f>SUM(H183:J183)</f>
        <v>295.18000000000006</v>
      </c>
      <c r="H183" s="298">
        <v>143.20000000000002</v>
      </c>
      <c r="I183" s="298">
        <v>128.88</v>
      </c>
      <c r="J183" s="298">
        <v>23.1</v>
      </c>
      <c r="K183" s="298">
        <v>0</v>
      </c>
      <c r="L183" s="298">
        <v>3676</v>
      </c>
      <c r="M183" s="298">
        <f>F183+L183-G183-K183</f>
        <v>9681.6</v>
      </c>
      <c r="N183" s="308" t="s">
        <v>878</v>
      </c>
      <c r="O183" s="292">
        <f>423+60+35+33+100+130+30+573+252+250+1400+200+90+100</f>
        <v>3676</v>
      </c>
    </row>
    <row r="184" spans="1:17" s="300" customFormat="1" ht="40.5" customHeight="1">
      <c r="A184" s="295" t="s">
        <v>297</v>
      </c>
      <c r="B184" s="296" t="s">
        <v>336</v>
      </c>
      <c r="C184" s="297">
        <f t="shared" ref="C184:M184" si="57">SUM(C185:C186)</f>
        <v>20</v>
      </c>
      <c r="D184" s="297">
        <f t="shared" si="57"/>
        <v>0</v>
      </c>
      <c r="E184" s="298">
        <f t="shared" si="57"/>
        <v>0</v>
      </c>
      <c r="F184" s="298">
        <f t="shared" si="57"/>
        <v>2041.6</v>
      </c>
      <c r="G184" s="298">
        <f t="shared" si="57"/>
        <v>47.6</v>
      </c>
      <c r="H184" s="298">
        <f t="shared" si="57"/>
        <v>46</v>
      </c>
      <c r="I184" s="298">
        <f t="shared" si="57"/>
        <v>0</v>
      </c>
      <c r="J184" s="298">
        <f t="shared" si="57"/>
        <v>1.6</v>
      </c>
      <c r="K184" s="298">
        <f t="shared" si="57"/>
        <v>0</v>
      </c>
      <c r="L184" s="298">
        <f t="shared" si="57"/>
        <v>5216</v>
      </c>
      <c r="M184" s="298">
        <f t="shared" si="57"/>
        <v>7210</v>
      </c>
      <c r="N184" s="312"/>
    </row>
    <row r="185" spans="1:17" s="292" customFormat="1" ht="63.75" customHeight="1">
      <c r="A185" s="313" t="s">
        <v>340</v>
      </c>
      <c r="B185" s="310" t="s">
        <v>341</v>
      </c>
      <c r="C185" s="311">
        <v>20</v>
      </c>
      <c r="D185" s="311">
        <v>0</v>
      </c>
      <c r="E185" s="307">
        <v>0</v>
      </c>
      <c r="F185" s="307">
        <v>2041.6</v>
      </c>
      <c r="G185" s="307">
        <f>SUM(H185:J185)</f>
        <v>47.6</v>
      </c>
      <c r="H185" s="307">
        <v>46</v>
      </c>
      <c r="I185" s="307">
        <v>0</v>
      </c>
      <c r="J185" s="307">
        <v>1.6</v>
      </c>
      <c r="K185" s="307">
        <v>0</v>
      </c>
      <c r="L185" s="307">
        <v>1992</v>
      </c>
      <c r="M185" s="307">
        <f>F185+L185-G185-K185</f>
        <v>3986</v>
      </c>
      <c r="N185" s="308" t="s">
        <v>789</v>
      </c>
      <c r="O185" s="292">
        <f>12+1680+300</f>
        <v>1992</v>
      </c>
    </row>
    <row r="186" spans="1:17" s="292" customFormat="1" ht="94.5" customHeight="1">
      <c r="A186" s="313" t="s">
        <v>340</v>
      </c>
      <c r="B186" s="310" t="s">
        <v>318</v>
      </c>
      <c r="C186" s="311"/>
      <c r="D186" s="311"/>
      <c r="E186" s="307"/>
      <c r="F186" s="307"/>
      <c r="G186" s="307"/>
      <c r="H186" s="307"/>
      <c r="I186" s="307"/>
      <c r="J186" s="307"/>
      <c r="K186" s="307"/>
      <c r="L186" s="307">
        <v>3224</v>
      </c>
      <c r="M186" s="307">
        <f>F186+L186-G186-K186</f>
        <v>3224</v>
      </c>
      <c r="N186" s="308" t="s">
        <v>790</v>
      </c>
      <c r="O186" s="292">
        <f>1877+1347</f>
        <v>3224</v>
      </c>
    </row>
    <row r="187" spans="1:17" s="292" customFormat="1" ht="154.5" customHeight="1">
      <c r="A187" s="295">
        <v>13</v>
      </c>
      <c r="B187" s="296" t="s">
        <v>339</v>
      </c>
      <c r="C187" s="297">
        <v>56</v>
      </c>
      <c r="D187" s="297">
        <v>6</v>
      </c>
      <c r="E187" s="298">
        <v>0</v>
      </c>
      <c r="F187" s="298">
        <v>8791.48</v>
      </c>
      <c r="G187" s="298">
        <f>SUM(H187:J187)</f>
        <v>363.28000000000003</v>
      </c>
      <c r="H187" s="298">
        <v>191.20000000000002</v>
      </c>
      <c r="I187" s="298">
        <v>172.08</v>
      </c>
      <c r="J187" s="298">
        <v>0</v>
      </c>
      <c r="K187" s="298">
        <v>0</v>
      </c>
      <c r="L187" s="298">
        <v>4811</v>
      </c>
      <c r="M187" s="298">
        <f>F187+L187-G187-K187</f>
        <v>13239.199999999999</v>
      </c>
      <c r="N187" s="349" t="s">
        <v>879</v>
      </c>
      <c r="O187" s="291">
        <f>512+70+60+35+34+200+200+600+700+350+350+1500+200</f>
        <v>4811</v>
      </c>
    </row>
    <row r="188" spans="1:17" s="300" customFormat="1" ht="38.25" customHeight="1">
      <c r="A188" s="295">
        <v>14</v>
      </c>
      <c r="B188" s="296" t="s">
        <v>337</v>
      </c>
      <c r="C188" s="297">
        <f t="shared" ref="C188:M188" si="58">C189+C192</f>
        <v>67</v>
      </c>
      <c r="D188" s="297">
        <f t="shared" si="58"/>
        <v>17</v>
      </c>
      <c r="E188" s="298">
        <f t="shared" si="58"/>
        <v>0</v>
      </c>
      <c r="F188" s="298">
        <f t="shared" si="58"/>
        <v>10214.679999999998</v>
      </c>
      <c r="G188" s="298">
        <f t="shared" si="58"/>
        <v>388.58000000000004</v>
      </c>
      <c r="H188" s="298">
        <f t="shared" si="58"/>
        <v>216.50000000000003</v>
      </c>
      <c r="I188" s="298">
        <f t="shared" si="58"/>
        <v>172.08</v>
      </c>
      <c r="J188" s="298">
        <f t="shared" si="58"/>
        <v>0</v>
      </c>
      <c r="K188" s="298">
        <f t="shared" si="58"/>
        <v>0</v>
      </c>
      <c r="L188" s="298">
        <f t="shared" si="58"/>
        <v>16617</v>
      </c>
      <c r="M188" s="298">
        <f t="shared" si="58"/>
        <v>26443.1</v>
      </c>
      <c r="N188" s="326"/>
    </row>
    <row r="189" spans="1:17" s="292" customFormat="1" ht="38.25" customHeight="1">
      <c r="A189" s="313" t="s">
        <v>299</v>
      </c>
      <c r="B189" s="310" t="s">
        <v>338</v>
      </c>
      <c r="C189" s="311">
        <f t="shared" ref="C189:M189" si="59">C190+C191</f>
        <v>56</v>
      </c>
      <c r="D189" s="311">
        <f t="shared" si="59"/>
        <v>17</v>
      </c>
      <c r="E189" s="307">
        <f t="shared" si="59"/>
        <v>0</v>
      </c>
      <c r="F189" s="307">
        <f t="shared" si="59"/>
        <v>8996.3799999999992</v>
      </c>
      <c r="G189" s="307">
        <f t="shared" si="59"/>
        <v>363.28000000000003</v>
      </c>
      <c r="H189" s="307">
        <f t="shared" si="59"/>
        <v>191.20000000000002</v>
      </c>
      <c r="I189" s="307">
        <f t="shared" si="59"/>
        <v>172.08</v>
      </c>
      <c r="J189" s="307">
        <f t="shared" si="59"/>
        <v>0</v>
      </c>
      <c r="K189" s="307">
        <f t="shared" si="59"/>
        <v>0</v>
      </c>
      <c r="L189" s="307">
        <f t="shared" si="59"/>
        <v>15282</v>
      </c>
      <c r="M189" s="307">
        <f t="shared" si="59"/>
        <v>23915.1</v>
      </c>
      <c r="N189" s="308"/>
    </row>
    <row r="190" spans="1:17" s="292" customFormat="1" ht="220.5" customHeight="1">
      <c r="A190" s="313"/>
      <c r="B190" s="310" t="s">
        <v>337</v>
      </c>
      <c r="C190" s="311">
        <v>49</v>
      </c>
      <c r="D190" s="311">
        <v>15</v>
      </c>
      <c r="E190" s="307">
        <v>0</v>
      </c>
      <c r="F190" s="307">
        <v>7832.12</v>
      </c>
      <c r="G190" s="307">
        <f>SUM(H190:J190)</f>
        <v>320.72000000000003</v>
      </c>
      <c r="H190" s="307">
        <v>168.8</v>
      </c>
      <c r="I190" s="307">
        <v>151.92000000000002</v>
      </c>
      <c r="J190" s="307">
        <v>0</v>
      </c>
      <c r="K190" s="307">
        <v>0</v>
      </c>
      <c r="L190" s="307">
        <v>12379</v>
      </c>
      <c r="M190" s="307">
        <f>F190+L190-G190-K190</f>
        <v>19890.399999999998</v>
      </c>
      <c r="N190" s="365" t="s">
        <v>791</v>
      </c>
      <c r="O190" s="366">
        <f>1439+90+500+400+450+300+300+550+350+8000</f>
        <v>12379</v>
      </c>
      <c r="Q190" s="292">
        <f>600+1400+1800+600+100+2000+1500</f>
        <v>8000</v>
      </c>
    </row>
    <row r="191" spans="1:17" s="292" customFormat="1" ht="207.75" customHeight="1">
      <c r="A191" s="313"/>
      <c r="B191" s="310" t="s">
        <v>834</v>
      </c>
      <c r="C191" s="311">
        <v>7</v>
      </c>
      <c r="D191" s="311">
        <v>2</v>
      </c>
      <c r="E191" s="307">
        <v>0</v>
      </c>
      <c r="F191" s="307">
        <v>1164.26</v>
      </c>
      <c r="G191" s="307">
        <f>SUM(H191:J191)</f>
        <v>42.56</v>
      </c>
      <c r="H191" s="307">
        <v>22.400000000000002</v>
      </c>
      <c r="I191" s="307">
        <v>20.16</v>
      </c>
      <c r="J191" s="307">
        <v>0</v>
      </c>
      <c r="K191" s="307">
        <v>0</v>
      </c>
      <c r="L191" s="307">
        <v>2903</v>
      </c>
      <c r="M191" s="307">
        <f>F191+L191-G191-K191</f>
        <v>4024.7000000000003</v>
      </c>
      <c r="N191" s="367" t="s">
        <v>880</v>
      </c>
      <c r="O191" s="368">
        <f>10+139+440+130+50+900+298+396+116+41+151+149+83</f>
        <v>2903</v>
      </c>
    </row>
    <row r="192" spans="1:17" s="292" customFormat="1" ht="62.25" customHeight="1">
      <c r="A192" s="313" t="s">
        <v>297</v>
      </c>
      <c r="B192" s="310" t="s">
        <v>336</v>
      </c>
      <c r="C192" s="306">
        <f t="shared" ref="C192:M192" si="60">C193+C194</f>
        <v>11</v>
      </c>
      <c r="D192" s="306">
        <f t="shared" si="60"/>
        <v>0</v>
      </c>
      <c r="E192" s="307">
        <f t="shared" si="60"/>
        <v>0</v>
      </c>
      <c r="F192" s="307">
        <f t="shared" si="60"/>
        <v>1218.3</v>
      </c>
      <c r="G192" s="307">
        <f t="shared" si="60"/>
        <v>25.3</v>
      </c>
      <c r="H192" s="307">
        <f t="shared" si="60"/>
        <v>25.3</v>
      </c>
      <c r="I192" s="307">
        <f t="shared" si="60"/>
        <v>0</v>
      </c>
      <c r="J192" s="307">
        <f t="shared" si="60"/>
        <v>0</v>
      </c>
      <c r="K192" s="307">
        <f t="shared" si="60"/>
        <v>0</v>
      </c>
      <c r="L192" s="307">
        <f t="shared" si="60"/>
        <v>1335</v>
      </c>
      <c r="M192" s="307">
        <f t="shared" si="60"/>
        <v>2528</v>
      </c>
      <c r="N192" s="308"/>
    </row>
    <row r="193" spans="1:15" s="292" customFormat="1" ht="71.25" customHeight="1">
      <c r="A193" s="313" t="s">
        <v>276</v>
      </c>
      <c r="B193" s="305" t="s">
        <v>335</v>
      </c>
      <c r="C193" s="311"/>
      <c r="D193" s="311"/>
      <c r="E193" s="307"/>
      <c r="F193" s="307"/>
      <c r="G193" s="307"/>
      <c r="H193" s="307"/>
      <c r="I193" s="307"/>
      <c r="J193" s="307"/>
      <c r="K193" s="307"/>
      <c r="L193" s="307">
        <v>1250</v>
      </c>
      <c r="M193" s="307">
        <f>F193+L193-G193-K193</f>
        <v>1250</v>
      </c>
      <c r="N193" s="369" t="s">
        <v>334</v>
      </c>
    </row>
    <row r="194" spans="1:15" s="292" customFormat="1" ht="42.75" customHeight="1">
      <c r="A194" s="313" t="s">
        <v>276</v>
      </c>
      <c r="B194" s="305" t="s">
        <v>333</v>
      </c>
      <c r="C194" s="311">
        <v>11</v>
      </c>
      <c r="D194" s="311">
        <v>0</v>
      </c>
      <c r="E194" s="307">
        <v>0</v>
      </c>
      <c r="F194" s="307">
        <v>1218.3</v>
      </c>
      <c r="G194" s="307">
        <f>SUM(H194:J194)</f>
        <v>25.3</v>
      </c>
      <c r="H194" s="307">
        <v>25.3</v>
      </c>
      <c r="I194" s="307">
        <v>0</v>
      </c>
      <c r="J194" s="307">
        <v>0</v>
      </c>
      <c r="K194" s="307">
        <v>0</v>
      </c>
      <c r="L194" s="307">
        <v>85</v>
      </c>
      <c r="M194" s="307">
        <f>F194+L194-G194-K194</f>
        <v>1278</v>
      </c>
      <c r="N194" s="370" t="s">
        <v>792</v>
      </c>
      <c r="O194" s="371">
        <f>10+25+50</f>
        <v>85</v>
      </c>
    </row>
    <row r="195" spans="1:15" s="300" customFormat="1" ht="177.75" customHeight="1">
      <c r="A195" s="295">
        <v>15</v>
      </c>
      <c r="B195" s="296" t="s">
        <v>332</v>
      </c>
      <c r="C195" s="297">
        <v>35</v>
      </c>
      <c r="D195" s="297">
        <v>13</v>
      </c>
      <c r="E195" s="298">
        <v>0</v>
      </c>
      <c r="F195" s="298">
        <v>5901</v>
      </c>
      <c r="G195" s="298">
        <f>SUM(H195:J195)</f>
        <v>233.7</v>
      </c>
      <c r="H195" s="298">
        <v>123</v>
      </c>
      <c r="I195" s="298">
        <v>110.7</v>
      </c>
      <c r="J195" s="298">
        <v>0</v>
      </c>
      <c r="K195" s="298">
        <v>0</v>
      </c>
      <c r="L195" s="298">
        <v>11845</v>
      </c>
      <c r="M195" s="298">
        <f>F195+L195-G195-K195</f>
        <v>17512.3</v>
      </c>
      <c r="N195" s="372" t="s">
        <v>793</v>
      </c>
      <c r="O195" s="373">
        <f>70+1225+8000+350+1000+200+1000</f>
        <v>11845</v>
      </c>
    </row>
    <row r="196" spans="1:15" s="292" customFormat="1" ht="36" customHeight="1">
      <c r="A196" s="295">
        <v>16</v>
      </c>
      <c r="B196" s="296" t="s">
        <v>331</v>
      </c>
      <c r="C196" s="297">
        <f t="shared" ref="C196:M196" si="61">SUM(C197:C199)</f>
        <v>49</v>
      </c>
      <c r="D196" s="297">
        <f t="shared" si="61"/>
        <v>6</v>
      </c>
      <c r="E196" s="298">
        <f t="shared" si="61"/>
        <v>0</v>
      </c>
      <c r="F196" s="298">
        <f t="shared" si="61"/>
        <v>6967.24</v>
      </c>
      <c r="G196" s="298">
        <f t="shared" si="61"/>
        <v>308.54000000000002</v>
      </c>
      <c r="H196" s="298">
        <f t="shared" si="61"/>
        <v>159.6</v>
      </c>
      <c r="I196" s="298">
        <f t="shared" si="61"/>
        <v>122.94000000000001</v>
      </c>
      <c r="J196" s="298">
        <f t="shared" si="61"/>
        <v>26</v>
      </c>
      <c r="K196" s="298">
        <f t="shared" si="61"/>
        <v>20</v>
      </c>
      <c r="L196" s="298">
        <f t="shared" si="61"/>
        <v>5948</v>
      </c>
      <c r="M196" s="298">
        <f t="shared" si="61"/>
        <v>12586.699999999999</v>
      </c>
      <c r="N196" s="333"/>
    </row>
    <row r="197" spans="1:15" s="292" customFormat="1" ht="270.75" customHeight="1">
      <c r="A197" s="313" t="s">
        <v>3</v>
      </c>
      <c r="B197" s="310" t="s">
        <v>320</v>
      </c>
      <c r="C197" s="311">
        <v>39</v>
      </c>
      <c r="D197" s="311">
        <v>6</v>
      </c>
      <c r="E197" s="307">
        <v>0</v>
      </c>
      <c r="F197" s="307">
        <v>5963.24</v>
      </c>
      <c r="G197" s="307">
        <f>SUM(H197:J197)</f>
        <v>259.54000000000002</v>
      </c>
      <c r="H197" s="307">
        <v>136.6</v>
      </c>
      <c r="I197" s="307">
        <v>122.94000000000001</v>
      </c>
      <c r="J197" s="307">
        <v>0</v>
      </c>
      <c r="K197" s="307">
        <v>0</v>
      </c>
      <c r="L197" s="307">
        <v>4733</v>
      </c>
      <c r="M197" s="307">
        <f>F197+L197-G197-K197</f>
        <v>10436.699999999999</v>
      </c>
      <c r="N197" s="333" t="s">
        <v>794</v>
      </c>
      <c r="O197" s="292">
        <f>496+65+30+29+100+50+20+50+80+80+80+50+1330+1273+1000</f>
        <v>4733</v>
      </c>
    </row>
    <row r="198" spans="1:15" s="292" customFormat="1" ht="34.5" customHeight="1">
      <c r="A198" s="313" t="s">
        <v>3</v>
      </c>
      <c r="B198" s="310" t="s">
        <v>568</v>
      </c>
      <c r="C198" s="311">
        <v>10</v>
      </c>
      <c r="D198" s="311">
        <v>0</v>
      </c>
      <c r="E198" s="307">
        <v>0</v>
      </c>
      <c r="F198" s="307">
        <v>1004</v>
      </c>
      <c r="G198" s="307">
        <f>SUM(H198:J198)</f>
        <v>49</v>
      </c>
      <c r="H198" s="307">
        <v>23</v>
      </c>
      <c r="I198" s="307"/>
      <c r="J198" s="307">
        <v>26</v>
      </c>
      <c r="K198" s="307">
        <v>20</v>
      </c>
      <c r="L198" s="307">
        <v>15</v>
      </c>
      <c r="M198" s="307">
        <f>F198+L198-G198-K198</f>
        <v>950</v>
      </c>
      <c r="N198" s="308" t="s">
        <v>330</v>
      </c>
      <c r="O198" s="342"/>
    </row>
    <row r="199" spans="1:15" s="292" customFormat="1" ht="34.5" customHeight="1">
      <c r="A199" s="374" t="s">
        <v>3</v>
      </c>
      <c r="B199" s="310" t="s">
        <v>329</v>
      </c>
      <c r="C199" s="311"/>
      <c r="D199" s="311"/>
      <c r="E199" s="307"/>
      <c r="F199" s="307"/>
      <c r="G199" s="307">
        <f>SUM(H199:J199)</f>
        <v>0</v>
      </c>
      <c r="H199" s="307"/>
      <c r="I199" s="307"/>
      <c r="J199" s="307"/>
      <c r="K199" s="307"/>
      <c r="L199" s="307">
        <v>1200</v>
      </c>
      <c r="M199" s="307">
        <f>F199+L199-G199-K199</f>
        <v>1200</v>
      </c>
      <c r="N199" s="308"/>
    </row>
    <row r="200" spans="1:15" s="292" customFormat="1" ht="34.5" customHeight="1">
      <c r="A200" s="295">
        <v>17</v>
      </c>
      <c r="B200" s="296" t="s">
        <v>328</v>
      </c>
      <c r="C200" s="297">
        <f t="shared" ref="C200:M200" si="62">C201+C205+C206</f>
        <v>67</v>
      </c>
      <c r="D200" s="297">
        <f t="shared" si="62"/>
        <v>7</v>
      </c>
      <c r="E200" s="298">
        <f t="shared" si="62"/>
        <v>0</v>
      </c>
      <c r="F200" s="298">
        <f t="shared" si="62"/>
        <v>8133.7000000000007</v>
      </c>
      <c r="G200" s="298">
        <f t="shared" si="62"/>
        <v>384.80000000000007</v>
      </c>
      <c r="H200" s="298">
        <f t="shared" si="62"/>
        <v>215.6</v>
      </c>
      <c r="I200" s="298">
        <f t="shared" si="62"/>
        <v>169.20000000000002</v>
      </c>
      <c r="J200" s="298">
        <f t="shared" si="62"/>
        <v>0</v>
      </c>
      <c r="K200" s="298">
        <f t="shared" si="62"/>
        <v>0</v>
      </c>
      <c r="L200" s="298">
        <f t="shared" si="62"/>
        <v>13744</v>
      </c>
      <c r="M200" s="298">
        <f t="shared" si="62"/>
        <v>21492.9</v>
      </c>
      <c r="N200" s="308"/>
    </row>
    <row r="201" spans="1:15" s="292" customFormat="1" ht="34.5" customHeight="1">
      <c r="A201" s="313" t="s">
        <v>299</v>
      </c>
      <c r="B201" s="310" t="s">
        <v>327</v>
      </c>
      <c r="C201" s="311">
        <f t="shared" ref="C201:M201" si="63">SUM(C202:C203)</f>
        <v>55</v>
      </c>
      <c r="D201" s="311">
        <f t="shared" si="63"/>
        <v>7</v>
      </c>
      <c r="E201" s="307">
        <f t="shared" si="63"/>
        <v>0</v>
      </c>
      <c r="F201" s="307">
        <f t="shared" si="63"/>
        <v>6808.1</v>
      </c>
      <c r="G201" s="307">
        <f t="shared" si="63"/>
        <v>357.20000000000005</v>
      </c>
      <c r="H201" s="307">
        <f t="shared" si="63"/>
        <v>188</v>
      </c>
      <c r="I201" s="307">
        <f t="shared" si="63"/>
        <v>169.20000000000002</v>
      </c>
      <c r="J201" s="307">
        <f t="shared" si="63"/>
        <v>0</v>
      </c>
      <c r="K201" s="307">
        <f t="shared" si="63"/>
        <v>0</v>
      </c>
      <c r="L201" s="307">
        <f t="shared" si="63"/>
        <v>12541</v>
      </c>
      <c r="M201" s="307">
        <f t="shared" si="63"/>
        <v>18991.900000000001</v>
      </c>
      <c r="N201" s="308"/>
    </row>
    <row r="202" spans="1:15" s="292" customFormat="1" ht="311.25" customHeight="1">
      <c r="A202" s="313" t="s">
        <v>3</v>
      </c>
      <c r="B202" s="310" t="s">
        <v>326</v>
      </c>
      <c r="C202" s="311">
        <v>43</v>
      </c>
      <c r="D202" s="311">
        <v>6</v>
      </c>
      <c r="E202" s="307">
        <v>0</v>
      </c>
      <c r="F202" s="307">
        <v>6331.04</v>
      </c>
      <c r="G202" s="307">
        <f>SUM(H202:J202)</f>
        <v>284.24</v>
      </c>
      <c r="H202" s="307">
        <v>149.6</v>
      </c>
      <c r="I202" s="307">
        <v>134.64000000000001</v>
      </c>
      <c r="J202" s="307">
        <v>0</v>
      </c>
      <c r="K202" s="307">
        <v>0</v>
      </c>
      <c r="L202" s="307">
        <v>2354</v>
      </c>
      <c r="M202" s="307">
        <f>F202+L202-G202-K202</f>
        <v>8400.8000000000011</v>
      </c>
      <c r="N202" s="375" t="s">
        <v>881</v>
      </c>
      <c r="O202" s="376">
        <f>80+555+14+25+200+30+20+90+60+160+140+100+200+600+10+70</f>
        <v>2354</v>
      </c>
    </row>
    <row r="203" spans="1:15" s="292" customFormat="1" ht="105" customHeight="1">
      <c r="A203" s="313" t="s">
        <v>3</v>
      </c>
      <c r="B203" s="310" t="s">
        <v>325</v>
      </c>
      <c r="C203" s="311">
        <v>12</v>
      </c>
      <c r="D203" s="311">
        <v>1</v>
      </c>
      <c r="E203" s="307">
        <v>0</v>
      </c>
      <c r="F203" s="307">
        <v>477.06</v>
      </c>
      <c r="G203" s="307">
        <f>SUM(H203:J203)</f>
        <v>72.960000000000008</v>
      </c>
      <c r="H203" s="307">
        <v>38.400000000000006</v>
      </c>
      <c r="I203" s="307">
        <v>34.56</v>
      </c>
      <c r="J203" s="307">
        <v>0</v>
      </c>
      <c r="K203" s="307">
        <v>0</v>
      </c>
      <c r="L203" s="307">
        <v>10187</v>
      </c>
      <c r="M203" s="307">
        <f>F203+L203-G203-K203</f>
        <v>10591.1</v>
      </c>
      <c r="N203" s="377" t="s">
        <v>795</v>
      </c>
      <c r="O203" s="378">
        <f>20+77+9000+1000+90</f>
        <v>10187</v>
      </c>
    </row>
    <row r="204" spans="1:15" s="292" customFormat="1" ht="39" customHeight="1">
      <c r="A204" s="313" t="s">
        <v>297</v>
      </c>
      <c r="B204" s="310" t="s">
        <v>324</v>
      </c>
      <c r="C204" s="311">
        <f t="shared" ref="C204:H204" si="64">C205</f>
        <v>12</v>
      </c>
      <c r="D204" s="311">
        <f t="shared" si="64"/>
        <v>0</v>
      </c>
      <c r="E204" s="307">
        <f t="shared" si="64"/>
        <v>0</v>
      </c>
      <c r="F204" s="307">
        <f t="shared" si="64"/>
        <v>1325.6</v>
      </c>
      <c r="G204" s="307">
        <f t="shared" si="64"/>
        <v>27.6</v>
      </c>
      <c r="H204" s="307">
        <f t="shared" si="64"/>
        <v>27.6</v>
      </c>
      <c r="I204" s="307"/>
      <c r="J204" s="307">
        <f>J205</f>
        <v>0</v>
      </c>
      <c r="K204" s="307">
        <f>K205</f>
        <v>0</v>
      </c>
      <c r="L204" s="307">
        <f>L205</f>
        <v>703</v>
      </c>
      <c r="M204" s="307">
        <f>M205</f>
        <v>2001</v>
      </c>
      <c r="N204" s="308"/>
    </row>
    <row r="205" spans="1:15" s="292" customFormat="1" ht="119.25" customHeight="1">
      <c r="A205" s="313" t="s">
        <v>276</v>
      </c>
      <c r="B205" s="310" t="s">
        <v>576</v>
      </c>
      <c r="C205" s="311">
        <v>12</v>
      </c>
      <c r="D205" s="311">
        <v>0</v>
      </c>
      <c r="E205" s="307">
        <v>0</v>
      </c>
      <c r="F205" s="307">
        <v>1325.6</v>
      </c>
      <c r="G205" s="307">
        <f>SUM(H205:J205)</f>
        <v>27.6</v>
      </c>
      <c r="H205" s="307">
        <v>27.6</v>
      </c>
      <c r="I205" s="307"/>
      <c r="J205" s="307">
        <v>0</v>
      </c>
      <c r="K205" s="307">
        <v>0</v>
      </c>
      <c r="L205" s="307">
        <v>703</v>
      </c>
      <c r="M205" s="307">
        <f>F205+L205-G205-K205</f>
        <v>2001</v>
      </c>
      <c r="N205" s="379" t="s">
        <v>796</v>
      </c>
      <c r="O205" s="380">
        <f>16+30+80+80+150+30+107+200+10</f>
        <v>703</v>
      </c>
    </row>
    <row r="206" spans="1:15" s="292" customFormat="1" ht="39.75" customHeight="1">
      <c r="A206" s="313" t="s">
        <v>295</v>
      </c>
      <c r="B206" s="310" t="s">
        <v>294</v>
      </c>
      <c r="C206" s="311"/>
      <c r="D206" s="311"/>
      <c r="E206" s="307"/>
      <c r="F206" s="307"/>
      <c r="G206" s="307"/>
      <c r="H206" s="307"/>
      <c r="I206" s="307"/>
      <c r="J206" s="307"/>
      <c r="K206" s="307"/>
      <c r="L206" s="307">
        <v>500</v>
      </c>
      <c r="M206" s="307">
        <f>F206+L206-G206-K206</f>
        <v>500</v>
      </c>
      <c r="N206" s="381" t="s">
        <v>323</v>
      </c>
    </row>
    <row r="207" spans="1:15" s="292" customFormat="1" ht="37.5" customHeight="1">
      <c r="A207" s="295">
        <v>18</v>
      </c>
      <c r="B207" s="296" t="s">
        <v>322</v>
      </c>
      <c r="C207" s="297">
        <f t="shared" ref="C207:M207" si="65">C208+C209</f>
        <v>24</v>
      </c>
      <c r="D207" s="297">
        <f t="shared" si="65"/>
        <v>5</v>
      </c>
      <c r="E207" s="298">
        <f t="shared" si="65"/>
        <v>0</v>
      </c>
      <c r="F207" s="298">
        <f t="shared" si="65"/>
        <v>3320.06</v>
      </c>
      <c r="G207" s="298">
        <f t="shared" si="65"/>
        <v>141.46</v>
      </c>
      <c r="H207" s="298">
        <f t="shared" si="65"/>
        <v>79.900000000000006</v>
      </c>
      <c r="I207" s="298">
        <f t="shared" si="65"/>
        <v>61.56</v>
      </c>
      <c r="J207" s="298">
        <f t="shared" si="65"/>
        <v>0</v>
      </c>
      <c r="K207" s="298">
        <f t="shared" si="65"/>
        <v>0</v>
      </c>
      <c r="L207" s="298">
        <f t="shared" si="65"/>
        <v>8897</v>
      </c>
      <c r="M207" s="298">
        <f t="shared" si="65"/>
        <v>12075.6</v>
      </c>
      <c r="N207" s="308"/>
    </row>
    <row r="208" spans="1:15" s="292" customFormat="1" ht="161.25" customHeight="1">
      <c r="A208" s="313" t="s">
        <v>3</v>
      </c>
      <c r="B208" s="310" t="s">
        <v>320</v>
      </c>
      <c r="C208" s="311">
        <v>19</v>
      </c>
      <c r="D208" s="311">
        <v>5</v>
      </c>
      <c r="E208" s="307">
        <v>0</v>
      </c>
      <c r="F208" s="307">
        <v>2861.06</v>
      </c>
      <c r="G208" s="307">
        <f>SUM(H208:J208)</f>
        <v>129.96</v>
      </c>
      <c r="H208" s="307">
        <v>68.400000000000006</v>
      </c>
      <c r="I208" s="307">
        <v>61.56</v>
      </c>
      <c r="J208" s="307">
        <v>0</v>
      </c>
      <c r="K208" s="307">
        <v>0</v>
      </c>
      <c r="L208" s="307">
        <v>7847</v>
      </c>
      <c r="M208" s="307">
        <f>F208+L208-G208-K208</f>
        <v>10578.1</v>
      </c>
      <c r="N208" s="308" t="s">
        <v>797</v>
      </c>
      <c r="O208" s="292">
        <f>377+30+25+5+40+20+5000+800+500+600+150+300</f>
        <v>7847</v>
      </c>
    </row>
    <row r="209" spans="1:15" s="292" customFormat="1" ht="46.5" customHeight="1">
      <c r="A209" s="313" t="s">
        <v>3</v>
      </c>
      <c r="B209" s="310" t="s">
        <v>835</v>
      </c>
      <c r="C209" s="311">
        <v>5</v>
      </c>
      <c r="D209" s="311">
        <v>0</v>
      </c>
      <c r="E209" s="307">
        <v>0</v>
      </c>
      <c r="F209" s="307">
        <v>459</v>
      </c>
      <c r="G209" s="307">
        <f>SUM(H209:J209)</f>
        <v>11.5</v>
      </c>
      <c r="H209" s="307">
        <v>11.5</v>
      </c>
      <c r="I209" s="307"/>
      <c r="J209" s="307">
        <v>0</v>
      </c>
      <c r="K209" s="307">
        <v>0</v>
      </c>
      <c r="L209" s="307">
        <v>1050</v>
      </c>
      <c r="M209" s="307">
        <f>F209+L209-G209-K209</f>
        <v>1497.5</v>
      </c>
      <c r="N209" s="308" t="s">
        <v>798</v>
      </c>
      <c r="O209" s="292">
        <f>5+150+445+450</f>
        <v>1050</v>
      </c>
    </row>
    <row r="210" spans="1:15" s="292" customFormat="1" ht="43.5" customHeight="1">
      <c r="A210" s="295">
        <v>19</v>
      </c>
      <c r="B210" s="296" t="s">
        <v>321</v>
      </c>
      <c r="C210" s="309">
        <f t="shared" ref="C210:M210" si="66">C211+C212+C213</f>
        <v>38</v>
      </c>
      <c r="D210" s="309">
        <f t="shared" si="66"/>
        <v>5</v>
      </c>
      <c r="E210" s="298">
        <f t="shared" si="66"/>
        <v>50</v>
      </c>
      <c r="F210" s="298">
        <f t="shared" si="66"/>
        <v>5029.24</v>
      </c>
      <c r="G210" s="298">
        <f t="shared" si="66"/>
        <v>194.84000000000003</v>
      </c>
      <c r="H210" s="298">
        <f t="shared" si="66"/>
        <v>117.80000000000001</v>
      </c>
      <c r="I210" s="298">
        <f t="shared" si="66"/>
        <v>77.040000000000006</v>
      </c>
      <c r="J210" s="298">
        <f t="shared" si="66"/>
        <v>0</v>
      </c>
      <c r="K210" s="298">
        <f t="shared" si="66"/>
        <v>0</v>
      </c>
      <c r="L210" s="298">
        <f t="shared" si="66"/>
        <v>59630.5</v>
      </c>
      <c r="M210" s="298">
        <f t="shared" si="66"/>
        <v>64464.9</v>
      </c>
      <c r="N210" s="326"/>
    </row>
    <row r="211" spans="1:15" s="292" customFormat="1" ht="270" customHeight="1">
      <c r="A211" s="313" t="s">
        <v>276</v>
      </c>
      <c r="B211" s="310" t="s">
        <v>320</v>
      </c>
      <c r="C211" s="311">
        <v>24</v>
      </c>
      <c r="D211" s="311">
        <v>5</v>
      </c>
      <c r="E211" s="307">
        <v>50</v>
      </c>
      <c r="F211" s="307">
        <v>3482.04</v>
      </c>
      <c r="G211" s="307">
        <f>SUM(H211:J211)</f>
        <v>162.64000000000001</v>
      </c>
      <c r="H211" s="307">
        <v>85.600000000000009</v>
      </c>
      <c r="I211" s="307">
        <v>77.040000000000006</v>
      </c>
      <c r="J211" s="307">
        <v>0</v>
      </c>
      <c r="K211" s="307">
        <v>0</v>
      </c>
      <c r="L211" s="307">
        <v>1151.5</v>
      </c>
      <c r="M211" s="307">
        <f>F211+L211-G211-K211</f>
        <v>4470.8999999999996</v>
      </c>
      <c r="N211" s="308" t="s">
        <v>799</v>
      </c>
      <c r="O211" s="292">
        <f>415.5+36+25+10+50+80+90+20+10+15+400</f>
        <v>1151.5</v>
      </c>
    </row>
    <row r="212" spans="1:15" s="292" customFormat="1" ht="116.25" customHeight="1">
      <c r="A212" s="313" t="s">
        <v>276</v>
      </c>
      <c r="B212" s="310" t="s">
        <v>319</v>
      </c>
      <c r="C212" s="311">
        <v>14</v>
      </c>
      <c r="D212" s="311">
        <v>0</v>
      </c>
      <c r="E212" s="307">
        <v>0</v>
      </c>
      <c r="F212" s="307">
        <v>1547.2</v>
      </c>
      <c r="G212" s="307">
        <f>SUM(H212:J212)</f>
        <v>32.200000000000003</v>
      </c>
      <c r="H212" s="307">
        <v>32.200000000000003</v>
      </c>
      <c r="I212" s="307"/>
      <c r="J212" s="307">
        <v>0</v>
      </c>
      <c r="K212" s="307">
        <v>0</v>
      </c>
      <c r="L212" s="307">
        <v>908</v>
      </c>
      <c r="M212" s="307">
        <f>F212+L212-G212-K212</f>
        <v>2423</v>
      </c>
      <c r="N212" s="308" t="s">
        <v>800</v>
      </c>
      <c r="O212" s="342">
        <f>16+300+15+350+177+50</f>
        <v>908</v>
      </c>
    </row>
    <row r="213" spans="1:15" s="292" customFormat="1" ht="52.5" customHeight="1">
      <c r="A213" s="313" t="s">
        <v>276</v>
      </c>
      <c r="B213" s="382" t="s">
        <v>318</v>
      </c>
      <c r="C213" s="344"/>
      <c r="D213" s="344"/>
      <c r="E213" s="345"/>
      <c r="F213" s="345"/>
      <c r="G213" s="345"/>
      <c r="H213" s="345"/>
      <c r="I213" s="345"/>
      <c r="J213" s="345"/>
      <c r="K213" s="345"/>
      <c r="L213" s="345">
        <f>L214+L215</f>
        <v>57571</v>
      </c>
      <c r="M213" s="345">
        <f>M214+M215</f>
        <v>57571</v>
      </c>
      <c r="N213" s="308"/>
      <c r="O213" s="342"/>
    </row>
    <row r="214" spans="1:15" s="292" customFormat="1" ht="253.5" customHeight="1">
      <c r="A214" s="314"/>
      <c r="B214" s="383" t="s">
        <v>317</v>
      </c>
      <c r="C214" s="344"/>
      <c r="D214" s="344"/>
      <c r="E214" s="384"/>
      <c r="F214" s="384"/>
      <c r="G214" s="384"/>
      <c r="H214" s="384"/>
      <c r="I214" s="384"/>
      <c r="J214" s="384"/>
      <c r="K214" s="384"/>
      <c r="L214" s="345">
        <v>16706</v>
      </c>
      <c r="M214" s="345">
        <f>F214+L214-G214-K214</f>
        <v>16706</v>
      </c>
      <c r="N214" s="308" t="s">
        <v>801</v>
      </c>
      <c r="O214" s="292">
        <f>1706+200+300+500+2000+10000+2000</f>
        <v>16706</v>
      </c>
    </row>
    <row r="215" spans="1:15" s="292" customFormat="1" ht="332.25" customHeight="1">
      <c r="A215" s="992"/>
      <c r="B215" s="1033" t="s">
        <v>316</v>
      </c>
      <c r="C215" s="1054"/>
      <c r="D215" s="1054"/>
      <c r="E215" s="994"/>
      <c r="F215" s="994"/>
      <c r="G215" s="1056"/>
      <c r="H215" s="994"/>
      <c r="I215" s="994"/>
      <c r="J215" s="384"/>
      <c r="K215" s="994"/>
      <c r="L215" s="994">
        <v>40865</v>
      </c>
      <c r="M215" s="994">
        <f>F215+L215-G215-K215</f>
        <v>40865</v>
      </c>
      <c r="N215" s="385" t="s">
        <v>1069</v>
      </c>
      <c r="O215" s="292">
        <f>100+4000+480+100+115+100+300+100+3000</f>
        <v>8295</v>
      </c>
    </row>
    <row r="216" spans="1:15" s="292" customFormat="1" ht="409.6" customHeight="1">
      <c r="A216" s="993"/>
      <c r="B216" s="1034"/>
      <c r="C216" s="1055"/>
      <c r="D216" s="1055"/>
      <c r="E216" s="996"/>
      <c r="F216" s="996"/>
      <c r="G216" s="1057"/>
      <c r="H216" s="996"/>
      <c r="I216" s="996"/>
      <c r="J216" s="386"/>
      <c r="K216" s="996"/>
      <c r="L216" s="996"/>
      <c r="M216" s="996"/>
      <c r="N216" s="385" t="s">
        <v>882</v>
      </c>
      <c r="O216" s="292">
        <f>2000+2000+500+2000+2000+3200+30+10000+2000+3000+5000+240+600</f>
        <v>32570</v>
      </c>
    </row>
    <row r="217" spans="1:15" s="300" customFormat="1" ht="179.25" customHeight="1">
      <c r="A217" s="295">
        <v>20</v>
      </c>
      <c r="B217" s="296" t="s">
        <v>315</v>
      </c>
      <c r="C217" s="297">
        <v>31</v>
      </c>
      <c r="D217" s="297">
        <v>5</v>
      </c>
      <c r="E217" s="298">
        <v>0</v>
      </c>
      <c r="F217" s="298">
        <v>5159.0599999999995</v>
      </c>
      <c r="G217" s="298">
        <f>SUM(H217:J217)</f>
        <v>207.86</v>
      </c>
      <c r="H217" s="298">
        <v>109.4</v>
      </c>
      <c r="I217" s="298">
        <v>98.460000000000008</v>
      </c>
      <c r="J217" s="298">
        <v>0</v>
      </c>
      <c r="K217" s="298">
        <v>0</v>
      </c>
      <c r="L217" s="298">
        <v>2828.4</v>
      </c>
      <c r="M217" s="298">
        <f>F217+L217-G217-K217</f>
        <v>7779.5999999999995</v>
      </c>
      <c r="N217" s="317" t="s">
        <v>802</v>
      </c>
      <c r="O217" s="300">
        <f>446+44+35+158+900+30+30+80+480.4+25+600</f>
        <v>2828.4</v>
      </c>
    </row>
    <row r="218" spans="1:15" s="292" customFormat="1" ht="131.25" customHeight="1">
      <c r="A218" s="295">
        <v>21</v>
      </c>
      <c r="B218" s="296" t="s">
        <v>545</v>
      </c>
      <c r="C218" s="297">
        <v>24</v>
      </c>
      <c r="D218" s="297">
        <v>6</v>
      </c>
      <c r="E218" s="298">
        <v>0</v>
      </c>
      <c r="F218" s="298">
        <v>3794.04</v>
      </c>
      <c r="G218" s="298">
        <f>SUM(H218:J218)</f>
        <v>162.64000000000001</v>
      </c>
      <c r="H218" s="298">
        <v>85.600000000000009</v>
      </c>
      <c r="I218" s="298">
        <v>77.040000000000006</v>
      </c>
      <c r="J218" s="298">
        <v>0</v>
      </c>
      <c r="K218" s="298">
        <v>0</v>
      </c>
      <c r="L218" s="298">
        <v>1858</v>
      </c>
      <c r="M218" s="298">
        <f>F218+L218-G218-K218</f>
        <v>5489.4</v>
      </c>
      <c r="N218" s="317" t="s">
        <v>803</v>
      </c>
      <c r="O218" s="292">
        <f>51+490+555+500+22+40+200</f>
        <v>1858</v>
      </c>
    </row>
    <row r="219" spans="1:15" s="292" customFormat="1" ht="78" customHeight="1">
      <c r="A219" s="295">
        <v>22</v>
      </c>
      <c r="B219" s="387" t="s">
        <v>314</v>
      </c>
      <c r="C219" s="297">
        <v>12</v>
      </c>
      <c r="D219" s="297">
        <v>3</v>
      </c>
      <c r="E219" s="298">
        <v>0</v>
      </c>
      <c r="F219" s="298">
        <v>1706.06</v>
      </c>
      <c r="G219" s="298">
        <f>SUM(H219:J219)</f>
        <v>72.960000000000008</v>
      </c>
      <c r="H219" s="298">
        <v>38.400000000000006</v>
      </c>
      <c r="I219" s="298">
        <v>34.56</v>
      </c>
      <c r="J219" s="298">
        <v>0</v>
      </c>
      <c r="K219" s="298">
        <v>0</v>
      </c>
      <c r="L219" s="298">
        <v>438</v>
      </c>
      <c r="M219" s="298">
        <f>F219+L219-G219-K219</f>
        <v>2071.1</v>
      </c>
      <c r="N219" s="308" t="s">
        <v>804</v>
      </c>
      <c r="O219" s="292">
        <f>223+15+200</f>
        <v>438</v>
      </c>
    </row>
    <row r="220" spans="1:15" s="300" customFormat="1" ht="37.5" customHeight="1">
      <c r="A220" s="295" t="s">
        <v>28</v>
      </c>
      <c r="B220" s="296" t="s">
        <v>313</v>
      </c>
      <c r="C220" s="297">
        <f t="shared" ref="C220:H220" si="67">C221+C224</f>
        <v>218</v>
      </c>
      <c r="D220" s="297">
        <f t="shared" si="67"/>
        <v>0</v>
      </c>
      <c r="E220" s="298">
        <f t="shared" si="67"/>
        <v>0</v>
      </c>
      <c r="F220" s="298">
        <f t="shared" si="67"/>
        <v>31021.68</v>
      </c>
      <c r="G220" s="298">
        <f t="shared" si="67"/>
        <v>1474.18</v>
      </c>
      <c r="H220" s="298">
        <f t="shared" si="67"/>
        <v>723.08</v>
      </c>
      <c r="I220" s="298"/>
      <c r="J220" s="298">
        <f>J221+J224</f>
        <v>751.1</v>
      </c>
      <c r="K220" s="298">
        <f>K221+K224</f>
        <v>672.5</v>
      </c>
      <c r="L220" s="298">
        <f>L221+L224</f>
        <v>21891</v>
      </c>
      <c r="M220" s="298">
        <f>M221+M224</f>
        <v>50766</v>
      </c>
      <c r="N220" s="312"/>
    </row>
    <row r="221" spans="1:15" s="300" customFormat="1" ht="37.5" customHeight="1">
      <c r="A221" s="295" t="s">
        <v>1</v>
      </c>
      <c r="B221" s="296" t="s">
        <v>312</v>
      </c>
      <c r="C221" s="297">
        <f t="shared" ref="C221:H221" si="68">SUM(C222:C223)</f>
        <v>102</v>
      </c>
      <c r="D221" s="297">
        <f t="shared" si="68"/>
        <v>0</v>
      </c>
      <c r="E221" s="298">
        <f t="shared" si="68"/>
        <v>0</v>
      </c>
      <c r="F221" s="298">
        <f t="shared" si="68"/>
        <v>17969.68</v>
      </c>
      <c r="G221" s="298">
        <f t="shared" si="68"/>
        <v>944.18000000000006</v>
      </c>
      <c r="H221" s="298">
        <f t="shared" si="68"/>
        <v>479.08000000000004</v>
      </c>
      <c r="I221" s="298"/>
      <c r="J221" s="298">
        <f>SUM(J222:J223)</f>
        <v>465.1</v>
      </c>
      <c r="K221" s="298">
        <f>SUM(K222:K223)</f>
        <v>537.5</v>
      </c>
      <c r="L221" s="298">
        <f>SUM(L222:L223)</f>
        <v>1346</v>
      </c>
      <c r="M221" s="298">
        <f>SUM(M222:M223)</f>
        <v>17834</v>
      </c>
      <c r="N221" s="312"/>
    </row>
    <row r="222" spans="1:15" s="292" customFormat="1" ht="103.5" customHeight="1">
      <c r="A222" s="313">
        <v>1</v>
      </c>
      <c r="B222" s="310" t="s">
        <v>836</v>
      </c>
      <c r="C222" s="311">
        <v>60</v>
      </c>
      <c r="D222" s="311">
        <v>0</v>
      </c>
      <c r="E222" s="307">
        <v>0</v>
      </c>
      <c r="F222" s="307">
        <v>10042.18</v>
      </c>
      <c r="G222" s="307">
        <f>SUM(H222:J222)</f>
        <v>421.18</v>
      </c>
      <c r="H222" s="307">
        <v>337.18</v>
      </c>
      <c r="I222" s="307"/>
      <c r="J222" s="307">
        <v>84</v>
      </c>
      <c r="K222" s="307">
        <v>176</v>
      </c>
      <c r="L222" s="307">
        <v>1148</v>
      </c>
      <c r="M222" s="307">
        <f>F222+L222-G222-K222</f>
        <v>10593</v>
      </c>
      <c r="N222" s="308" t="s">
        <v>805</v>
      </c>
      <c r="O222" s="292">
        <f>80+50+804+200+14</f>
        <v>1148</v>
      </c>
    </row>
    <row r="223" spans="1:15" s="292" customFormat="1" ht="75.75" customHeight="1">
      <c r="A223" s="313">
        <v>2</v>
      </c>
      <c r="B223" s="310" t="s">
        <v>311</v>
      </c>
      <c r="C223" s="311">
        <v>42</v>
      </c>
      <c r="D223" s="311">
        <v>0</v>
      </c>
      <c r="E223" s="307">
        <v>0</v>
      </c>
      <c r="F223" s="307">
        <v>7927.5</v>
      </c>
      <c r="G223" s="307">
        <f>SUM(H223:J223)</f>
        <v>523</v>
      </c>
      <c r="H223" s="307">
        <v>141.9</v>
      </c>
      <c r="I223" s="307"/>
      <c r="J223" s="307">
        <v>381.1</v>
      </c>
      <c r="K223" s="307">
        <v>361.5</v>
      </c>
      <c r="L223" s="307">
        <v>198</v>
      </c>
      <c r="M223" s="307">
        <f>F223+L223-G223-K223</f>
        <v>7241</v>
      </c>
      <c r="N223" s="316" t="s">
        <v>806</v>
      </c>
      <c r="O223" s="292">
        <f>50+70+78</f>
        <v>198</v>
      </c>
    </row>
    <row r="224" spans="1:15" s="292" customFormat="1" ht="51.75" customHeight="1">
      <c r="A224" s="295" t="s">
        <v>2</v>
      </c>
      <c r="B224" s="296" t="s">
        <v>837</v>
      </c>
      <c r="C224" s="297">
        <f t="shared" ref="C224:H224" si="69">C225</f>
        <v>116</v>
      </c>
      <c r="D224" s="297">
        <f t="shared" si="69"/>
        <v>0</v>
      </c>
      <c r="E224" s="298">
        <f t="shared" si="69"/>
        <v>0</v>
      </c>
      <c r="F224" s="298">
        <f t="shared" si="69"/>
        <v>13052</v>
      </c>
      <c r="G224" s="298">
        <f t="shared" si="69"/>
        <v>530</v>
      </c>
      <c r="H224" s="298">
        <f t="shared" si="69"/>
        <v>244</v>
      </c>
      <c r="I224" s="298"/>
      <c r="J224" s="298">
        <f>J225</f>
        <v>286</v>
      </c>
      <c r="K224" s="298">
        <f>K225</f>
        <v>135</v>
      </c>
      <c r="L224" s="298">
        <f>L225</f>
        <v>20545</v>
      </c>
      <c r="M224" s="298">
        <f>M225</f>
        <v>32932</v>
      </c>
      <c r="N224" s="308"/>
    </row>
    <row r="225" spans="1:17" s="292" customFormat="1" ht="42" customHeight="1">
      <c r="A225" s="295">
        <v>1</v>
      </c>
      <c r="B225" s="296" t="s">
        <v>310</v>
      </c>
      <c r="C225" s="297">
        <f t="shared" ref="C225:H225" si="70">C226+C227+C228</f>
        <v>116</v>
      </c>
      <c r="D225" s="297">
        <f t="shared" si="70"/>
        <v>0</v>
      </c>
      <c r="E225" s="298">
        <f t="shared" si="70"/>
        <v>0</v>
      </c>
      <c r="F225" s="298">
        <f t="shared" si="70"/>
        <v>13052</v>
      </c>
      <c r="G225" s="298">
        <f t="shared" si="70"/>
        <v>530</v>
      </c>
      <c r="H225" s="298">
        <f t="shared" si="70"/>
        <v>244</v>
      </c>
      <c r="I225" s="298"/>
      <c r="J225" s="298">
        <f>J226+J227+J228</f>
        <v>286</v>
      </c>
      <c r="K225" s="298">
        <f>K226+K227+K228</f>
        <v>135</v>
      </c>
      <c r="L225" s="298">
        <f>L226+L227+L228</f>
        <v>20545</v>
      </c>
      <c r="M225" s="298">
        <f>M226+M227+M228</f>
        <v>32932</v>
      </c>
      <c r="N225" s="308"/>
    </row>
    <row r="226" spans="1:17" s="292" customFormat="1" ht="63" customHeight="1">
      <c r="A226" s="313" t="s">
        <v>276</v>
      </c>
      <c r="B226" s="310" t="s">
        <v>309</v>
      </c>
      <c r="C226" s="311">
        <v>116</v>
      </c>
      <c r="D226" s="311">
        <v>0</v>
      </c>
      <c r="E226" s="307">
        <v>0</v>
      </c>
      <c r="F226" s="307">
        <v>13052</v>
      </c>
      <c r="G226" s="307">
        <f>SUM(H226:J226)</f>
        <v>530</v>
      </c>
      <c r="H226" s="307">
        <v>244</v>
      </c>
      <c r="I226" s="307">
        <v>0</v>
      </c>
      <c r="J226" s="307">
        <v>286</v>
      </c>
      <c r="K226" s="307">
        <v>135</v>
      </c>
      <c r="L226" s="307">
        <v>195</v>
      </c>
      <c r="M226" s="307">
        <f>F226+L226-H226-J226-K226</f>
        <v>12582</v>
      </c>
      <c r="N226" s="308" t="s">
        <v>807</v>
      </c>
      <c r="O226" s="292">
        <f>80+15+100</f>
        <v>195</v>
      </c>
    </row>
    <row r="227" spans="1:17" s="292" customFormat="1" ht="209.25" customHeight="1">
      <c r="A227" s="313" t="s">
        <v>276</v>
      </c>
      <c r="B227" s="310" t="s">
        <v>308</v>
      </c>
      <c r="C227" s="311"/>
      <c r="D227" s="297"/>
      <c r="E227" s="298"/>
      <c r="F227" s="298"/>
      <c r="G227" s="307"/>
      <c r="H227" s="307"/>
      <c r="I227" s="307"/>
      <c r="J227" s="307"/>
      <c r="K227" s="307"/>
      <c r="L227" s="307">
        <v>8350</v>
      </c>
      <c r="M227" s="307">
        <f>F227+L227-H227-J227-K227</f>
        <v>8350</v>
      </c>
      <c r="N227" s="308" t="s">
        <v>883</v>
      </c>
      <c r="O227" s="292">
        <f>300+500+100+3900+670+1160+180+500+96+144+800</f>
        <v>8350</v>
      </c>
    </row>
    <row r="228" spans="1:17" s="292" customFormat="1" ht="40.5" customHeight="1">
      <c r="A228" s="313" t="s">
        <v>276</v>
      </c>
      <c r="B228" s="310" t="s">
        <v>307</v>
      </c>
      <c r="C228" s="311"/>
      <c r="D228" s="311"/>
      <c r="E228" s="307"/>
      <c r="F228" s="307"/>
      <c r="G228" s="307"/>
      <c r="H228" s="307"/>
      <c r="I228" s="307"/>
      <c r="J228" s="307"/>
      <c r="K228" s="307"/>
      <c r="L228" s="307">
        <v>12000</v>
      </c>
      <c r="M228" s="307">
        <f>F228+L228-H228-J228-K228</f>
        <v>12000</v>
      </c>
      <c r="N228" s="308" t="s">
        <v>306</v>
      </c>
    </row>
    <row r="229" spans="1:17" s="292" customFormat="1" ht="37.5" customHeight="1">
      <c r="A229" s="295" t="s">
        <v>212</v>
      </c>
      <c r="B229" s="296" t="s">
        <v>305</v>
      </c>
      <c r="C229" s="297">
        <f t="shared" ref="C229:H229" si="71">C230+C233</f>
        <v>0</v>
      </c>
      <c r="D229" s="297">
        <f t="shared" si="71"/>
        <v>0</v>
      </c>
      <c r="E229" s="298">
        <f t="shared" si="71"/>
        <v>0</v>
      </c>
      <c r="F229" s="298">
        <f t="shared" si="71"/>
        <v>0</v>
      </c>
      <c r="G229" s="298">
        <f t="shared" si="71"/>
        <v>0</v>
      </c>
      <c r="H229" s="298">
        <f t="shared" si="71"/>
        <v>0</v>
      </c>
      <c r="I229" s="298"/>
      <c r="J229" s="298">
        <f>J230+J233</f>
        <v>0</v>
      </c>
      <c r="K229" s="298">
        <f>K230+K233</f>
        <v>0</v>
      </c>
      <c r="L229" s="298">
        <f>L230+L233</f>
        <v>75665</v>
      </c>
      <c r="M229" s="298">
        <f>M230+M233</f>
        <v>75665</v>
      </c>
      <c r="N229" s="308"/>
    </row>
    <row r="230" spans="1:17" s="292" customFormat="1" ht="37.5" customHeight="1">
      <c r="A230" s="295">
        <v>1</v>
      </c>
      <c r="B230" s="296" t="s">
        <v>304</v>
      </c>
      <c r="C230" s="297">
        <f t="shared" ref="C230:H230" si="72">C231+C232</f>
        <v>0</v>
      </c>
      <c r="D230" s="297">
        <f t="shared" si="72"/>
        <v>0</v>
      </c>
      <c r="E230" s="298">
        <f t="shared" si="72"/>
        <v>0</v>
      </c>
      <c r="F230" s="298">
        <f t="shared" si="72"/>
        <v>0</v>
      </c>
      <c r="G230" s="298">
        <f t="shared" si="72"/>
        <v>0</v>
      </c>
      <c r="H230" s="298">
        <f t="shared" si="72"/>
        <v>0</v>
      </c>
      <c r="I230" s="298"/>
      <c r="J230" s="298">
        <f>J231+J232</f>
        <v>0</v>
      </c>
      <c r="K230" s="298">
        <f>K231+K232</f>
        <v>0</v>
      </c>
      <c r="L230" s="298">
        <f>L231+L232</f>
        <v>57076</v>
      </c>
      <c r="M230" s="298">
        <f>M231+M232</f>
        <v>57076</v>
      </c>
      <c r="N230" s="308"/>
    </row>
    <row r="231" spans="1:17" s="292" customFormat="1" ht="103.5" customHeight="1">
      <c r="A231" s="313" t="s">
        <v>119</v>
      </c>
      <c r="B231" s="310" t="s">
        <v>838</v>
      </c>
      <c r="C231" s="311"/>
      <c r="D231" s="311"/>
      <c r="E231" s="307"/>
      <c r="F231" s="307"/>
      <c r="G231" s="307"/>
      <c r="H231" s="307"/>
      <c r="I231" s="307"/>
      <c r="J231" s="307"/>
      <c r="K231" s="307"/>
      <c r="L231" s="307">
        <v>44361</v>
      </c>
      <c r="M231" s="307">
        <f>F231+L231-H231-J231-K231</f>
        <v>44361</v>
      </c>
      <c r="N231" s="316" t="s">
        <v>303</v>
      </c>
      <c r="O231" s="292">
        <f>2000+5061+9300+8000+20000</f>
        <v>44361</v>
      </c>
    </row>
    <row r="232" spans="1:17" s="292" customFormat="1" ht="389.25" customHeight="1">
      <c r="A232" s="313" t="s">
        <v>122</v>
      </c>
      <c r="B232" s="310" t="s">
        <v>302</v>
      </c>
      <c r="C232" s="311"/>
      <c r="D232" s="297"/>
      <c r="E232" s="307"/>
      <c r="F232" s="307"/>
      <c r="G232" s="307"/>
      <c r="H232" s="307"/>
      <c r="I232" s="307"/>
      <c r="J232" s="307"/>
      <c r="K232" s="307"/>
      <c r="L232" s="307">
        <v>12715</v>
      </c>
      <c r="M232" s="307">
        <f>F232+L232-H232-J232-K232</f>
        <v>12715</v>
      </c>
      <c r="N232" s="316" t="s">
        <v>1070</v>
      </c>
      <c r="O232" s="388">
        <f>600+900+1300+650+1600+150+120+500+2200+450+1500+300+80+1200+250+200+700+15</f>
        <v>12715</v>
      </c>
      <c r="Q232" s="291"/>
    </row>
    <row r="233" spans="1:17" s="292" customFormat="1" ht="42" customHeight="1">
      <c r="A233" s="295">
        <v>2</v>
      </c>
      <c r="B233" s="296" t="s">
        <v>301</v>
      </c>
      <c r="C233" s="297"/>
      <c r="D233" s="297"/>
      <c r="E233" s="298"/>
      <c r="F233" s="298">
        <f>F234</f>
        <v>0</v>
      </c>
      <c r="G233" s="298">
        <f>G234</f>
        <v>0</v>
      </c>
      <c r="H233" s="298">
        <f>H234</f>
        <v>0</v>
      </c>
      <c r="I233" s="298"/>
      <c r="J233" s="298">
        <f>J234</f>
        <v>0</v>
      </c>
      <c r="K233" s="298">
        <f>K234</f>
        <v>0</v>
      </c>
      <c r="L233" s="298">
        <f>L234</f>
        <v>18589</v>
      </c>
      <c r="M233" s="298">
        <f>M234</f>
        <v>18589</v>
      </c>
      <c r="N233" s="308"/>
    </row>
    <row r="234" spans="1:17" s="292" customFormat="1" ht="42" customHeight="1">
      <c r="A234" s="295" t="s">
        <v>128</v>
      </c>
      <c r="B234" s="296" t="s">
        <v>300</v>
      </c>
      <c r="C234" s="297"/>
      <c r="D234" s="389"/>
      <c r="E234" s="298"/>
      <c r="F234" s="298">
        <f>F235+F236+F237+F241</f>
        <v>0</v>
      </c>
      <c r="G234" s="298">
        <f>G235+G236+G237+G241</f>
        <v>0</v>
      </c>
      <c r="H234" s="298">
        <f>H235+H236+H237+H241</f>
        <v>0</v>
      </c>
      <c r="I234" s="298"/>
      <c r="J234" s="298">
        <f>J235+J236+J237+J241</f>
        <v>0</v>
      </c>
      <c r="K234" s="298">
        <f>K235+K236+K237+K241</f>
        <v>0</v>
      </c>
      <c r="L234" s="298">
        <f>L235+L236+L237+L241</f>
        <v>18589</v>
      </c>
      <c r="M234" s="298">
        <f>M235+M236+M237+M241</f>
        <v>18589</v>
      </c>
      <c r="N234" s="308"/>
    </row>
    <row r="235" spans="1:17" s="292" customFormat="1" ht="353.25" customHeight="1">
      <c r="A235" s="313" t="s">
        <v>299</v>
      </c>
      <c r="B235" s="310" t="s">
        <v>298</v>
      </c>
      <c r="C235" s="311"/>
      <c r="D235" s="297"/>
      <c r="E235" s="307"/>
      <c r="F235" s="307"/>
      <c r="G235" s="307"/>
      <c r="H235" s="307"/>
      <c r="I235" s="307"/>
      <c r="J235" s="307"/>
      <c r="K235" s="307"/>
      <c r="L235" s="307">
        <v>14723</v>
      </c>
      <c r="M235" s="307">
        <f>F235+L235-H235-J235-K235</f>
        <v>14723</v>
      </c>
      <c r="N235" s="390" t="s">
        <v>884</v>
      </c>
      <c r="O235" s="391">
        <f>270+300+100+150+200+230+1000+2000+500+300+100+900+200+300+300+100+150+6108+1500+15</f>
        <v>14723</v>
      </c>
    </row>
    <row r="236" spans="1:17" s="292" customFormat="1" ht="50.25" customHeight="1">
      <c r="A236" s="313" t="s">
        <v>297</v>
      </c>
      <c r="B236" s="310" t="s">
        <v>296</v>
      </c>
      <c r="C236" s="311"/>
      <c r="D236" s="297"/>
      <c r="E236" s="307"/>
      <c r="F236" s="307"/>
      <c r="G236" s="307"/>
      <c r="H236" s="307"/>
      <c r="I236" s="307"/>
      <c r="J236" s="307"/>
      <c r="K236" s="307"/>
      <c r="L236" s="307">
        <v>966</v>
      </c>
      <c r="M236" s="307">
        <f>F236+L236-H236-J236-K236</f>
        <v>966</v>
      </c>
      <c r="N236" s="308"/>
    </row>
    <row r="237" spans="1:17" s="292" customFormat="1" ht="50.25" customHeight="1">
      <c r="A237" s="313" t="s">
        <v>295</v>
      </c>
      <c r="B237" s="310" t="s">
        <v>294</v>
      </c>
      <c r="C237" s="311"/>
      <c r="D237" s="297"/>
      <c r="E237" s="307"/>
      <c r="F237" s="307">
        <f>SUM(F238:F240)</f>
        <v>0</v>
      </c>
      <c r="G237" s="307"/>
      <c r="H237" s="307"/>
      <c r="I237" s="307"/>
      <c r="J237" s="307"/>
      <c r="K237" s="307"/>
      <c r="L237" s="307">
        <f>SUM(L238:L240)</f>
        <v>900</v>
      </c>
      <c r="M237" s="307">
        <f>SUM(M238:M240)</f>
        <v>900</v>
      </c>
      <c r="N237" s="308"/>
    </row>
    <row r="238" spans="1:17" s="292" customFormat="1" ht="50.25" customHeight="1">
      <c r="A238" s="313" t="s">
        <v>276</v>
      </c>
      <c r="B238" s="310" t="s">
        <v>293</v>
      </c>
      <c r="C238" s="311"/>
      <c r="D238" s="297"/>
      <c r="E238" s="307"/>
      <c r="F238" s="307"/>
      <c r="G238" s="307"/>
      <c r="H238" s="307"/>
      <c r="I238" s="307"/>
      <c r="J238" s="307"/>
      <c r="K238" s="307"/>
      <c r="L238" s="307">
        <v>200</v>
      </c>
      <c r="M238" s="307">
        <f>F238+L238-H238-J238-K238</f>
        <v>200</v>
      </c>
      <c r="N238" s="333"/>
    </row>
    <row r="239" spans="1:17" s="292" customFormat="1" ht="54" customHeight="1">
      <c r="A239" s="313" t="s">
        <v>276</v>
      </c>
      <c r="B239" s="329" t="s">
        <v>292</v>
      </c>
      <c r="C239" s="311"/>
      <c r="D239" s="297"/>
      <c r="E239" s="307"/>
      <c r="F239" s="307"/>
      <c r="G239" s="307"/>
      <c r="H239" s="307"/>
      <c r="I239" s="307"/>
      <c r="J239" s="307"/>
      <c r="K239" s="307"/>
      <c r="L239" s="307">
        <v>200</v>
      </c>
      <c r="M239" s="307">
        <f>F239+L239-H239-J239-K239</f>
        <v>200</v>
      </c>
      <c r="N239" s="333"/>
    </row>
    <row r="240" spans="1:17" s="292" customFormat="1" ht="54" customHeight="1">
      <c r="A240" s="313" t="s">
        <v>276</v>
      </c>
      <c r="B240" s="310" t="s">
        <v>847</v>
      </c>
      <c r="C240" s="311"/>
      <c r="D240" s="297"/>
      <c r="E240" s="307"/>
      <c r="F240" s="307"/>
      <c r="G240" s="307"/>
      <c r="H240" s="307"/>
      <c r="I240" s="307"/>
      <c r="J240" s="307"/>
      <c r="K240" s="307"/>
      <c r="L240" s="307">
        <v>500</v>
      </c>
      <c r="M240" s="307">
        <f>F240+L240-H240-J240-K240</f>
        <v>500</v>
      </c>
      <c r="N240" s="333"/>
    </row>
    <row r="241" spans="1:15" s="292" customFormat="1" ht="42.75" customHeight="1">
      <c r="A241" s="313" t="s">
        <v>291</v>
      </c>
      <c r="B241" s="310" t="s">
        <v>290</v>
      </c>
      <c r="C241" s="311"/>
      <c r="D241" s="297"/>
      <c r="E241" s="307"/>
      <c r="F241" s="307"/>
      <c r="G241" s="307"/>
      <c r="H241" s="307"/>
      <c r="I241" s="307"/>
      <c r="J241" s="307"/>
      <c r="K241" s="307"/>
      <c r="L241" s="307">
        <f>SUM(L242)</f>
        <v>2000</v>
      </c>
      <c r="M241" s="307">
        <f>SUM(M242)</f>
        <v>2000</v>
      </c>
      <c r="N241" s="308"/>
    </row>
    <row r="242" spans="1:15" s="300" customFormat="1" ht="54" customHeight="1">
      <c r="A242" s="295" t="s">
        <v>276</v>
      </c>
      <c r="B242" s="305" t="s">
        <v>848</v>
      </c>
      <c r="C242" s="297"/>
      <c r="D242" s="297"/>
      <c r="E242" s="298"/>
      <c r="F242" s="298"/>
      <c r="G242" s="298"/>
      <c r="H242" s="298"/>
      <c r="I242" s="298"/>
      <c r="J242" s="298"/>
      <c r="K242" s="298"/>
      <c r="L242" s="307">
        <v>2000</v>
      </c>
      <c r="M242" s="307">
        <f>F242+L242-H242-J242-K242</f>
        <v>2000</v>
      </c>
      <c r="N242" s="333"/>
    </row>
    <row r="243" spans="1:15" s="292" customFormat="1" ht="54" customHeight="1">
      <c r="A243" s="295" t="s">
        <v>216</v>
      </c>
      <c r="B243" s="296" t="s">
        <v>289</v>
      </c>
      <c r="C243" s="297">
        <f t="shared" ref="C243:H243" si="73">SUM(C244:C253)</f>
        <v>0</v>
      </c>
      <c r="D243" s="297">
        <f t="shared" si="73"/>
        <v>0</v>
      </c>
      <c r="E243" s="298">
        <f t="shared" si="73"/>
        <v>0</v>
      </c>
      <c r="F243" s="298">
        <f t="shared" si="73"/>
        <v>0</v>
      </c>
      <c r="G243" s="298">
        <f t="shared" si="73"/>
        <v>0</v>
      </c>
      <c r="H243" s="298">
        <f t="shared" si="73"/>
        <v>0</v>
      </c>
      <c r="I243" s="298"/>
      <c r="J243" s="298">
        <f>SUM(J244:J253)</f>
        <v>0</v>
      </c>
      <c r="K243" s="298">
        <f>SUM(K244:K253)</f>
        <v>0</v>
      </c>
      <c r="L243" s="298">
        <f>SUM(L244:L253)</f>
        <v>7541</v>
      </c>
      <c r="M243" s="298">
        <f>SUM(M244:M253)</f>
        <v>7541</v>
      </c>
      <c r="N243" s="308"/>
    </row>
    <row r="244" spans="1:15" s="292" customFormat="1" ht="49.5" customHeight="1">
      <c r="A244" s="313">
        <v>1</v>
      </c>
      <c r="B244" s="310" t="s">
        <v>839</v>
      </c>
      <c r="C244" s="311">
        <v>0</v>
      </c>
      <c r="D244" s="311"/>
      <c r="E244" s="307"/>
      <c r="F244" s="307"/>
      <c r="G244" s="307"/>
      <c r="H244" s="307"/>
      <c r="I244" s="307"/>
      <c r="J244" s="307"/>
      <c r="K244" s="307"/>
      <c r="L244" s="307">
        <v>500</v>
      </c>
      <c r="M244" s="307">
        <f t="shared" ref="M244:M253" si="74">F244+L244-G244-K244</f>
        <v>500</v>
      </c>
      <c r="N244" s="308" t="s">
        <v>288</v>
      </c>
    </row>
    <row r="245" spans="1:15" s="292" customFormat="1" ht="150">
      <c r="A245" s="313">
        <v>2</v>
      </c>
      <c r="B245" s="310" t="s">
        <v>287</v>
      </c>
      <c r="C245" s="311"/>
      <c r="D245" s="311"/>
      <c r="E245" s="307"/>
      <c r="F245" s="307"/>
      <c r="G245" s="307"/>
      <c r="H245" s="307"/>
      <c r="I245" s="307"/>
      <c r="J245" s="307"/>
      <c r="K245" s="307"/>
      <c r="L245" s="307">
        <v>425</v>
      </c>
      <c r="M245" s="307">
        <f t="shared" si="74"/>
        <v>425</v>
      </c>
      <c r="N245" s="349" t="s">
        <v>808</v>
      </c>
      <c r="O245" s="292">
        <f>100+20+15+200+90</f>
        <v>425</v>
      </c>
    </row>
    <row r="246" spans="1:15" s="292" customFormat="1" ht="62.25" customHeight="1">
      <c r="A246" s="313">
        <v>3</v>
      </c>
      <c r="B246" s="310" t="s">
        <v>849</v>
      </c>
      <c r="C246" s="311"/>
      <c r="D246" s="311"/>
      <c r="E246" s="307"/>
      <c r="F246" s="307"/>
      <c r="G246" s="307"/>
      <c r="H246" s="307"/>
      <c r="I246" s="307"/>
      <c r="J246" s="307"/>
      <c r="K246" s="307"/>
      <c r="L246" s="307">
        <v>716</v>
      </c>
      <c r="M246" s="307">
        <f t="shared" si="74"/>
        <v>716</v>
      </c>
      <c r="N246" s="308" t="s">
        <v>809</v>
      </c>
      <c r="O246" s="292">
        <f>500+216</f>
        <v>716</v>
      </c>
    </row>
    <row r="247" spans="1:15" s="292" customFormat="1" ht="42" customHeight="1">
      <c r="A247" s="313">
        <v>4</v>
      </c>
      <c r="B247" s="310" t="s">
        <v>840</v>
      </c>
      <c r="C247" s="311"/>
      <c r="D247" s="311"/>
      <c r="E247" s="307"/>
      <c r="F247" s="307"/>
      <c r="G247" s="307"/>
      <c r="H247" s="307"/>
      <c r="I247" s="307"/>
      <c r="J247" s="307"/>
      <c r="K247" s="307"/>
      <c r="L247" s="307">
        <v>200</v>
      </c>
      <c r="M247" s="307">
        <f t="shared" si="74"/>
        <v>200</v>
      </c>
      <c r="N247" s="308" t="s">
        <v>286</v>
      </c>
    </row>
    <row r="248" spans="1:15" s="292" customFormat="1" ht="39.75" customHeight="1">
      <c r="A248" s="313">
        <v>5</v>
      </c>
      <c r="B248" s="310" t="s">
        <v>285</v>
      </c>
      <c r="C248" s="311"/>
      <c r="D248" s="311"/>
      <c r="E248" s="307"/>
      <c r="F248" s="307"/>
      <c r="G248" s="307"/>
      <c r="H248" s="307"/>
      <c r="I248" s="307"/>
      <c r="J248" s="307"/>
      <c r="K248" s="307"/>
      <c r="L248" s="307">
        <v>500</v>
      </c>
      <c r="M248" s="307">
        <f t="shared" si="74"/>
        <v>500</v>
      </c>
      <c r="N248" s="316" t="s">
        <v>284</v>
      </c>
    </row>
    <row r="249" spans="1:15" s="292" customFormat="1" ht="49.5" customHeight="1">
      <c r="A249" s="313">
        <v>6</v>
      </c>
      <c r="B249" s="310" t="s">
        <v>283</v>
      </c>
      <c r="C249" s="311"/>
      <c r="D249" s="311"/>
      <c r="E249" s="307"/>
      <c r="F249" s="307"/>
      <c r="G249" s="307"/>
      <c r="H249" s="307"/>
      <c r="I249" s="307"/>
      <c r="J249" s="307"/>
      <c r="K249" s="307"/>
      <c r="L249" s="307">
        <v>400</v>
      </c>
      <c r="M249" s="307">
        <f t="shared" si="74"/>
        <v>400</v>
      </c>
      <c r="N249" s="308" t="s">
        <v>282</v>
      </c>
    </row>
    <row r="250" spans="1:15" s="292" customFormat="1" ht="43.5" customHeight="1">
      <c r="A250" s="313">
        <v>7</v>
      </c>
      <c r="B250" s="310" t="s">
        <v>841</v>
      </c>
      <c r="C250" s="311"/>
      <c r="D250" s="311"/>
      <c r="E250" s="307"/>
      <c r="F250" s="307"/>
      <c r="G250" s="307"/>
      <c r="H250" s="307"/>
      <c r="I250" s="307"/>
      <c r="J250" s="307"/>
      <c r="K250" s="307"/>
      <c r="L250" s="307">
        <v>800</v>
      </c>
      <c r="M250" s="307">
        <f t="shared" si="74"/>
        <v>800</v>
      </c>
      <c r="N250" s="308" t="s">
        <v>281</v>
      </c>
    </row>
    <row r="251" spans="1:15" s="292" customFormat="1" ht="43.5" customHeight="1">
      <c r="A251" s="313">
        <v>8</v>
      </c>
      <c r="B251" s="310" t="s">
        <v>842</v>
      </c>
      <c r="C251" s="311"/>
      <c r="D251" s="311"/>
      <c r="E251" s="307"/>
      <c r="F251" s="307"/>
      <c r="G251" s="307"/>
      <c r="H251" s="307"/>
      <c r="I251" s="307"/>
      <c r="J251" s="307"/>
      <c r="K251" s="307"/>
      <c r="L251" s="307">
        <v>200</v>
      </c>
      <c r="M251" s="307">
        <f t="shared" si="74"/>
        <v>200</v>
      </c>
      <c r="N251" s="308" t="s">
        <v>280</v>
      </c>
    </row>
    <row r="252" spans="1:15" s="292" customFormat="1" ht="39.75" customHeight="1">
      <c r="A252" s="313">
        <v>9</v>
      </c>
      <c r="B252" s="329" t="s">
        <v>843</v>
      </c>
      <c r="C252" s="311"/>
      <c r="D252" s="311"/>
      <c r="E252" s="307"/>
      <c r="F252" s="307"/>
      <c r="G252" s="307"/>
      <c r="H252" s="307"/>
      <c r="I252" s="307"/>
      <c r="J252" s="307"/>
      <c r="K252" s="307"/>
      <c r="L252" s="307">
        <v>1000</v>
      </c>
      <c r="M252" s="307">
        <f t="shared" si="74"/>
        <v>1000</v>
      </c>
      <c r="N252" s="308" t="s">
        <v>279</v>
      </c>
    </row>
    <row r="253" spans="1:15" s="292" customFormat="1" ht="57" customHeight="1">
      <c r="A253" s="313">
        <v>10</v>
      </c>
      <c r="B253" s="329" t="s">
        <v>844</v>
      </c>
      <c r="C253" s="311"/>
      <c r="D253" s="311"/>
      <c r="E253" s="307"/>
      <c r="F253" s="307"/>
      <c r="G253" s="307"/>
      <c r="H253" s="307"/>
      <c r="I253" s="307"/>
      <c r="J253" s="307"/>
      <c r="K253" s="307"/>
      <c r="L253" s="307">
        <v>2800</v>
      </c>
      <c r="M253" s="307">
        <f t="shared" si="74"/>
        <v>2800</v>
      </c>
      <c r="N253" s="316" t="s">
        <v>1071</v>
      </c>
      <c r="O253" s="292">
        <f>1200+900+700</f>
        <v>2800</v>
      </c>
    </row>
    <row r="254" spans="1:15" s="292" customFormat="1" ht="40.5" customHeight="1">
      <c r="A254" s="295" t="s">
        <v>221</v>
      </c>
      <c r="B254" s="296" t="s">
        <v>278</v>
      </c>
      <c r="C254" s="297"/>
      <c r="D254" s="297"/>
      <c r="E254" s="298"/>
      <c r="F254" s="298">
        <f>SUM(F255:F256)</f>
        <v>45000</v>
      </c>
      <c r="G254" s="298">
        <f>SUM(G255:G256)</f>
        <v>0</v>
      </c>
      <c r="H254" s="298">
        <f>SUM(H255:H256)</f>
        <v>0</v>
      </c>
      <c r="I254" s="298"/>
      <c r="J254" s="298">
        <f>SUM(J255:J256)</f>
        <v>0</v>
      </c>
      <c r="K254" s="298">
        <f>SUM(K255:K256)</f>
        <v>0</v>
      </c>
      <c r="L254" s="298">
        <f>SUM(L255:L256)</f>
        <v>0</v>
      </c>
      <c r="M254" s="298">
        <f>SUM(M255:M256)</f>
        <v>45000</v>
      </c>
      <c r="N254" s="308"/>
    </row>
    <row r="255" spans="1:15" s="292" customFormat="1" ht="45" customHeight="1">
      <c r="A255" s="313" t="s">
        <v>3</v>
      </c>
      <c r="B255" s="310" t="s">
        <v>277</v>
      </c>
      <c r="C255" s="311"/>
      <c r="D255" s="311"/>
      <c r="E255" s="307"/>
      <c r="F255" s="307">
        <v>40000</v>
      </c>
      <c r="G255" s="307"/>
      <c r="H255" s="307"/>
      <c r="I255" s="307"/>
      <c r="J255" s="307"/>
      <c r="K255" s="307"/>
      <c r="L255" s="307"/>
      <c r="M255" s="307">
        <f>F255+L255-H255-J255-K255</f>
        <v>40000</v>
      </c>
      <c r="N255" s="333"/>
    </row>
    <row r="256" spans="1:15" s="218" customFormat="1" ht="32.25" customHeight="1">
      <c r="A256" s="392" t="s">
        <v>276</v>
      </c>
      <c r="B256" s="393" t="s">
        <v>275</v>
      </c>
      <c r="C256" s="394"/>
      <c r="D256" s="394"/>
      <c r="E256" s="395"/>
      <c r="F256" s="395">
        <v>5000</v>
      </c>
      <c r="G256" s="395"/>
      <c r="H256" s="395"/>
      <c r="I256" s="395"/>
      <c r="J256" s="395"/>
      <c r="K256" s="395"/>
      <c r="L256" s="395"/>
      <c r="M256" s="395">
        <f>F256+L256-H256-J256-K256</f>
        <v>5000</v>
      </c>
      <c r="N256" s="396"/>
    </row>
  </sheetData>
  <mergeCells count="98">
    <mergeCell ref="F215:F216"/>
    <mergeCell ref="L215:L216"/>
    <mergeCell ref="M215:M216"/>
    <mergeCell ref="G215:G216"/>
    <mergeCell ref="H215:H216"/>
    <mergeCell ref="I215:I216"/>
    <mergeCell ref="K215:K216"/>
    <mergeCell ref="A215:A216"/>
    <mergeCell ref="B215:B216"/>
    <mergeCell ref="C215:C216"/>
    <mergeCell ref="D215:D216"/>
    <mergeCell ref="E215:E216"/>
    <mergeCell ref="O23:O24"/>
    <mergeCell ref="N131:N132"/>
    <mergeCell ref="O131:O132"/>
    <mergeCell ref="E131:E132"/>
    <mergeCell ref="F131:F132"/>
    <mergeCell ref="G131:G132"/>
    <mergeCell ref="I23:I24"/>
    <mergeCell ref="I118:I120"/>
    <mergeCell ref="N23:N24"/>
    <mergeCell ref="N86:N87"/>
    <mergeCell ref="E107:E108"/>
    <mergeCell ref="F107:F108"/>
    <mergeCell ref="F118:F120"/>
    <mergeCell ref="E118:E120"/>
    <mergeCell ref="G107:G108"/>
    <mergeCell ref="H107:H108"/>
    <mergeCell ref="N174:N175"/>
    <mergeCell ref="H131:H132"/>
    <mergeCell ref="J131:J132"/>
    <mergeCell ref="K131:K132"/>
    <mergeCell ref="L131:L132"/>
    <mergeCell ref="M131:M132"/>
    <mergeCell ref="K142:K144"/>
    <mergeCell ref="J142:J144"/>
    <mergeCell ref="H142:H144"/>
    <mergeCell ref="I131:I132"/>
    <mergeCell ref="A142:A144"/>
    <mergeCell ref="B142:B144"/>
    <mergeCell ref="L142:L144"/>
    <mergeCell ref="M142:M144"/>
    <mergeCell ref="D142:D144"/>
    <mergeCell ref="C142:C144"/>
    <mergeCell ref="G142:G144"/>
    <mergeCell ref="F142:F144"/>
    <mergeCell ref="E142:E144"/>
    <mergeCell ref="A131:A132"/>
    <mergeCell ref="B131:B132"/>
    <mergeCell ref="D131:D132"/>
    <mergeCell ref="A107:A108"/>
    <mergeCell ref="B107:B108"/>
    <mergeCell ref="C107:C108"/>
    <mergeCell ref="D107:D108"/>
    <mergeCell ref="D118:D120"/>
    <mergeCell ref="C118:C120"/>
    <mergeCell ref="B118:B120"/>
    <mergeCell ref="C131:C132"/>
    <mergeCell ref="J107:J108"/>
    <mergeCell ref="J23:J24"/>
    <mergeCell ref="L23:L24"/>
    <mergeCell ref="M23:M24"/>
    <mergeCell ref="A23:A24"/>
    <mergeCell ref="B23:B24"/>
    <mergeCell ref="C23:C24"/>
    <mergeCell ref="D23:D24"/>
    <mergeCell ref="E23:E24"/>
    <mergeCell ref="F23:F24"/>
    <mergeCell ref="K107:K108"/>
    <mergeCell ref="L107:L108"/>
    <mergeCell ref="M107:M108"/>
    <mergeCell ref="N4:N6"/>
    <mergeCell ref="G5:G6"/>
    <mergeCell ref="H5:H6"/>
    <mergeCell ref="J5:J6"/>
    <mergeCell ref="G23:G24"/>
    <mergeCell ref="H23:H24"/>
    <mergeCell ref="I5:I6"/>
    <mergeCell ref="K4:K6"/>
    <mergeCell ref="K23:K24"/>
    <mergeCell ref="L4:L6"/>
    <mergeCell ref="M4:M6"/>
    <mergeCell ref="A1:N1"/>
    <mergeCell ref="A2:N2"/>
    <mergeCell ref="A118:A120"/>
    <mergeCell ref="M118:M120"/>
    <mergeCell ref="L118:L120"/>
    <mergeCell ref="K118:K120"/>
    <mergeCell ref="J118:J120"/>
    <mergeCell ref="H118:H120"/>
    <mergeCell ref="G118:G120"/>
    <mergeCell ref="A4:A6"/>
    <mergeCell ref="B4:B6"/>
    <mergeCell ref="C4:C6"/>
    <mergeCell ref="D4:D6"/>
    <mergeCell ref="E4:E6"/>
    <mergeCell ref="F4:F6"/>
    <mergeCell ref="G4:J4"/>
  </mergeCells>
  <printOptions horizontalCentered="1"/>
  <pageMargins left="0.5" right="0.2" top="0.7" bottom="0.5" header="0.196850393700787" footer="0.196850393700787"/>
  <pageSetup paperSize="8" scale="59" orientation="landscape" r:id="rId1"/>
  <headerFooter>
    <oddFooter>&amp;CTrang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26</vt:i4>
      </vt:variant>
    </vt:vector>
  </HeadingPairs>
  <TitlesOfParts>
    <vt:vector size="41" baseType="lpstr">
      <vt:lpstr>SGV</vt:lpstr>
      <vt:lpstr>B1</vt:lpstr>
      <vt:lpstr>B dieu tiet</vt:lpstr>
      <vt:lpstr>B2</vt:lpstr>
      <vt:lpstr>B3</vt:lpstr>
      <vt:lpstr>B4</vt:lpstr>
      <vt:lpstr>B5</vt:lpstr>
      <vt:lpstr>B 3</vt:lpstr>
      <vt:lpstr>B 4</vt:lpstr>
      <vt:lpstr>B 5</vt:lpstr>
      <vt:lpstr>B6</vt:lpstr>
      <vt:lpstr>B7</vt:lpstr>
      <vt:lpstr>B8</vt:lpstr>
      <vt:lpstr>B 9</vt:lpstr>
      <vt:lpstr>B9</vt:lpstr>
      <vt:lpstr>'B 3'!Print_Area</vt:lpstr>
      <vt:lpstr>'B 4'!Print_Area</vt:lpstr>
      <vt:lpstr>'B 5'!Print_Area</vt:lpstr>
      <vt:lpstr>'B 9'!Print_Area</vt:lpstr>
      <vt:lpstr>'B1'!Print_Area</vt:lpstr>
      <vt:lpstr>'B2'!Print_Area</vt:lpstr>
      <vt:lpstr>'B3'!Print_Area</vt:lpstr>
      <vt:lpstr>'B4'!Print_Area</vt:lpstr>
      <vt:lpstr>'B5'!Print_Area</vt:lpstr>
      <vt:lpstr>'B6'!Print_Area</vt:lpstr>
      <vt:lpstr>'B7'!Print_Area</vt:lpstr>
      <vt:lpstr>'B8'!Print_Area</vt:lpstr>
      <vt:lpstr>'B9'!Print_Area</vt:lpstr>
      <vt:lpstr>'B 3'!Print_Titles</vt:lpstr>
      <vt:lpstr>'B 4'!Print_Titles</vt:lpstr>
      <vt:lpstr>'B 5'!Print_Titles</vt:lpstr>
      <vt:lpstr>'B 9'!Print_Titles</vt:lpstr>
      <vt:lpstr>'B dieu tiet'!Print_Titles</vt:lpstr>
      <vt:lpstr>'B1'!Print_Titles</vt:lpstr>
      <vt:lpstr>'B2'!Print_Titles</vt:lpstr>
      <vt:lpstr>'B3'!Print_Titles</vt:lpstr>
      <vt:lpstr>'B5'!Print_Titles</vt:lpstr>
      <vt:lpstr>'B6'!Print_Titles</vt:lpstr>
      <vt:lpstr>'B7'!Print_Titles</vt:lpstr>
      <vt:lpstr>'B8'!Print_Titles</vt:lpstr>
      <vt:lpstr>'B9'!Print_Titles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Vpubnd ls1</cp:lastModifiedBy>
  <cp:lastPrinted>2024-12-16T07:27:29Z</cp:lastPrinted>
  <dcterms:created xsi:type="dcterms:W3CDTF">2022-10-16T03:36:15Z</dcterms:created>
  <dcterms:modified xsi:type="dcterms:W3CDTF">2024-12-17T02:23:20Z</dcterms:modified>
</cp:coreProperties>
</file>