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84" activeTab="0"/>
  </bookViews>
  <sheets>
    <sheet name="Danh muc_2912_in_" sheetId="1" r:id="rId1"/>
  </sheets>
  <definedNames>
    <definedName name="_xlnm.Print_Area" localSheetId="0">'Danh muc_2912_in_'!$A$1:$BO$537</definedName>
    <definedName name="_xlnm.Print_Titles" localSheetId="0">'Danh muc_2912_in_'!$5:$6</definedName>
  </definedNames>
  <calcPr fullCalcOnLoad="1"/>
</workbook>
</file>

<file path=xl/sharedStrings.xml><?xml version="1.0" encoding="utf-8"?>
<sst xmlns="http://schemas.openxmlformats.org/spreadsheetml/2006/main" count="4459" uniqueCount="1158">
  <si>
    <t>DANH MỤC CÔNG TRÌNH, DỰ ÁN THỰC HIỆN TRONG ĐIỀU CHỈNH QUY HOẠCH SỬ DỤNG ĐẤT THỜI KỲ 2021 - 2030</t>
  </si>
  <si>
    <t>HUYỆN VĂN LÃNG - TỈNH LẠNG SƠN</t>
  </si>
  <si>
    <t>STT</t>
  </si>
  <si>
    <t>Hạng mục</t>
  </si>
  <si>
    <t>Xã/thị trấn</t>
  </si>
  <si>
    <t>Loại đất lấy vào</t>
  </si>
  <si>
    <t>Vị trí trên bản đồ địa chính (tờ bản đồ số, thửa số)</t>
  </si>
  <si>
    <t>Năm thực hiện</t>
  </si>
  <si>
    <t>Căn cứ pháp lý</t>
  </si>
  <si>
    <t>Ghi chú</t>
  </si>
  <si>
    <t>LUC</t>
  </si>
  <si>
    <t>LUK</t>
  </si>
  <si>
    <t>LUN</t>
  </si>
  <si>
    <t>HNK</t>
  </si>
  <si>
    <t>CLN</t>
  </si>
  <si>
    <t>RPH</t>
  </si>
  <si>
    <t>RPT</t>
  </si>
  <si>
    <t>RPN</t>
  </si>
  <si>
    <t>RPM</t>
  </si>
  <si>
    <t>RDD</t>
  </si>
  <si>
    <t>RDT</t>
  </si>
  <si>
    <t>RDN</t>
  </si>
  <si>
    <t>RDM</t>
  </si>
  <si>
    <t>RSX</t>
  </si>
  <si>
    <t>RST</t>
  </si>
  <si>
    <t>RSN</t>
  </si>
  <si>
    <t>RSM</t>
  </si>
  <si>
    <t>NTS</t>
  </si>
  <si>
    <t>NKH</t>
  </si>
  <si>
    <t>CQP</t>
  </si>
  <si>
    <t>CAN</t>
  </si>
  <si>
    <t>TMD</t>
  </si>
  <si>
    <t>SKC</t>
  </si>
  <si>
    <t>SKS</t>
  </si>
  <si>
    <t>DGT</t>
  </si>
  <si>
    <t>DTL</t>
  </si>
  <si>
    <t>DNL</t>
  </si>
  <si>
    <t>DBV</t>
  </si>
  <si>
    <t>DVH</t>
  </si>
  <si>
    <t>DYT</t>
  </si>
  <si>
    <t>DGD</t>
  </si>
  <si>
    <t>DTT</t>
  </si>
  <si>
    <t>DKH</t>
  </si>
  <si>
    <t>DXH</t>
  </si>
  <si>
    <t>DCH</t>
  </si>
  <si>
    <t>DDT</t>
  </si>
  <si>
    <t>DDL</t>
  </si>
  <si>
    <t>DRA</t>
  </si>
  <si>
    <t>ONT</t>
  </si>
  <si>
    <t>ODT</t>
  </si>
  <si>
    <t>TSC</t>
  </si>
  <si>
    <t>DTS</t>
  </si>
  <si>
    <t>NTD</t>
  </si>
  <si>
    <t>SKX</t>
  </si>
  <si>
    <t>DSH</t>
  </si>
  <si>
    <t>DKV</t>
  </si>
  <si>
    <t>TON</t>
  </si>
  <si>
    <t>TIN</t>
  </si>
  <si>
    <t>SON</t>
  </si>
  <si>
    <t>MNC</t>
  </si>
  <si>
    <t>PNK</t>
  </si>
  <si>
    <t>CSD</t>
  </si>
  <si>
    <t>I</t>
  </si>
  <si>
    <t>Đất quốc phòng</t>
  </si>
  <si>
    <t>Công trình Đ Ban CHQS Văn Lãng</t>
  </si>
  <si>
    <t>Thị trấn Na Sầm</t>
  </si>
  <si>
    <t>Khu 5</t>
  </si>
  <si>
    <t>Tờ 35 thửa 76, 97, 74, 75, 95, 96, 167, 119, 593, 138, 139, 166, 534, 212 120; Tờ 34 thửa 86, 87, 110  (Hoàng Việt)</t>
  </si>
  <si>
    <t>2023</t>
  </si>
  <si>
    <t>Công văn số 790/BCH-TM ngày 11/5/2021 của bộ chỉ huyện tỉnh</t>
  </si>
  <si>
    <t>Công trình (DQ) xã Tân Thanh</t>
  </si>
  <si>
    <t>Xã Tân Thanh</t>
  </si>
  <si>
    <t>Thôn Nà Tồng</t>
  </si>
  <si>
    <t xml:space="preserve">Tờ LN1 thửa 445, 454. Tờ 27 thửa 1, 3, 4, 5, 15, 72, 33, 34, 35, 36 </t>
  </si>
  <si>
    <t>2024-2025</t>
  </si>
  <si>
    <t>Công trình T Đồn BP Tân Thanh</t>
  </si>
  <si>
    <t>Thôn Bản Thẩu</t>
  </si>
  <si>
    <t>Tờ LN1 thửa 875, 884, 885, 880, 876</t>
  </si>
  <si>
    <t>Công trình (DQ) xã Trùng Khánh</t>
  </si>
  <si>
    <t>Xã Trùng Khánh</t>
  </si>
  <si>
    <t>Tờ LN2 thửa 238</t>
  </si>
  <si>
    <t>Công trình (DQ) xã Tân Mỹ</t>
  </si>
  <si>
    <t>Xã Tân Mỹ</t>
  </si>
  <si>
    <t>Thôn Tà Lài</t>
  </si>
  <si>
    <t>Tờ LN2 thửa 104,105, 117, 118,…, Tờ 71 thửa 180</t>
  </si>
  <si>
    <t>Công văn số 413/BCH-TM ngày 24/9/2021 của BCH quân sự tỉnh Lạng Sơn</t>
  </si>
  <si>
    <t>Công trình C2 huyện Văn Lãng</t>
  </si>
  <si>
    <t>Xã Tân Tác</t>
  </si>
  <si>
    <t>Thôn Bản Giòong</t>
  </si>
  <si>
    <t>Tờ LN1 thửa 448, 470, 474, 525, 599,...</t>
  </si>
  <si>
    <t>Công trình H huyện Văn Lãng</t>
  </si>
  <si>
    <t>Xã Hội Hoan</t>
  </si>
  <si>
    <t>Thôn Bản Kìa</t>
  </si>
  <si>
    <t>Tờ LN2 thửa 279, 287, 288, 301, 305, 313, ...</t>
  </si>
  <si>
    <t>Công trình C1 huyện Văn Lãng</t>
  </si>
  <si>
    <t>Xã Hồng Thái</t>
  </si>
  <si>
    <t>Thôn Bản Nhùng</t>
  </si>
  <si>
    <t xml:space="preserve">Tờ LN1 thửa 488, 451, 504, 509, </t>
  </si>
  <si>
    <t>Công trình (DQ) xã Thanh Long</t>
  </si>
  <si>
    <t>Xã Thanh Long</t>
  </si>
  <si>
    <t>Thôn Pác Cú</t>
  </si>
  <si>
    <t>Tờ LN2 thửa 107, 108, 132, 131, 89</t>
  </si>
  <si>
    <t>Công trình CT xã Thanh Long</t>
  </si>
  <si>
    <t>Thôn Nà Liền, Khau Slung, Đâng Van</t>
  </si>
  <si>
    <t xml:space="preserve">Tờ 1 LN, tờ 2, 4, 5, 10, 11, 22, 23, 36, 37, 49, 74, 75, 84, 85, 86, 87, 95, 105 </t>
  </si>
  <si>
    <t>Công trình (DQ) xã Thụy Hùng</t>
  </si>
  <si>
    <t>Xã Thụy Hùng</t>
  </si>
  <si>
    <t>Thôn Pác Cáy</t>
  </si>
  <si>
    <t>Tờ LN1 thửa 100, 101, 106, 119, 131, 141</t>
  </si>
  <si>
    <t>II</t>
  </si>
  <si>
    <t>Đất an ninh</t>
  </si>
  <si>
    <t>Trụ sở Công an huyện Văn Lãng</t>
  </si>
  <si>
    <t>Khu 8</t>
  </si>
  <si>
    <t>Tờ LN1 thửa 700, 704, 732, 734, 773, 750, 774 (Tân Lang cũ)</t>
  </si>
  <si>
    <t>CV số 1523/CAT-PA10 ngày 29/4/2022 của CA tỉnh</t>
  </si>
  <si>
    <t>Trụ sở Đội Phòng cháy chữa cháy Văn Lãng</t>
  </si>
  <si>
    <t xml:space="preserve">  </t>
  </si>
  <si>
    <t>Tờ LN1 thửa 773, 787, 774, 734 (Tân Lang cũ)</t>
  </si>
  <si>
    <t xml:space="preserve"> Trụ sở công an thị trấn Na Sầm</t>
  </si>
  <si>
    <t>Tờ 27 thửa 456, 458; Tờ 34 thửa số 46 (Hoàng Việt cũ)</t>
  </si>
  <si>
    <t>2023-2025</t>
  </si>
  <si>
    <t xml:space="preserve"> Trụ sở công an xã Bắc Việt</t>
  </si>
  <si>
    <t>Xã Bắc Việt</t>
  </si>
  <si>
    <t>Thôn Vạn Xuân</t>
  </si>
  <si>
    <t>Tờ 96 thửa 216, 227, 225, 233, 229, 232, 234, 235, 228 (Trùng Quán cũ)</t>
  </si>
  <si>
    <t>Thôn Manh Dưới</t>
  </si>
  <si>
    <t xml:space="preserve"> Trụ sở công an xã Tân Tác</t>
  </si>
  <si>
    <t>Thôn Bản Cấn</t>
  </si>
  <si>
    <t>Tờ LN1 thửa 602, 587</t>
  </si>
  <si>
    <t xml:space="preserve"> Trụ sở công an xã Thành Hòa</t>
  </si>
  <si>
    <t>Xã Thành Hòa</t>
  </si>
  <si>
    <t>Thôn Thống Nhất</t>
  </si>
  <si>
    <t>Tờ LN1 thửa 318, 319, 309, 274, 252</t>
  </si>
  <si>
    <t xml:space="preserve"> Trụ sở công an xã Nhạc Kỳ</t>
  </si>
  <si>
    <t>Xã Nhạc Kỳ</t>
  </si>
  <si>
    <t>Thôn Nà Éc</t>
  </si>
  <si>
    <t>Tờ 18 thửa 37, 38, 39, 40, 47, 48, 49, 97, 98, 99, 100, 101</t>
  </si>
  <si>
    <t xml:space="preserve"> Trụ sở công an xã Hoàng Việt</t>
  </si>
  <si>
    <t>Xã Hoàng Việt</t>
  </si>
  <si>
    <t>Thôn Nà Phai</t>
  </si>
  <si>
    <t>Tờ LN 01 thửa 458; Tờ 26 thửa 186, 206, 208, 192, 193, 207, 209</t>
  </si>
  <si>
    <t xml:space="preserve"> Trụ sở công an xã Hội Hoan</t>
  </si>
  <si>
    <t>Tờ 123 thửa 9. Tờ LN2 thửa 405</t>
  </si>
  <si>
    <t xml:space="preserve"> Trụ sở công an xã Hồng Thái</t>
  </si>
  <si>
    <t>Tờ 37 thửa 48. Tờ 38 thửa 431. Tờ 42 thửa 3</t>
  </si>
  <si>
    <t>Xã Hoàng Văn Thụ</t>
  </si>
  <si>
    <t xml:space="preserve"> Trụ sở công an xã Bắc Hùng</t>
  </si>
  <si>
    <t>Xã Bắc Hùng</t>
  </si>
  <si>
    <t>Thôn Nà Liệt Trong</t>
  </si>
  <si>
    <t>Tờ 87 thửa 137, 141. Tờ 88 thửa 191, 249</t>
  </si>
  <si>
    <t>Xã Gia Miễn</t>
  </si>
  <si>
    <t>Thôn Bản Cáp</t>
  </si>
  <si>
    <t>Tờ 39 thửa 66</t>
  </si>
  <si>
    <t xml:space="preserve"> Trụ sở công an xã Bắc La</t>
  </si>
  <si>
    <t>Xã Bắc La</t>
  </si>
  <si>
    <t>Thôn Tân Lập</t>
  </si>
  <si>
    <t>Tờ LN3 thửa 90, 108</t>
  </si>
  <si>
    <t>III</t>
  </si>
  <si>
    <t>Đất cụm công nghiệp</t>
  </si>
  <si>
    <t xml:space="preserve">Cụm công nghiệp Văn Lãng </t>
  </si>
  <si>
    <t>SKN</t>
  </si>
  <si>
    <t>Thôn Hợp Nhất</t>
  </si>
  <si>
    <t>Tờ 49, 58, 59, 68, 69; Tờ LN01, 02</t>
  </si>
  <si>
    <t>Danh mục thu hút vốn đầu tư của tỉnh Lạng Sơn, giai đoạn 2023 - 2025 QĐ 2222/QĐ-UBND ngày 13/11/2021 của UBND tỉnh</t>
  </si>
  <si>
    <t>Cụm công nghiệp Văn Lãng 2</t>
  </si>
  <si>
    <t>Tờ 40, 47, 48, 49, 57, 58; Tờ LN01</t>
  </si>
  <si>
    <t>IV</t>
  </si>
  <si>
    <t xml:space="preserve">Đất thương mại, dịch vụ </t>
  </si>
  <si>
    <t>Thị trấn Na Sầm, 
xã Bắc Hùng, Bắc Việt</t>
  </si>
  <si>
    <t>xã Trùng Quán cũ Tờ 104, 110, 115; Tân Lang cũ: 1, 6 10, 11, 17, 18, 25, 26, 33, 34, 43, 44
Tờ LN1 (Trùng Quán cũ); Tờ LN1 (Tân Lang cũ)</t>
  </si>
  <si>
    <t>Trong đó:</t>
  </si>
  <si>
    <t xml:space="preserve"> + Đất ở</t>
  </si>
  <si>
    <t xml:space="preserve"> + Đất giao thông</t>
  </si>
  <si>
    <t xml:space="preserve"> + Đất thương mại dịch vụ</t>
  </si>
  <si>
    <t>Dự án khu du lịch nhà ở Xứ Lạng Thủy Vân Sơn (Quy mô 480,17 ha)</t>
  </si>
  <si>
    <t>Tờ LN 1, 2</t>
  </si>
  <si>
    <t>Dự án cải tạo tuyến đường ĐH 13 và khu dân cư biệt thự du lịch sinh thái xã Bắc La, Tân Tác, Bắc Việt (Quy mô 250,28 ha)</t>
  </si>
  <si>
    <t>Xã Bắc La, Tân Tác, Bắc Việt</t>
  </si>
  <si>
    <t>Xã Bắc Việt: Tờ 22, 23, 24, 25, 30, 31, 32, 33. Tờ LN 2, 3 (Bắc La). Tờ LN 1 (xã Tân Tác). Tờ LN 1 (Tân Lang cũ)</t>
  </si>
  <si>
    <t>Thôn Khơ Đa</t>
  </si>
  <si>
    <t xml:space="preserve">Tờ 96, 97, 108, 109. Tờ LN 1 </t>
  </si>
  <si>
    <t>Thông báo số 618/TB-UBND ngày 21/10/2019 của Ủy ban nhân dân tỉnh</t>
  </si>
  <si>
    <t xml:space="preserve"> Hạng mục kho ngoại quan</t>
  </si>
  <si>
    <t>Hạng mục cơ sở sản xuất phi nông nghiệp</t>
  </si>
  <si>
    <t>Hạng mục giao thông</t>
  </si>
  <si>
    <t>Khu 1</t>
  </si>
  <si>
    <t>Quyết định số 1374/QĐ-UBND ngày 07/8/2015 của UBND tỉnh Lạng Sơn</t>
  </si>
  <si>
    <t>Đất sử dụng cho kinh doanh thương mại (Quy mô 30,90 ha)</t>
  </si>
  <si>
    <t>Thôn Khơ Đa, Tà Lài, Cốc Nam</t>
  </si>
  <si>
    <t>Tờ 83, 84, 95, 96; Tờ LN02</t>
  </si>
  <si>
    <t>UBND xã đăng ký</t>
  </si>
  <si>
    <t>Đấu giá cho thuê quyền sử dụng đất thương mại, dịch vụ</t>
  </si>
  <si>
    <t>Tờ 12 thửa 123 (NS)</t>
  </si>
  <si>
    <t>Phương án số 335/PA-TTPTQĐ ngày 29/6/2022 của TTPTQĐ huyện phương án sử dụng đất đối với các khu đất giao Trung tâm PTQĐ huyện Văn Lãng được Chủ tịch UBND huyện phê duyệt</t>
  </si>
  <si>
    <t>Đăng ký mới</t>
  </si>
  <si>
    <t>Xây dựng trụ sở giao dịch ngân hàng và bảo hiểm xã hội (theo quy hoạch xây dựng xã Bắc Việt)</t>
  </si>
  <si>
    <t>Tờ 96 thửa 229, 232, 233, 234. Tờ 104 thửa 1, 3, 4 (Trùng Quán cũ)</t>
  </si>
  <si>
    <t>Xây dựng cửa hàng xăng dầu tại xã Hồng Thái</t>
  </si>
  <si>
    <t>Tờ 42 thửa 169</t>
  </si>
  <si>
    <t>Khu du lịch Lán Khau Bay (Hoàng Văn Thụ)</t>
  </si>
  <si>
    <t>Thôn Nhân Hòa</t>
  </si>
  <si>
    <t>Tờ 1 LN thửa 459, 452, 453, 469, 477,  467, 451</t>
  </si>
  <si>
    <t>Đất thương mại dich vụ</t>
  </si>
  <si>
    <t>Thôn Khun Pinh</t>
  </si>
  <si>
    <t>Tờ 34 thửa 346, 364, 347, 330, 331, 308, 332, 333, 310, ...</t>
  </si>
  <si>
    <t>Thôn Cốc Nam, Khơ Đa, Tà Lài</t>
  </si>
  <si>
    <t>Tờ 121 thửa 143, 160, 161, 185, 186, 205,…; Tờ 130 thửa 26, 25, 24, 1, 2 , 3, 5; Tờ LN2 thửa 1466, 1463, 1402, 1403, 1338, …</t>
  </si>
  <si>
    <t>V</t>
  </si>
  <si>
    <t xml:space="preserve">Đất cơ sở sản xuất phi nông nghiệp </t>
  </si>
  <si>
    <t>Đầu tư hạ tầng kỹ thuật và nhà xưởng Phúc Khang thuộc khu phi thuế quan</t>
  </si>
  <si>
    <t>Thôn Bản Chang, Pò Cại, Hợp Nhất</t>
  </si>
  <si>
    <t>Tờ 24, 25, 36, 34, 32, 33, 41, 42, 50, 35, 43, 51; Tờ LN02</t>
  </si>
  <si>
    <t>Quyết định số 2680/QĐ-UBND ngày 26/12/2019 của UBND tỉnh Lạng Sơn</t>
  </si>
  <si>
    <t>Đất giao thông</t>
  </si>
  <si>
    <t>Đất thương mại dịch vụ</t>
  </si>
  <si>
    <t>Đất công trình công cộng khác</t>
  </si>
  <si>
    <t>DCK</t>
  </si>
  <si>
    <t>Cây xanh</t>
  </si>
  <si>
    <t>Dự án xây dựng khu sản xuất, chế biến nông lâm, thủy sản tập trung (Xã Tân Mỹ) (Quy mô 30,00 ha)</t>
  </si>
  <si>
    <t>Tờ 73, 84, 85; Tờ LN02</t>
  </si>
  <si>
    <t>Đầu tư hạ tầng kỹ thuật khu phi thuế quan theo quy hoạch được duyệt để thực hiện đấu giá hoặc giao đất, cho thuê đất</t>
  </si>
  <si>
    <t>Tờ 34, 41, 42, 50, 51, Tờ LN01</t>
  </si>
  <si>
    <t>2023-2025: 5,00 ha;
2026-2030: 5,00 ha</t>
  </si>
  <si>
    <t>Danh mục thu hút vốn đầu tư của tỉnh giai đoạn 2023 - 2025.QĐ 2222/QĐ-UBND ngày 13/11/2021)</t>
  </si>
  <si>
    <t>Dự án khu đất sản xuất kinh doanh (Quy mô 229,40 ha)</t>
  </si>
  <si>
    <t>Thôn Nà Kéo, Nà Lẹng, Tà Lài, Khơ Đa, Cốc Nam</t>
  </si>
  <si>
    <t>Tờ LN 01, 02</t>
  </si>
  <si>
    <t>Thu hút đầu tư của huyện</t>
  </si>
  <si>
    <t>Đấu giá quyền sử dụng đất cơ sở sản xuất phi nông nghiệp (thửa số 156, thửa số 178)</t>
  </si>
  <si>
    <t>Thôn Bản Chang, Pò Cại</t>
  </si>
  <si>
    <t>Thửa số 156, thửa số 178</t>
  </si>
  <si>
    <t>Ban quản lý khu kinh tế cửa khẩu Đồng Đăng Lạng Sơn</t>
  </si>
  <si>
    <t>Thôn Thanh Hảo</t>
  </si>
  <si>
    <t>Dự án đất sản xuất kinh doạnh (vị trí Trạm kiểm soát Barie số 2)</t>
  </si>
  <si>
    <t>QH chi tiết 1/500</t>
  </si>
  <si>
    <t>Dự án đất sản xuất kinh doanh (vị trí lô đất đắp để thi công đường Tân Thanh - Khả Phong)</t>
  </si>
  <si>
    <t>Tờ LN1 thửa 474</t>
  </si>
  <si>
    <t>Dự án sản xuất kinh doạnh (vị trí lô (bãi) đất đổ thải khi làm tuyến đường Tân Thanh - Khả Phong</t>
  </si>
  <si>
    <t>Tờ LN1 thửa 851</t>
  </si>
  <si>
    <t>Đất sản xuất kinh doanh (xưởng gỗ bóc, sản xuất gạch,…) trên địa bàn xã</t>
  </si>
  <si>
    <t>Thôn Khun Rọc, Tà Coóc</t>
  </si>
  <si>
    <t>Thôn Bản Đuốc, Bản Thẩu</t>
  </si>
  <si>
    <t>Tờ 18 thửa 25, 26, 27; Tờ 40 thửa 11</t>
  </si>
  <si>
    <t>Thôn Lương Thác</t>
  </si>
  <si>
    <t>Tờ 57 thửa 195</t>
  </si>
  <si>
    <t>Thôn Bản Cáp, Cốc Nhảng, Phai Nà</t>
  </si>
  <si>
    <t xml:space="preserve">Tờ 42 thửa 36. Tờ 51 thửa 14, Tờ 160 thửa 1, 2. Tờ 100 thửa 43. Tờ 76 thửa 184 </t>
  </si>
  <si>
    <t>Thôn Lù Thẳm</t>
  </si>
  <si>
    <t>Tờ 56 thửa 170</t>
  </si>
  <si>
    <t>Tờ LN 1 thửa 197, 201, 205, 209, 231, 247</t>
  </si>
  <si>
    <t>Thôn Co Tào, Bản Van, Hòa Lạc</t>
  </si>
  <si>
    <t>Thôn Nà Liền</t>
  </si>
  <si>
    <t>Tờ LN 1 thửa 621</t>
  </si>
  <si>
    <t>Thôn Bản Nhùng, Pác Sàng</t>
  </si>
  <si>
    <t>Các thôn</t>
  </si>
  <si>
    <t>Thôn Manh Trên</t>
  </si>
  <si>
    <t>Tờ 72 thửa 16</t>
  </si>
  <si>
    <t>Thôn Thanh Hảo, Lũng Vài, Bản Vạc</t>
  </si>
  <si>
    <t>Tờ 37 thửa 57, 58, 59. Tờ 38 thửa 22, 27; Tờ 13 thửa 260 (Trùng Quán cũ); Tờ 28 thửa 83 (Trùng Quán cũ); Tờ 14 thửa 42 (Trùng Quán cũ)</t>
  </si>
  <si>
    <t>Thôn Tân Lập, Và Quang</t>
  </si>
  <si>
    <t>Thôn Tà Coóc</t>
  </si>
  <si>
    <t>Thôn Co Tào</t>
  </si>
  <si>
    <t>Thôn Công Lý</t>
  </si>
  <si>
    <t>Tờ LN1</t>
  </si>
  <si>
    <t>Thôn Lũng Vài</t>
  </si>
  <si>
    <t>VI</t>
  </si>
  <si>
    <t>Đất sử dụng cho hoạt động khoáng sản</t>
  </si>
  <si>
    <t>Dự án khai thác và chế biến quặng Bauxit tại mỏ Ma Mèo, xã Tân Mỹ, huyện Văn Lãng (Quy mô 33,55 ha)</t>
  </si>
  <si>
    <t>Thôn Tà Lài, Khơ Đa</t>
  </si>
  <si>
    <t>Theo mảnh trích đo số 10 - 2017, tờ 72, 2</t>
  </si>
  <si>
    <t>Giấy phép khai thác khoáng sản của BTNMT</t>
  </si>
  <si>
    <t>VII</t>
  </si>
  <si>
    <t>Đất sản xuất vật liệu xây dựng, làm đồ gốm</t>
  </si>
  <si>
    <t>Xã Bắc Hùng, xã Bắc Việt</t>
  </si>
  <si>
    <t>Tờ 6 thửa 8, tờ 2 thửa 122, tờ 11 thửa 70, tờ 18 thửa 65 (Tân Lang cũ)</t>
  </si>
  <si>
    <t>Quyết định số 34 /2020/QĐ-UBND ngày 13/8/2020 của UBND tỉnh</t>
  </si>
  <si>
    <t>Dự án khai thác cát sỏi dải Hồng Thái - Song Giang (Quy mô 142,10 ha)</t>
  </si>
  <si>
    <t>Thôn Bản Chúc</t>
  </si>
  <si>
    <t>Tờ 14 thửa 25; Tờ 25 thửa 1</t>
  </si>
  <si>
    <t>Quyết định số 34/2020/QĐ-UBND ngày 13/8/2020 của UBND tỉnh</t>
  </si>
  <si>
    <t>Dự án khai thác Cát sỏi Hoàng Việt (Quy mô 26,23 ha)</t>
  </si>
  <si>
    <t>Thôn Tà Pịac</t>
  </si>
  <si>
    <t>Tờ 111 thửa 105, 135, 138, 154, 155, 156, 157, 158, 159</t>
  </si>
  <si>
    <t>Dự án khai thác đá vôi Trùng Khánh</t>
  </si>
  <si>
    <t>Thôn Pá Tặp</t>
  </si>
  <si>
    <t>Tờ 1 LN thửa 665, 668</t>
  </si>
  <si>
    <t>Dự án khai thác vật liệu xây dựng</t>
  </si>
  <si>
    <t>Tờ LN01 thửa 817, 861; Tờ 51 thửa 20, 34, 35, 21, 22, 23</t>
  </si>
  <si>
    <t>Dự án khai thác đá vôi Công Lý I</t>
  </si>
  <si>
    <t>Tờ 1 LN thửa 1002, 1053</t>
  </si>
  <si>
    <t>Mỏ cát, sỏi sông Kỳ Cùng xã Hồng Thái</t>
  </si>
  <si>
    <t>Thôn Pác Bó</t>
  </si>
  <si>
    <t>Tờ 64 thửa 17; Tờ 67 thửa 62</t>
  </si>
  <si>
    <t>Mở rộng mỏ đá vôi Lũng Vặm</t>
  </si>
  <si>
    <t>Tờ 20 thửa 14; Tờ 21 thửa 3; Tờ 1 LN thửa 243, 310 (Tân Lang cũ)</t>
  </si>
  <si>
    <t>Mỏ đất đắp</t>
  </si>
  <si>
    <t>Khu 7</t>
  </si>
  <si>
    <t>Tờ LN1 thửa 172,188,197,176,201 (Hoàng Việt cũ)</t>
  </si>
  <si>
    <t>Thôn Nà Phai, Cốc Hắt</t>
  </si>
  <si>
    <t>Thôn Bình Dân</t>
  </si>
  <si>
    <t>Tờ LN02 thửa 377, 316, 383, 384, 354, 334, 385</t>
  </si>
  <si>
    <t>Thôn Nà Danh</t>
  </si>
  <si>
    <t>Tờ 1 LN thửa 50, 60, 63, 68, 55, 58, 72</t>
  </si>
  <si>
    <t>LN 1 thửa 846</t>
  </si>
  <si>
    <t>Văn bản số 112/BQLXD-QLXD của BQL xây dựng và bảo trì hại tầng giao thông Sở GTVT</t>
  </si>
  <si>
    <t>Tờ 2 LN thửa 69,64,64,…; Tờ LN1 thửa 372,371,360,327</t>
  </si>
  <si>
    <t>Thôn Bản Gioong, Bản Quan</t>
  </si>
  <si>
    <t>Tờ 1 LN thửa 222, 211, 214, 223 (Trùng Quán cũ); Tờ 1 LN thửa 32, 33, 66, 64, 49 (Tân Việt cũ)</t>
  </si>
  <si>
    <t>Tờ 2 LN thửa 148</t>
  </si>
  <si>
    <t>Tờ 1 LN thửa 241</t>
  </si>
  <si>
    <t>Tờ 2 LN, thửa 208,201</t>
  </si>
  <si>
    <t>Thôn Phai Nà</t>
  </si>
  <si>
    <t>Tờ LN 1 thửa 697, 717 ,694, 719, 748, 758, 780</t>
  </si>
  <si>
    <t>VIII</t>
  </si>
  <si>
    <t>-</t>
  </si>
  <si>
    <t>Đường cao tốc</t>
  </si>
  <si>
    <t>Thị trấn Na Sầm, 
xã Hoàng Việt, xã Bắc Việt, xã Tân Mỹ</t>
  </si>
  <si>
    <t xml:space="preserve">Xã Hoàng Việt (Tờ 25,32,33, 42), Xã Tân Mỹ (Tờ 02, 07, 08, 14, 15, 21, 22, 29, 37, 38, 46, 57, 68, 67, 69, 80, 92, 104, 117, 127, 136, 137). Xã Bắc Việt (Tân Lang tờ 5, 10, 17, 25,33, 34,43, 44,45, 61; xã Tân Việt tờ 58, 59, 47, 46, 34, 33,22, 13, 12, 7, 6; xã Trùng Quán số tờ 23, 56, 57, 70, 85, 95, 110, 115); BĐLN TT Na Sầm (tờ số 1); BĐLN xã Hoàng Việt (tờ 1, tờ 2); BĐLN Tân Mỹ (Tờ 1, tờ 2); BĐLN Bắc Việt ( BDLN Tân Lang tờ 1, BĐLN Tân Việt tờ 1, BĐLN Trùng Quán tờ 1) </t>
  </si>
  <si>
    <t>Công văn số 1019 /SGTVT-KHTC ngày 13/4/2022 V/v cung cấp thông tin làm cơ sở phân bổ chỉ tiêu đất đai đến năm 2030 cấp huyện</t>
  </si>
  <si>
    <t>Dự án tuyến cao tốc cửa khẩu Hữu Nghị - Chi Lăng theo hình thức BOT</t>
  </si>
  <si>
    <t>Tờ 24, 31, 32, 39, 47, 56, 57, 67, 68, 79, 80, 92, 104, 105, 117, 118, 127, 136, 137, 138, 129, 130, 121, 122; Tờ LN1, LN2</t>
  </si>
  <si>
    <t>Thông báo số 602/TB-UBND ngày 28/10/2022 của UBND tỉnh Lạng Sơn về Kết luận của đồng chí Hồ Tiến Thiệu, Chủ tịch UBND tỉnh tại cuộc họp triển khai Dự án tuyến cao tốc cửa khẩu Hữu Nghị - Chi Lăng theo hình thức BOT</t>
  </si>
  <si>
    <t>Dự án đường tuần tra biên giới tỉnh Lạng Sơn/Quân khu 1 (Giai đoạn 2021 - 2025)</t>
  </si>
  <si>
    <t>Các xã Thanh Long, Thụy Hùng, Trùng Khánh</t>
  </si>
  <si>
    <t>Quyết định số 2953/QĐ-BQP ngày 01/9/2021 của Bô Quốc phòng về việc phê duyệt chủ trương đầu tư dự án đường TTBG tỉnh Lạng Sơn/QK1 (giai đoạn 2021 - 2025)</t>
  </si>
  <si>
    <t>Đường tránh</t>
  </si>
  <si>
    <t>Dự án Tuyến tránh thị trấn Na Sầm và đoạn tránh đèo Bó Củng trên QL4A</t>
  </si>
  <si>
    <t>Thị trấn Na Sầm, 
xã Hoàng Việt, Bắc Việt</t>
  </si>
  <si>
    <t>Tờ 19, 25, 26, 34, 35, 44 xã Hoàng Việt thửa Tờ LN1 (Tân Lang cũ)</t>
  </si>
  <si>
    <t>Công văn số 1019 /SGTVT-KHTC ngày 13/4/2022 V/v cung cấp thông tin làm cơ sở phân bổ chỉ tiêu đất đai đến năm 2030 cấp huyện; Kế hoạch số 77/KH-UBND; Đang đề xuất chủ trương đầu tư</t>
  </si>
  <si>
    <t>Đường quốc lộ, tỉnh lộ, huyện lộ, liên xã</t>
  </si>
  <si>
    <t>Dự án LRAMP - Hợp phần 1: Khôi phục, cải tạo đường địa phương</t>
  </si>
  <si>
    <t>Huyện Văn Lãng</t>
  </si>
  <si>
    <t>Mở rộng đường tỉnh 232</t>
  </si>
  <si>
    <t>Xã Bắc Việt, xã Thành Hòa</t>
  </si>
  <si>
    <t>Công văn số 1019 /SGTVT-KHTC ngày  13/4/2022 V/v cung cấp thông tin làm cơ sở phân bổ chỉ tiêu đất đai đến năm 2030 cấp huyện</t>
  </si>
  <si>
    <t>Cải tạo đường ĐH12 (Tân Lang - Tân Việt)</t>
  </si>
  <si>
    <t>Đầu tư công</t>
  </si>
  <si>
    <t>Công văn số 1019 /SGTVT-KHTC ngày  13/4/ 2022 V/v cung cấp thông tin làm cơ sở phân bổ chỉ tiêu đất đai đến năm 2030 cấp huyện</t>
  </si>
  <si>
    <t>Cải tạo, mở rộng đường huyện ĐH.17/Tân Mỹ - Nhạc Kỳ - Điềm He</t>
  </si>
  <si>
    <t xml:space="preserve">Tờ 1, 2, 8, 17, 18, 28, 29, 38, 39, 46, 51, 57, 58, 61 </t>
  </si>
  <si>
    <t>Phòng Kinh tế - Hạ tầng đăng ký</t>
  </si>
  <si>
    <t>Mở rộng Đường từ Bản Miằng đến đường 231</t>
  </si>
  <si>
    <t>Cải tạo, nâng cấp tuyến Na Sầm - Văn Mịch - Hưng Đạo - Cốc Tàn, ĐT.231</t>
  </si>
  <si>
    <t>Bến xe</t>
  </si>
  <si>
    <t>Cảng cạn Tân Thanh</t>
  </si>
  <si>
    <t>Thôn Nà Han, Nà Ngườm, Bản Thẩu</t>
  </si>
  <si>
    <t>Ban Quản lý khu kinh tế cửa khẩu Lạng Sơn</t>
  </si>
  <si>
    <t>Bến xe hàng hóa xuất nhập khẩu</t>
  </si>
  <si>
    <t>Thôn Nà Han, Nà Lầu</t>
  </si>
  <si>
    <t>Bến xe hàng hóa xuất nhập khẩu cửa khẩu Tân Thanh</t>
  </si>
  <si>
    <t>2022-2025</t>
  </si>
  <si>
    <t>Quyết định 1897/QĐ-UBND ngày 19/10/2015 của UBND tỉnh phê duyệt chủ trương đầu tư dự án</t>
  </si>
  <si>
    <t xml:space="preserve">Bến xe hàng hóa xuất nhập khẩu cửa khẩu Tân Thanh và thương mại dịch vụ </t>
  </si>
  <si>
    <t>Văn bản số 1019/BQLKKTCK-KH ngày 26/11/2021 của Ban Quản lý khu kinh tế cửa khẩu Lạng Sơn</t>
  </si>
  <si>
    <t>Hạng mục thương mại</t>
  </si>
  <si>
    <t>Thôn Nà Han</t>
  </si>
  <si>
    <t>Hạng mục sản xuất kinh doanh</t>
  </si>
  <si>
    <t>Bến xe Văn Lãng</t>
  </si>
  <si>
    <t>Tờ số 35: Thửa 580, 406, 407, 427, 409, 443, 536, 459,…; Tờ 44 thửa 6, 7, 21, 22, 23, …; Tờ LN1 (Hoàng Việt cũ)</t>
  </si>
  <si>
    <t>Đường liên thôn, trục thôn, GTNT, ngõ xóm</t>
  </si>
  <si>
    <t>Dự án đường Hội Hoan (huyện Văn Lãng) - Bình La (Bình Gia)</t>
  </si>
  <si>
    <t>Xã Hội Hoan, xã Gia Miễn</t>
  </si>
  <si>
    <t>Đường Cốc Mặn - Khun Phung - Còn Luông</t>
  </si>
  <si>
    <t>Tờ 31, 32, 33; Tờ LN 1</t>
  </si>
  <si>
    <t>Đường liên xã từ thôn Bản Kìa xã Hội Hoan đến thôn Nà Pục, xã Bắc La, huyện Văn Lãng</t>
  </si>
  <si>
    <t>Xã Hội Hoan, Bắc La</t>
  </si>
  <si>
    <t>Thôn Bản Kìa, Nà Pục</t>
  </si>
  <si>
    <t>Ban Quản lý dự án đăng ký</t>
  </si>
  <si>
    <t>Các tuyến đường giao thông nông thôn trên địa bàn các xã, thị trấn</t>
  </si>
  <si>
    <t>Các xã, thị trấn</t>
  </si>
  <si>
    <t>2022-2023</t>
  </si>
  <si>
    <t>KH phát triển KTXH 5 năm 2023 - 2025 huyện Văn Lãng được UBND tỉnh phê duyệt tại Quyết định số 730/QĐ-UBND ngày 31/3/2021; KH số 245/KH-UBND ngày 14/10/2021, NQ số 58-NQ/TU ngày 29/11/2021 của Tỉnh ủy</t>
  </si>
  <si>
    <t>Thôn Còn Luông</t>
  </si>
  <si>
    <t>2026-2030</t>
  </si>
  <si>
    <t>IX</t>
  </si>
  <si>
    <t>Đất thủy lợi</t>
  </si>
  <si>
    <t>Sửa chữa và nâng cao an toàn đập (WB8)</t>
  </si>
  <si>
    <t>Dự án Sửa chữa và nâng cao An toàn đập vay vốn WB giai đoạn 2021 - 2025</t>
  </si>
  <si>
    <t>Văn bản số 682/BNN-HTQT ngày 01/02/2021 của Bộ Nông nghiệp và PTNT; 266/UBND-KT ngày 10/3/2021</t>
  </si>
  <si>
    <t>Hệ thống trạm bơm điện Bản Chúc huyện Văn Lãng, Văn Quan</t>
  </si>
  <si>
    <t>Xã Hồng Thái, Nhạc Kỳ</t>
  </si>
  <si>
    <t>Đập dâng Lọ Trà</t>
  </si>
  <si>
    <t>Tờ 1 LN thửa 554</t>
  </si>
  <si>
    <t>Thôn Đâng Van</t>
  </si>
  <si>
    <t>Xây mới, mở rộng nâng cấp các công trình thủy lợi trên địa bàn</t>
  </si>
  <si>
    <t>2023-2030</t>
  </si>
  <si>
    <t>Phòng NN&amp;PTNT huyện, UBND các xã, thị trấn</t>
  </si>
  <si>
    <t>Thôn Nà Lẹng</t>
  </si>
  <si>
    <t>Thôn Pò Mánh</t>
  </si>
  <si>
    <t>X</t>
  </si>
  <si>
    <t>Đất xây dựng cơ sở văn hóa</t>
  </si>
  <si>
    <t>Xây mới nhà văn hóa xã Bắc Việt</t>
  </si>
  <si>
    <t xml:space="preserve">Tờ 96 thửa 57, 68, 69, 80, 81, 67, 66, 46, </t>
  </si>
  <si>
    <t>Xây mới nhà văn hóa xã Tân Tác</t>
  </si>
  <si>
    <t>Tờ 51 thửa 91</t>
  </si>
  <si>
    <t>Xây mới nhà văn hóa xã Thành Hòa</t>
  </si>
  <si>
    <t>Tờ 34 thửa 113; Tờ 1 LN thửa 373</t>
  </si>
  <si>
    <t>Xây mới nhà văn hóa xã Nhạc Kỳ</t>
  </si>
  <si>
    <t>Tờ 17 thửa 134, 135, 136, 137, 139, 140, 164, …</t>
  </si>
  <si>
    <t>Thôn Háng Van</t>
  </si>
  <si>
    <t>Xây mới nhà văn hóa xã Gia Miễn</t>
  </si>
  <si>
    <t>Tờ 52 thửa 3; Tờ 41 thửa 192, 193, 186</t>
  </si>
  <si>
    <t>Xây mới nhà văn hóa xã Thụy Hùng</t>
  </si>
  <si>
    <t>Tờ 47 thửa 14</t>
  </si>
  <si>
    <t>Xây mới nhà văn hóa xã Bắc La</t>
  </si>
  <si>
    <t>Tờ LN 03 thửa 108, 90</t>
  </si>
  <si>
    <t>Xây mới thư viện xã Hoàng Việt</t>
  </si>
  <si>
    <t>Tờ 26 thửa 220</t>
  </si>
  <si>
    <t>Xây mới Tượng đài đồng chí Hoàng Văn Thụ</t>
  </si>
  <si>
    <t>Mở rộng khuôn viên bia tưởng niệm ghi tên các anh hùng liệt sỹ xã Tân Thanh</t>
  </si>
  <si>
    <t>BĐLN 01: Thửa 860, 867</t>
  </si>
  <si>
    <t>Văn bản số 526/UBND-VP ngày 05/4/2022</t>
  </si>
  <si>
    <t>Mở rộng khuôn viên bia tưởng niệm ghi tên các anh hùng liệt sỹ xã Thanh Long</t>
  </si>
  <si>
    <t>Tờ LN 01 thửa 206</t>
  </si>
  <si>
    <t>Mở rộng khuôn viên bia tưởng niệm ghi tên các anh hùng liệt sỹ xã Thụy Hùng</t>
  </si>
  <si>
    <t>Tờ LN 01 thửa 138, 152</t>
  </si>
  <si>
    <t>Xây dựng các cơ sở văn hóa trên địa bàn huyện</t>
  </si>
  <si>
    <t>XI</t>
  </si>
  <si>
    <t>Đất xây dựng cơ sở y tế</t>
  </si>
  <si>
    <t>Xây mới trung tâm y tế huyện Văn Lãng</t>
  </si>
  <si>
    <t>Tờ 23 thửa 1, 2, 3, 5, 7, 8, 6, 20 ,19,.. ;Tờ LN 1 thửa 267, 268, 285,….</t>
  </si>
  <si>
    <t>Trung tâm y tế huyện đăng ký</t>
  </si>
  <si>
    <t xml:space="preserve">Xây mới, mở rộng trạm y tế xã </t>
  </si>
  <si>
    <t>Tờ 96 thửa 214, 216, 208, 207, 217, 225 (Trùng Quán cũ)</t>
  </si>
  <si>
    <t>Tờ 1 LN thửa 163, 178, 191</t>
  </si>
  <si>
    <t>Tờ LN 03 thửa 81, 103 ,108; Tờ 70 thửa 17</t>
  </si>
  <si>
    <t>Tờ 34 thửa 100</t>
  </si>
  <si>
    <t>NQ số 62/NQ-HĐND ngày 11/8/2021 của HĐND huyện</t>
  </si>
  <si>
    <t>Tờ 39 thửa 154</t>
  </si>
  <si>
    <t>XII</t>
  </si>
  <si>
    <t>Đất xây dựng cơ sở giáo dục, đào tạo</t>
  </si>
  <si>
    <t>Xây mới trường học xã Bắc Việt (mầm non, TH&amp;THCS)</t>
  </si>
  <si>
    <t>Tờ số 96: Thửa 200, 194, 193, 202, 201, 207, 208, 209 (Trùng Quán cũ)</t>
  </si>
  <si>
    <t>Phòng Giáo dục và Đào tạo đăng ký</t>
  </si>
  <si>
    <t>Mở rộng trường THCS Bắc Việt</t>
  </si>
  <si>
    <t>Tờ số 43: Thửa 6,7,8,18 (Tân Lang cũ)</t>
  </si>
  <si>
    <t>Mở rộng trường mầm non xã Tân Thanh</t>
  </si>
  <si>
    <t>BĐLN 01: Thửa 794</t>
  </si>
  <si>
    <t>Xây mới trường mầm non xã Thành Hòa</t>
  </si>
  <si>
    <t>Tờ 11 thửa 80, 55, 94, 69, 79, 17, 59, 82</t>
  </si>
  <si>
    <t>Mở rộng điểm trường Bản Nam, mầm non xã Thành Hòa</t>
  </si>
  <si>
    <t>Tờ 111 thửa 3, 14</t>
  </si>
  <si>
    <t>Mở rộng trường tiểu học xã Thành Hòa</t>
  </si>
  <si>
    <t>Tờ 44 thửa 13,17,22,18</t>
  </si>
  <si>
    <t>Mở rộng Trường PTDTBT TH&amp;THCS xã Nhạc Kỳ</t>
  </si>
  <si>
    <t>Thôn Còn Tẩu</t>
  </si>
  <si>
    <t>Tờ 28 thửa 143, 164, 165, 167, 168, 188, 189</t>
  </si>
  <si>
    <t>Xây mới điểm trường Tà Pịac, mầm non xã Hoàng Việt</t>
  </si>
  <si>
    <t>Tờ 2 LN thửa 855, 910</t>
  </si>
  <si>
    <t>Xây mới điểm trường Co Tào, trường mầm non xã Hội Hoan</t>
  </si>
  <si>
    <t>Tờ 29 thửa 251</t>
  </si>
  <si>
    <t>Xây mới điểm trường Bình Độ, mầm non Nam La</t>
  </si>
  <si>
    <t>Thôn Bình Độ, Nam La</t>
  </si>
  <si>
    <t>Tờ số 42: Thửa 658 (Nam La cũ)</t>
  </si>
  <si>
    <t>Mở rộng Trường mầm non Hội Hoan</t>
  </si>
  <si>
    <t>Tờ LN2 thửa 391, 405</t>
  </si>
  <si>
    <t>Mở rộng trường mầm non Nam La</t>
  </si>
  <si>
    <t>Thôn Đồng Tâm</t>
  </si>
  <si>
    <t>Tờ số 16 Thửa, 47, 48 , 49, 120 (Nam La cũ)</t>
  </si>
  <si>
    <t>Trường THPT Hội Hoan huyện Văn Lãng</t>
  </si>
  <si>
    <t>BĐLN 02: Thửa 718, 751, 732</t>
  </si>
  <si>
    <t>Sở Giáo dục và Đào tạo đăng ký</t>
  </si>
  <si>
    <t>Xây mới trường mầm non xã Hoàng Văn Thụ</t>
  </si>
  <si>
    <t>Thôn Thuận Lợi</t>
  </si>
  <si>
    <t>Tờ 25 thửa 49, 50, 51, 52, 54, 55, 56 78, 79, 80, 81, 82</t>
  </si>
  <si>
    <t>Xây mới Trường PTDTNT THCS và THPT huyện Văn Lãng</t>
  </si>
  <si>
    <t>Thôn Nà Cạn</t>
  </si>
  <si>
    <t>Tờ 23 thửa 175, 214, 229, 228, 227, 191, … (Tân Việt cũ)</t>
  </si>
  <si>
    <t>Xây mới điểm trường thôn Hu Ngoài, mầm non xã Bắc Hùng</t>
  </si>
  <si>
    <t>Thôn Bản Hu</t>
  </si>
  <si>
    <t>Tờ số 47: Thửa 78 (BDĐC xã An Hùng cũ)</t>
  </si>
  <si>
    <t>Mở rộng trường tiểu học xã Bắc Hùng</t>
  </si>
  <si>
    <t>Thôn Đồng Tiến</t>
  </si>
  <si>
    <t>Tờ số 86: Thửa 99, 100 (BDĐC xã Trùng Quán cũ)</t>
  </si>
  <si>
    <t>Mở rộng điểm trường Lũng Vài, tiểu học xã Bắc Hùng</t>
  </si>
  <si>
    <t>Tờ số 29: Thửa 16, 19 (BDĐC xã Trùng Quán cũ)</t>
  </si>
  <si>
    <t>Mở rộng phân trường PTDTBT tiểu học xã Thanh Long</t>
  </si>
  <si>
    <t>Tờ 38 thửa 24</t>
  </si>
  <si>
    <t>Mở rộng trường PTDTBT THCS xã Thanh Long</t>
  </si>
  <si>
    <t>Tờ 50 thửa 130</t>
  </si>
  <si>
    <t>Mở rộng trường mầm non xã Thụy Hùng</t>
  </si>
  <si>
    <t>Thôn Bản Tả</t>
  </si>
  <si>
    <t>BĐLN 02: Thửa 202</t>
  </si>
  <si>
    <t>Mở rộng trường TH&amp;THCS xã Thụy Hùng</t>
  </si>
  <si>
    <t>Tờ số 32: Thửa 144; tờ LN thửa 160</t>
  </si>
  <si>
    <t>Xây dựng các trường, điểm trường học trên địa bàn huyện</t>
  </si>
  <si>
    <t>XIII</t>
  </si>
  <si>
    <t>Đất xây dựng cơ sở thể dục thể thao</t>
  </si>
  <si>
    <t>Xây mới khu liên hợp thể thao và sân vận động huyện</t>
  </si>
  <si>
    <t>Tờ 45 thửa 49, 50, 51 ,60, 61, ..; Tờ 36 thửa 110, 111, 112,… (Tân Lang cũ)</t>
  </si>
  <si>
    <t>Phòng Văn hóa và thông tin huyện đăng ký</t>
  </si>
  <si>
    <t>Xây mới sân thể thao trung tâm xã Tân Thanh</t>
  </si>
  <si>
    <t>Thôn Nà Ngườm, Bản Thẩu</t>
  </si>
  <si>
    <t>Tờ 46: thửa 59, 63, 66, 76; 
Tờ 02 LN thửa 823</t>
  </si>
  <si>
    <t>Thôn Nà Slảng</t>
  </si>
  <si>
    <t>Tờ LN 1 thửa 118, 125, 140</t>
  </si>
  <si>
    <t>Xây mới sân thể thao trung tâm xã Bắc Việt</t>
  </si>
  <si>
    <t>Tờ số 96: Thửa 138, 136, 144, 157, 191, 190,... (Trùng Quán cũ)</t>
  </si>
  <si>
    <t>Xây mới sân thể thao trung tâm xã Hội Hoan</t>
  </si>
  <si>
    <t>Thôn Bản Miằng</t>
  </si>
  <si>
    <t>Tờ 102 thửa 13</t>
  </si>
  <si>
    <t>Xây mới sân thể thao trung tâm xã Hồng Thái</t>
  </si>
  <si>
    <t>Xây mới sân thể thao trung tâm xã Gia Miễn</t>
  </si>
  <si>
    <t>Tờ 1 LN thửa 445</t>
  </si>
  <si>
    <t>Xây mới sân thể thao trung tâm xã Bắc La</t>
  </si>
  <si>
    <t>Tờ 70 thửa 15,16,27,25,26,28 BĐLN tờ LN 01 thửa 90,108</t>
  </si>
  <si>
    <t>Xây mới sân thể thao trung tâm xã Tân Mỹ</t>
  </si>
  <si>
    <t>Mở rộng sân thể thao trung tâm xã Thụy Hùng</t>
  </si>
  <si>
    <t>Tờ 47 thửa 5, 6, 7, 8, 9, 12 13, 14, 18</t>
  </si>
  <si>
    <t>Xây mới khu thể thao các thôn trên địa bàn xã Tân Thanh</t>
  </si>
  <si>
    <t>Các thôn: Nà Tồng, Bản Thẩu, Bản Đuốc, Nà Lầu, Nà Han, Nà Ngườm</t>
  </si>
  <si>
    <t>Tờ số 27: thửa 97; Tờ số 42: thửa 48; Tờ số 17: thửa 166; Tờ số 50: thửa 4,9; Tờ số 38: thửa 40, 52, 53; Tờ số 36: thửa 541, 555</t>
  </si>
  <si>
    <t>Xây mới khu thể thao các thôn trên địa bàn xã Trùng Khánh</t>
  </si>
  <si>
    <t xml:space="preserve">Thôn Pò Hà; Nà Tồng; Manh Dưới; Manh Trên; Bản Pẻn; Bản Cháu; Pá Tặp </t>
  </si>
  <si>
    <t>Tờ BĐLN 01: Thửa 596; Tờ 44: Thửa 66,67; Tờ 39: Thửa 45,55; Tờ BĐLN 01: Thửa 350, 372;Tờ BĐLN 01: Thửa 107; tờ 33, thửa 40;Tờ số 53: Thửa số 156; Tờ 117: Thửa 70; Mảnh trích do 17-2018</t>
  </si>
  <si>
    <t>UBND xã đăng ký; Phương án số 335/PA-TTPTQĐ ngày 29/6/2022 của TTPTQĐ huyện phương án sử dụng đất đối với các khu đất giao Trung tâm PTQĐ huyện Văn Lãng được Chủ tịch UBND huyện phê duyệt</t>
  </si>
  <si>
    <t>Xây mới khu thể thao các thôn trên địa bàn xã Tân Mỹ</t>
  </si>
  <si>
    <t>Tờ 49 thửa 17, …; Tờ 121 thửa 241; Tờ 154 thửa 8; Tờ 2 LN thửa 1560; Tờ 137 thửa 1; Tờ 93 thửa 46; Tờ 40 thửa 33; Tờ 97 thửa 361 (tách từ thửa 39); Tờ 70 thửa 153; Tờ 31 thửa 118, 129; Tờ 1LN thửa 306; Tờ 93 thửa 81, 129; Tờ 50 thửa 262; Tờ 99 thửa 37</t>
  </si>
  <si>
    <t>Xây mới khu thể thao các thôn trên địa bàn xã Tân Tác</t>
  </si>
  <si>
    <t>Thôn Bản Tăm, Bản Cấn, Nà Luông, Bản Đang, Nà Mầm, Bản Giòong</t>
  </si>
  <si>
    <t>Tờ 1 LN thửa 806; Tờ 52 thửa 73; Tờ 73 thửa 67; Tờ LN1 thửa 492; Tờ 24 thửa 21; Tờ LN1 thửa 384</t>
  </si>
  <si>
    <t>Xây mới khu thể thao các thôn trên địa bàn xã Thành Hòa</t>
  </si>
  <si>
    <t>Thôn Tiên Phong; Khun Bủng; Pác Ca; Trung Thành</t>
  </si>
  <si>
    <t>Tờ 42 thửa 72, 97; Tờ LN1 thửa 906; Tờ 69 thửa 29; Tờ 4 thửa 17</t>
  </si>
  <si>
    <t>Xây mới khu thể thao các thôn trên địa bàn xã Bắc Việt</t>
  </si>
  <si>
    <t>Thôn Nà Lẹng; Bản Gioong; Khun Roọc; Vạn Xuân; Liên Kết; Bản Quan</t>
  </si>
  <si>
    <t>Tờ 22 thửa 354; Tờ 54 thửa 81, 101; Tờ số 23, Thửa 11 (Tân Lang cũ); Tờ 110 thửa 69; Tờ 77 thửa 168; Tờ LN 1 thửa 165</t>
  </si>
  <si>
    <t>Xây mới khu thể thao các thôn trên địa bàn xã Nhạc Kỳ</t>
  </si>
  <si>
    <t>Thôn Pá Đa; Còn Luông; Lương Thác; Còn Tẩu; Khun Phung; Nà Éc; Bản Chúc</t>
  </si>
  <si>
    <t>Tờ 54 thửa 54; Tờ 18 thửa 447; Tờ 51 thửa 116; Tờ 17 thửa 584; Tờ LN 01 thửa 290; Tờ 8 thửa 256; Tờ 25 thửa 153</t>
  </si>
  <si>
    <t>Xây mới khu thể thao các thôn trên địa bàn xã Hoàng Việt</t>
  </si>
  <si>
    <t>Thôn Pò Pheo, Tà Pịac, Kéo Phẩu, Còn Noọc, Cốc Hắt, Bản Lè, Nà Quan, Bản Ỏ, Nà Tềnh, Nà Phai</t>
  </si>
  <si>
    <t>Tờ số 67: Thửa 360; Thửa số 111: Tờ 32; Tờ 67 thửa 343; Tờ số 82: Thửa 137, 259; Tờ 44 thửa 327; BĐLN 02: Thửa 381; Tờ số 63: Thửa 35; Tờ số 137: Thửa 39; Tờ 69 thửa 419; Tờ 32: Thửa 216; Tờ 57 thửa 24; Tờ 34 thửa 304; Tờ 11 thửa 195</t>
  </si>
  <si>
    <t>Xây mới khu thể thao các thôn trên địa bàn xã Hội Hoan</t>
  </si>
  <si>
    <t>Thôn Bản Bẻng; Hòa Lạc; Khuổi Toọc; Bản Kìa</t>
  </si>
  <si>
    <t>Tờ 88 thửa 26 (Hội Hoan cũ); Tờ 27 thửa 223 (Nam La cũ); Tờ 28 thửa 45, 55, 60, 61; Tờ 125 thửa 139, 154, 171; Tờ 44 thửa 370, 371; Tờ 45 thửa 140, 141, 149</t>
  </si>
  <si>
    <t>Xây mới khu thể thao các thôn trên địa bàn xã Hồng Thái</t>
  </si>
  <si>
    <t>Tờ 59 thửa 69; Tờ 51 thửa 376; Tờ 47 thửa 124, 133, 134; Tờ 01LN thửa 600; Tờ LN 01 thửa 510; Tờ 18 thửa 45,46; Tờ LN 01 thửa 109</t>
  </si>
  <si>
    <t>Xây mới khu thể thao các thôn trên địa bàn xã Hoàng Văn Thụ</t>
  </si>
  <si>
    <t>Xây mới khu thể thao các thôn trên địa bàn xã Gia Miễn</t>
  </si>
  <si>
    <t>Thôn Quảng Sơn; Quảng Lộng; Bình Lập; Cương Quyết; Phai Nà; Cốc Nhảng; Pò Mánh</t>
  </si>
  <si>
    <t>Tờ 116 thửa 134; Tờ 159 thửa 10, 11, 19; Tờ 40 thửa 31, 32, 33; Tờ 41 thửa 69; Tờ 126 thửa 69, 74, 73, 83; Tờ 88 thửa 72; Tờ 162 thửa 55, 56, 57, 58, 59, 60, 61, 77; Tờ 68 thửa 37, 38</t>
  </si>
  <si>
    <t>Xây mới khu thể thao các thôn trên địa bàn xã Thanh Long</t>
  </si>
  <si>
    <t>Xây mới khu thể thao các thôn trên địa bàn xã Thụy Hùng</t>
  </si>
  <si>
    <t>Thôn Na Hình; Còn Ngòa; Nà Luông Nà So; Bản Tả; Cúc Lùng; Bản Mới</t>
  </si>
  <si>
    <t>Tờ 15 thửa 119; Tờ LN 02 thửa 229, 246; Tờ 95 thửa 229; Tờ 65 thửa 158; Tờ 44 thửa 37; BĐLN 01: Thửa 432</t>
  </si>
  <si>
    <t>XIV</t>
  </si>
  <si>
    <t>Đất công trình năng lượng</t>
  </si>
  <si>
    <t>Thủy điện Đèo Khách (Quy mô 291,37 ha)</t>
  </si>
  <si>
    <t>Xã Bắc Hùng, Xã Bắc Việt, TT Nà Sầm</t>
  </si>
  <si>
    <t>Quyết định số 1861/QĐ-UBND ngày 27/9/2019 của Ủy ban nhân dân tỉnh</t>
  </si>
  <si>
    <t>Nhà máy điện gió Văn Lãng 1 (90MW)</t>
  </si>
  <si>
    <t>Xã Tân Thanh, xã Thanh Long</t>
  </si>
  <si>
    <t>Văn bản số 679/SCT-QLNL ngày 28/4/2022 của Sở công thương</t>
  </si>
  <si>
    <t>Nhà máy điện gió Bình Gia (80MW)
(Quy mô 7,53 ha)</t>
  </si>
  <si>
    <t>Công văn số  1343 /PCLS-BQLDA+VP+TTBVPC +KHVT+KT  ngày 06 tháng 7 năm 2022 của Công ty Điện lực Lạng Sơn</t>
  </si>
  <si>
    <t>Đường dây 110kV từ 220kV Lạng Sơn - Đồng Đăng (mạch 2)</t>
  </si>
  <si>
    <t>Căn cứ Quyết định số 2088/QĐ-EVNNPC ngày 16/7/2019 của Tổng công ty Điện lực miền Bắc về việc: Duyệt bổ sung  danh mục kế hoạch đầu tư xây dựng năm 2019 cho Ban QLDAPT Điện lực.</t>
  </si>
  <si>
    <t>Cấy máy biến áp CQT giảm bán kính cấp điện cho TBA Miễn thuế 1</t>
  </si>
  <si>
    <t>Nhà trực vận hành điện khu vực xã Hoàng Việt</t>
  </si>
  <si>
    <t>Tờ 69: Thửa 330,153,156,185,186,187,…</t>
  </si>
  <si>
    <t>Cấy máy biến áp CQT giảm bán kính cấp điện cho TBA Bản Nam</t>
  </si>
  <si>
    <t>Cải tạo đường dây 110kV Đồng Đăng- Thác Xăng- Tràng Định</t>
  </si>
  <si>
    <t>Xã Hoàng Việt, Bắc Việt</t>
  </si>
  <si>
    <t>Công văn 1209/PCLS-BQLDA Về việc đăng ký chính thức quy hoạch sử dụng đất các dự án đất năng lượng giai đoạn 2021-2030</t>
  </si>
  <si>
    <t>Xây dựng đường dây 110kV Đồng Đăng- Thác Xăng- Tràng Định (mạch 2)</t>
  </si>
  <si>
    <t>Cấy máy biến áp CQT giảm bán kinh cấp điện cho TBA Bình Dân</t>
  </si>
  <si>
    <t>Cấy máy biến áp CQT giảm bán kinh cấp điện cho TBA UB Hội Hoan</t>
  </si>
  <si>
    <t>Nâng cao độ tin cậy cung cấp điện của lưới điện trung áp 35kV tỉnh Lạng Sơn theo phương án đa chia, đa nối (MDMC) khu vực Cao Lộc, Văn Lãng, Tràng Định</t>
  </si>
  <si>
    <t>Cấy máy biến áp CQT giảm bán kính cấp điện cho TBA UB Tân Tác</t>
  </si>
  <si>
    <t>Cấy máy biến áp CQT giảm bán kính cấp điện cho TBA An Hùng</t>
  </si>
  <si>
    <t>Cấy máy biến áp CQT giảm bán kính cấp điện cho trạm biến áp Pác Luống</t>
  </si>
  <si>
    <t>Cấy MBA giảm bán kính cấp điện cho TBA UB Thụy Hùng</t>
  </si>
  <si>
    <t>Cấy máy biến áp cấp điện thôn Thanh Hảo</t>
  </si>
  <si>
    <t>Cấy MBA giảm bán kính cấp điện cho TBA Bản Cáu</t>
  </si>
  <si>
    <t>Đường dây 110kV và TBA 110kV Văn Lãng</t>
  </si>
  <si>
    <t>Cải tạo NR Hoàng Việt - Thụy Hùng thuộc lộ 377E13.6</t>
  </si>
  <si>
    <t>Xã Thanh Long, Thụy Hùng</t>
  </si>
  <si>
    <t xml:space="preserve">Nâng công suất MBA phân phối đảm bảo cấp điện mùa nắng nóng </t>
  </si>
  <si>
    <t>Xuất tuyến trung áp sau TBA 110kV Văn Lãng</t>
  </si>
  <si>
    <t>ĐZ 220kV Lạng Sơn- Cao Bằng</t>
  </si>
  <si>
    <t>Cấy TBA CQT giảm bán kính, giảm tổn thất điện năng khu vực huyện Văn Lãng, Tràng Định năm 2023</t>
  </si>
  <si>
    <t>Công văn số  2368/PCLS-BQLDA+VP+TTBVPC +KHVT+KT  ngày 02 tháng 11 năm 2022 của Công ty Điện lực Lạng Sơn</t>
  </si>
  <si>
    <t>Nâng cao năng lực mạch vòng đường dây trung áp huyện Văn Lãng</t>
  </si>
  <si>
    <t xml:space="preserve">Chống quá tải lưới điện </t>
  </si>
  <si>
    <t>ĐZ trung thế, TBA và ĐZ hạ áp</t>
  </si>
  <si>
    <t>Công trình năng lượng</t>
  </si>
  <si>
    <t>XV</t>
  </si>
  <si>
    <t>Đất công trình Bưu chính viễn thông</t>
  </si>
  <si>
    <t>Xây mới bưu điện xã</t>
  </si>
  <si>
    <t>Tờ 104 thửa 1, 2, 3, 10</t>
  </si>
  <si>
    <t>Tờ 51 thửa 51</t>
  </si>
  <si>
    <t>Tờ 11 thửa 88</t>
  </si>
  <si>
    <t>Tờ 52 thửa 21</t>
  </si>
  <si>
    <t>Tờ 75</t>
  </si>
  <si>
    <t>Xây mới Trạm phát sóng Viettel</t>
  </si>
  <si>
    <t>Thôn Nà Pục, Phiêng Luông, Nà Sòm</t>
  </si>
  <si>
    <t>Tờ BĐLN số 1 thửa 33; 288; Tờ LN số 3 thửa 397</t>
  </si>
  <si>
    <t>Xây dựng các công trình bưu chính viễn thông</t>
  </si>
  <si>
    <t>XVI</t>
  </si>
  <si>
    <t>Đất di tích lịch sử văn hóa</t>
  </si>
  <si>
    <t>Xây dựng di tích đồn Tây</t>
  </si>
  <si>
    <t xml:space="preserve">Khu 1 </t>
  </si>
  <si>
    <t>Tờ số 24: Thửa 7; Tờ số 25: Thửa 45 (NS)</t>
  </si>
  <si>
    <t>Mở rộng chùa Thanh Hương (Tà Lài)</t>
  </si>
  <si>
    <t>Mở rộng khu lưu niệm và khu mộ phụ thân, phụ mẫu đồng chí Hoàng Văn Thụ</t>
  </si>
  <si>
    <t>XVII</t>
  </si>
  <si>
    <t>Đất bãi thải, xử lý chất thải</t>
  </si>
  <si>
    <t>Trạm trung chuyển thu gom rác thải sinh hoạt trước khi vận chuyển đến nơi xử lý</t>
  </si>
  <si>
    <t>Tờ số 22: Thửa 9 (Hoàng Việt cũ)</t>
  </si>
  <si>
    <t xml:space="preserve">Công ty TNHH MTV Tâm Đức LS </t>
  </si>
  <si>
    <t>Mở mới điểm thu gom rác thải tại các thôn</t>
  </si>
  <si>
    <t>BĐLN 01: Thửa 579, 329 (Tân Lang cũ)</t>
  </si>
  <si>
    <t>Mở mới điểm thu gom rác xã Thành Hòa</t>
  </si>
  <si>
    <t>Thôn Thống Nhất, Tiên Phong, Công Lý</t>
  </si>
  <si>
    <t>Mở mới bãi rác trung tâm xã Hồng Thái</t>
  </si>
  <si>
    <t>Xóm Phạ Lác</t>
  </si>
  <si>
    <t>Tờ 16 thửa 88. 89, 90, 91, 93, 94, 95, 97, 98, 99, 100, 103, 83 tờ 17 thửa 101, 102; tờ 23 thửa 1,2,3,4 tờ 24 thửa 1,3,5,11,13</t>
  </si>
  <si>
    <t>Mở mới bãi rác xã Bắc Hùng</t>
  </si>
  <si>
    <t>Mở mới bãi rác xã Thụy Hùng</t>
  </si>
  <si>
    <t>BĐLN 02: Thửa 139</t>
  </si>
  <si>
    <t>Bãi đổ thải</t>
  </si>
  <si>
    <t>Thôn Thống Nhất, Thôn Công Lý</t>
  </si>
  <si>
    <t>Tờ 1 LN thửa 310, ;Tờ 12 thửa 37, 75, 56, 77; Tờ 91 thửa 43, 54, 37,…</t>
  </si>
  <si>
    <t>Thôn Vạn Xuân, Kéo Van</t>
  </si>
  <si>
    <t>BĐLN 01: Thửa 642 (Trùng Quán cũ); BĐLN 01: Thửa 839,857 (Tân Lang cũ)</t>
  </si>
  <si>
    <t>Thôn Bản Đuốc</t>
  </si>
  <si>
    <t>Tờ số 33: Thửa 44, 45, 46, 88, 81,…
BĐLN 01: Thửa 588</t>
  </si>
  <si>
    <t>BĐLN 02: Thửa 148, 217</t>
  </si>
  <si>
    <t>Thôn Cốc Nam</t>
  </si>
  <si>
    <t>Tờ 130 thửa 166, 167, 168, 169,...</t>
  </si>
  <si>
    <t>Thôn Nà Luông</t>
  </si>
  <si>
    <t>Tờ LN số 1 thửa 690, 666, 657, 678, 692; Tờ 54 thửa 25, 26, 27, 28, 29, 30, 31, 32, 33, 34, 35, 36, 37, 38, 39, 40, 41, 42, 43, 44, 45…; Tờ 64 thửa 3,4,7, 55</t>
  </si>
  <si>
    <t>Tờ 1 LN thửa 880</t>
  </si>
  <si>
    <t>BĐLN 02: Thửa 489; Tờ 75 thửa 124, 125, 122, 121, …; Tờ số 44: Thửa 362</t>
  </si>
  <si>
    <t>Thôn Háng Van, 
Bản Kìa</t>
  </si>
  <si>
    <t>Tờ 123 thửa 25, 13,14,15,16,17,18,19,20, 21, 22 (Hội Hoan cũ)</t>
  </si>
  <si>
    <t>Thôn Lũng Vài, Bản Hu</t>
  </si>
  <si>
    <t>BĐLN 02: Thửa 116, 44, 50 (Trùng Quán cũ). Tờ LN 01 thửa 358, 376, 459 (Tân Lang cũ)</t>
  </si>
  <si>
    <t>Tờ 1 LN thửa 751, 752, 770, 786. Tờ 68 thửa 71, 72, 73, 75, 47, 53</t>
  </si>
  <si>
    <t>Tờ 86 thửa 1, 4, 8, 9, 13, 14. Tờ 85 thửa 4, 5, 9, 10; Tờ 1 LN thửa 441, 462</t>
  </si>
  <si>
    <t>BĐLN 02: Thửa 195, 196; Tờ 51 thửa 2, 3, 4; Tờ 35 thửa 83, 84</t>
  </si>
  <si>
    <t>Tờ LN1 thửa 526, 534, 540, 535, 525, 522, 521</t>
  </si>
  <si>
    <t>XVIII</t>
  </si>
  <si>
    <t>Đất nghĩa trang, nghĩa địa, nhà tang lễ, nhà hỏa táng</t>
  </si>
  <si>
    <t>Mở rộng Nghĩa trang liệt sỹ huyện Văn Lãng</t>
  </si>
  <si>
    <t>BĐLN 01: Thửa 358 (Tân Lang cũ)</t>
  </si>
  <si>
    <t>Khu nghĩa trang nhân dân phục vụ dự án đầu tư xây dựng hạ tầng kỹ thuật và nhà xưởng Phúc Khang</t>
  </si>
  <si>
    <t>Tờ LN1 thửa 313, 336, ...; Tờ LN02 thửa 318, 331, 360, 361, ...</t>
  </si>
  <si>
    <t>Quyết định số 1408/QĐ-UBND ngày 11/5/2022 của UBND huyện Văn Lãng</t>
  </si>
  <si>
    <t>Xây dựng nghĩa địa thị trấn Na Sầm</t>
  </si>
  <si>
    <t>BĐLN 01: Thửa 269, 287, 276, 245, 303 (Hoàng Việt cũ)</t>
  </si>
  <si>
    <t>Xây dựng nghĩa địa xã Hoàng Việt</t>
  </si>
  <si>
    <t>Thôn Pò Pheo</t>
  </si>
  <si>
    <t>BĐLN tờ số 2 thửa 382,384, 396, 414, 415, 426, 437</t>
  </si>
  <si>
    <t>Xây dựng nghĩa địa xã Hoàng Văn Thụ</t>
  </si>
  <si>
    <t>Thôn Bó Chầu</t>
  </si>
  <si>
    <t>Xây dựng nghĩa địa xã Tân Tác</t>
  </si>
  <si>
    <t>Thôn Bản Đang</t>
  </si>
  <si>
    <t>Tờ BĐLN 01, thửa 494</t>
  </si>
  <si>
    <t>Xây dựng nghĩa địa xã Thanh Long</t>
  </si>
  <si>
    <t>Tờ LN2 thửa 109</t>
  </si>
  <si>
    <t>Xây dựng nghĩa địa xã Trùng Khánh</t>
  </si>
  <si>
    <t>Tờ BĐLN02, thửa 197</t>
  </si>
  <si>
    <t>Xây dựng nghĩa địa xã Thụy Hùng</t>
  </si>
  <si>
    <t>Tờ LN1 thửa 423</t>
  </si>
  <si>
    <t>Xây dựng nghĩa địa xã Bắc Việt</t>
  </si>
  <si>
    <t>BĐLN 01: Thửa 654, 660 (Tân Lang cũ)</t>
  </si>
  <si>
    <t>Mở rộng nghĩa địa thôn Bản Quan</t>
  </si>
  <si>
    <t>Thôn Bản Quan</t>
  </si>
  <si>
    <t>BĐLN 01: Thửa 134 (Tân Việt cũ)</t>
  </si>
  <si>
    <t>Mở rộng nghĩa địa xã Tân Thanh</t>
  </si>
  <si>
    <t>BĐLN 01: Thửa 839, 853</t>
  </si>
  <si>
    <t>XIX</t>
  </si>
  <si>
    <t>Đất xây dựng cơ sở dịch vụ xã hội</t>
  </si>
  <si>
    <t>Xây dựng cơ sở trợ giúp xã hội huyện Văn Lãng</t>
  </si>
  <si>
    <t>Thôn Bản Làng</t>
  </si>
  <si>
    <t>BĐLN 01: Thửa 111, 112, 131, 132, 105 (Tân Lang cũ);</t>
  </si>
  <si>
    <t>CV số 2075/UBND-LDTBXH ngày 21/08/2020 của UBND huyện</t>
  </si>
  <si>
    <t>XX</t>
  </si>
  <si>
    <t>Đất chợ</t>
  </si>
  <si>
    <t>Xây dựng chợ xã Bắc Việt</t>
  </si>
  <si>
    <t>Tờ số 104: Thửa 1, 3, 4, 10, 8, 7, 11, 12, 16, 15, 18, 17 (Trùng Quán cũ)</t>
  </si>
  <si>
    <t>Xây dựng chợ Pá Tặp</t>
  </si>
  <si>
    <t>BDDC tờ 117, 118; BĐLN 01</t>
  </si>
  <si>
    <t>XXI</t>
  </si>
  <si>
    <t>Đất sinh hoạt cộng đồng</t>
  </si>
  <si>
    <t>Xây mới, mở rộng nhà văn hóa các khu, thôn trên địa bàn xã Tân Thanh</t>
  </si>
  <si>
    <t xml:space="preserve"> Khu I, II; Thôn Bản Thẩu; Nà Ngườm; Nà Han</t>
  </si>
  <si>
    <t>Tờ 47, thửa 351; Tờ số 42: Thửa 36; Tờ số 36: Thửa 555,541; Tờ 38: Thửa 46</t>
  </si>
  <si>
    <t>Xây mới, mở rộng nhà văn hóa các thôn trên địa bàn xã Trùng Khánh</t>
  </si>
  <si>
    <t>Tờ 34 thửa 136, 218, 217, 173,…; Tờ số 39: Thửa 86, 85</t>
  </si>
  <si>
    <t>Xây mới nhà văn hóa thôn Bản Chang xã Tân Mỹ</t>
  </si>
  <si>
    <t>Thôn Bản Chang</t>
  </si>
  <si>
    <t>Tờ 32 thửa 372</t>
  </si>
  <si>
    <t>Xây mới, mở rộng nhà văn hóa các thôn trên địa bàn xã Tân Tác</t>
  </si>
  <si>
    <t>Thôn Bản Cấn; Bản Tăm; Bản Gioòng</t>
  </si>
  <si>
    <t>Tờ 1 LN thửa 614, 602;  Tờ 1 LN thửa 806; Tờ 1 LN thửa 412</t>
  </si>
  <si>
    <t>Xây mới, mở rộng nhà văn hóa các thôn trên địa bàn xã Thành Hòa</t>
  </si>
  <si>
    <t>Thôn Thôn Thống Nhất; Khun Bủng; Tiên Phong</t>
  </si>
  <si>
    <t>Tờ 34 thửa 32, 36, Tờ 1 LN thửa 298, 286; Tờ 1 LN thửa 906, 911; Tờ 1 LN thửa 435, 434</t>
  </si>
  <si>
    <t>Xây mới nhà văn hóa các thôn trên địa bàn xã Hội Hoan</t>
  </si>
  <si>
    <t>Xây mới, mở rộng nhà văn hóa các thôn trên địa bàn xã Bắc Việt</t>
  </si>
  <si>
    <t>Thôn Bản Quan; Liên Kết; Nà Lẹng; Tà Coóc; Vạn Xuân; Liên Hợp; Kéo Van; Bản Làng; Khun Rọoc</t>
  </si>
  <si>
    <t>Tờ 13 thửa 251 (Tân Việt cũ); Tờ 77 (Tân Việt cũ); Tờ 34 Thửa 234, 268 (Tân Việt cũ); Tờ 25 Thửa 289 (Tân Lang cũ); Tờ 56 Thửa 46 (Trùng Quán cũ); BĐLN 01 Thửa 910, 929, 922; Tờ  10 Thửa 311 (Tân Lang cũ); Tờ 23 Thửa 251 (Tân Lang)</t>
  </si>
  <si>
    <t>Xây mới, mở rộng nhà văn hóa các thôn trên địa bàn xã Nhạc Kỳ</t>
  </si>
  <si>
    <t>Xây mới, mở rộng nhà văn hóa các thôn trên địa bàn xã Hoàng Việt</t>
  </si>
  <si>
    <t>Thôn Bản Lè; Nà Tềnh; Nà Quan; Bản Ỏ</t>
  </si>
  <si>
    <t>Thôn Lùng Đúc</t>
  </si>
  <si>
    <t>Tờ 47 thửa 133, 134, 124</t>
  </si>
  <si>
    <t>Xây mới, mở rộng nhà văn hóa các khu trên địa bàn thị trấn Na Sầm</t>
  </si>
  <si>
    <t>Khu 9; Khu 1; Khu 6</t>
  </si>
  <si>
    <t>Tờ số 56: Thửa 101 (Tân Lang cũ); Tờ số 17 thửa 65,… (NS); Tờ số 35: thửa 331, 333 (xã Hoàng Việt cũ)</t>
  </si>
  <si>
    <t>Xây mới nhà văn hóa các thôn trên địa bàn xã Gia Miễn</t>
  </si>
  <si>
    <t>Thôn Quảng Sơn; Bản Cáp; Bình Lập; Cương Quyết</t>
  </si>
  <si>
    <t>Tờ LN2 thửa 320, 308; Tờ 52 thửa 9; Tờ LN1 thửa 155; Tờ 126 thửa 82, 73, 74, 83</t>
  </si>
  <si>
    <t>Xây mới nhà văn hóa các thôn trên địa bàn xã Thanh Long</t>
  </si>
  <si>
    <t>Thôn Nà Vạc</t>
  </si>
  <si>
    <t>Tờ 120 thửa 875</t>
  </si>
  <si>
    <t>Xây mới, mở rộng nhà văn hóa các thôn trên địa bàn xã Thụy Hùng</t>
  </si>
  <si>
    <t>Thôn Bản Tả; Bản Mới</t>
  </si>
  <si>
    <t>Tờ số 65 thửa 158, 15; BĐLN 01: Thửa 432</t>
  </si>
  <si>
    <t>Xây mới, mở rộng nhà văn hóa các thôn trên địa bàn xã Bắc La</t>
  </si>
  <si>
    <t>Tờ số 123: Thửa 18; Tờ số 27: Thửa 10, 11, 12, Tờ số 28: Thửa 10; Tờ 36 thửa 175; Tờ số 31: Thửa 77; Tờ số 23: Thửa 14; Tờ số 110: Thửa 75; Tờ số 72: Thửa 150</t>
  </si>
  <si>
    <t>XXIII</t>
  </si>
  <si>
    <t>Đất khu vui chơi giải trí công cộng</t>
  </si>
  <si>
    <t>Công viên cây xanh thị trấn Na Sầm</t>
  </si>
  <si>
    <t>Tờ 12, 18 (NS)</t>
  </si>
  <si>
    <t>Đất khuôn viên cây xanh các khu, thôn trên địa bàn xã</t>
  </si>
  <si>
    <t>Tờ 26 thửa 334, 335, 336, 333, 314, 298, 299, …; LN1 thửa 355, 356, 322, 359, …</t>
  </si>
  <si>
    <t>Tờ 38 thửa 45, 63, 64</t>
  </si>
  <si>
    <t>Tờ 44 thửa 67</t>
  </si>
  <si>
    <t>Tờ 01LN thửa 620</t>
  </si>
  <si>
    <t>Thôn Na Hình</t>
  </si>
  <si>
    <t>Tờ 47 thửa 14, 18</t>
  </si>
  <si>
    <t>XXIV</t>
  </si>
  <si>
    <t>Đất ở</t>
  </si>
  <si>
    <t>Dự án khu đô thị</t>
  </si>
  <si>
    <t>Dự án khu đô thị thương mại dịch vụ Tây Đồng Đăng</t>
  </si>
  <si>
    <t>Thôn Pò Chài</t>
  </si>
  <si>
    <t>Tờ LN 02 thửa 1734, 1741; BDDC tờ 128, 129, 137, 138</t>
  </si>
  <si>
    <t>Dự án xây dựng khu đô thị phía nam thị trấn Na Sầm</t>
  </si>
  <si>
    <t>Khu 5, 6, 7</t>
  </si>
  <si>
    <t>Dự án khu dân cư mới</t>
  </si>
  <si>
    <t xml:space="preserve">Dự án đầu tư Hạ tầng kỹ thuật khu dân cư khu 7, thị trấn Na Sầm </t>
  </si>
  <si>
    <t>Đầu tư công của huyện</t>
  </si>
  <si>
    <t xml:space="preserve">Dự án đầu tư Hạ tầng kỹ thuật khu dân cư khu 5, thị trấn Na Sầm </t>
  </si>
  <si>
    <t>Tờ 33, 34, 37, 38 (NS)</t>
  </si>
  <si>
    <t>Dự án xây dựng khu dân cư mới khu II thị trấn Na Sầm (GĐ1)</t>
  </si>
  <si>
    <t>Tờ 25, 26, 31, 32 (NS)</t>
  </si>
  <si>
    <t>Dự án xây dựng khu dân cư mới Hoàng Việt</t>
  </si>
  <si>
    <t>Thị trấn Na Sầm, 
xã Hoàng Việt</t>
  </si>
  <si>
    <t>Khu 1, 4 (TT. Na Sầm); Thôn Nà Phai (Hoàng Việt)</t>
  </si>
  <si>
    <t>Tờ 19, 20, 25, 26 (Hoàng Việt)</t>
  </si>
  <si>
    <t>Dự án Trung tâm thương mại dịch vụ kết hợp khu dân cư khu 04, thị trấn Na Sầm</t>
  </si>
  <si>
    <t>Khu 4</t>
  </si>
  <si>
    <t>Tờ 27, 28</t>
  </si>
  <si>
    <t>Trung tâm thương mại dịch vụ</t>
  </si>
  <si>
    <t>Chợ khu vực</t>
  </si>
  <si>
    <t>Nhà văn hoá sinh hoạt cộng đồng</t>
  </si>
  <si>
    <t>Đất công cộng khác</t>
  </si>
  <si>
    <t>Dự án xây dựng khu dân cư Tân Thanh (Khu I)</t>
  </si>
  <si>
    <t>Dự án xây dựng khu dân cư Tân Thanh (Khu II)</t>
  </si>
  <si>
    <t>Dự án khu dân cư nông thôn mới</t>
  </si>
  <si>
    <t>Tờ LN1 thửa 593, 607, 630, 652, 669, 693, 704, 773, 752, 767, 775</t>
  </si>
  <si>
    <t>Dự án khu dân cư nông thôn mới thôn Cốc Nam</t>
  </si>
  <si>
    <t>BĐLN 2: thửa 1588, 1640, 1737</t>
  </si>
  <si>
    <t>Tờ 109; tờ 121; Tờ LN 2</t>
  </si>
  <si>
    <t>Dự án khu dân cư nông thôn mới thôn Hợp Nhất</t>
  </si>
  <si>
    <t>Thôn Hợp Nhất (Háng Mới cũ)</t>
  </si>
  <si>
    <t>Tờ 49, 50</t>
  </si>
  <si>
    <t xml:space="preserve">Dự án khu dân cư nông thôn mới thôn Hợp Nhất </t>
  </si>
  <si>
    <t>Thôn Hợp Nhất (Nà Pục cũ)</t>
  </si>
  <si>
    <t>Dự án khu dân cư nông thôn mới thôn Lương Thác</t>
  </si>
  <si>
    <t>Tờ 61 thửa 32, 33, 45, 46, 44, 59, 65, 74, 75, 76, 8, 10, 16, 13, 14, 15, 36, 37, 38, 39, 40, 41, 43, 60, 61, 62, 63,  …</t>
  </si>
  <si>
    <t>Thôn Nà Phai (gần trụ sở UBND xã)</t>
  </si>
  <si>
    <t>Tờ 26 thửa 139, 140, 327, 328, 330, 165, 332, 164, 148, 162, 175, 190, 192, 180, 186, 208</t>
  </si>
  <si>
    <t>Tái định cư</t>
  </si>
  <si>
    <t>Dự án khu tái định cư phục vụ các dự án trên địa bàn xã Tân Mỹ</t>
  </si>
  <si>
    <t>UBND huyện đăng ký</t>
  </si>
  <si>
    <t>Đấu giá</t>
  </si>
  <si>
    <t>Đấu giá đất ở trên địa bàn các xã</t>
  </si>
  <si>
    <t>Khu 1; Thôn Nà Lầu</t>
  </si>
  <si>
    <t>Tờ số 18: Thửa 53; Tờ số 108: Thửa 161; Tờ số 96: Thửa 90; Tờ số 82: Thửa 54; Tờ số 33: Thửa 55; Tờ số 34: Thửa 83</t>
  </si>
  <si>
    <t>Thôn Quyết Thắng</t>
  </si>
  <si>
    <t>Tờ 25 thửa 518</t>
  </si>
  <si>
    <t>Đấu giá đất ở thị trấn Na Sầm</t>
  </si>
  <si>
    <t>Khu 3 (Ao Cạn); Khu 7</t>
  </si>
  <si>
    <t>Tờ 16 thửa 10, 4, Tờ 17 thửa 101 (NS); Tờ 16 thửa 234 (Hoàng Việt cũ)</t>
  </si>
  <si>
    <t>Chuyển mục đích</t>
  </si>
  <si>
    <t>Chuyển mục đích sang đất ở tại thị trấn Na Sầm</t>
  </si>
  <si>
    <t>TT Na Sầm</t>
  </si>
  <si>
    <t>Các khu</t>
  </si>
  <si>
    <t>Chuyển mục đích sang đất ở nông thôn trên địa bàn xã</t>
  </si>
  <si>
    <t>Giao đất</t>
  </si>
  <si>
    <t>Giao đất ở nông thôn cho hộ gia đình, cá nhân</t>
  </si>
  <si>
    <t>Thôn Nà Lầu</t>
  </si>
  <si>
    <t>Tờ số 55: Thửa 163, 215</t>
  </si>
  <si>
    <t>XXV</t>
  </si>
  <si>
    <t>Đất xây dựng trụ sở cơ quan</t>
  </si>
  <si>
    <t>Xây mới khối cơ quan huyện</t>
  </si>
  <si>
    <t>Tờ 23 thửa 21, 22, 23, 24,…; Tờ 22 thửa 01, 10, 19, 16, 15, 24, 02,…; Tờ LN1 thửa 319, 302, 307, 342,…</t>
  </si>
  <si>
    <t>Xây mới trụ sở chi cục thi hành án</t>
  </si>
  <si>
    <t>Tờ 23 thửa 1, 2, 3, 5; Tờ LN1 thửa 244, 484, 233, 253 (Hoàng Việt)</t>
  </si>
  <si>
    <t>Chi cục thi hành án dân sự huyện Văn Lãng</t>
  </si>
  <si>
    <t>Xây mới trụ sở UBND xã Bắc Việt</t>
  </si>
  <si>
    <t>Tờ 96 thửa 70, 56, 69, 68, 80, 97, 79,… (Trùng Quán cũ)</t>
  </si>
  <si>
    <t>Xây mới trụ sở UBND xã Thụy Hùng</t>
  </si>
  <si>
    <t>Tờ LN1 thửa 178, 163</t>
  </si>
  <si>
    <t>Xây mới trụ sở UBND xã Hoàng Việt</t>
  </si>
  <si>
    <t>Thôn Kéo Phầư</t>
  </si>
  <si>
    <t>Tờ 68 thửa 10, 11, 13, 14, 15, 16, 63, 64, 93</t>
  </si>
  <si>
    <t>Xây mới trụ sở UBND xã Bắc La</t>
  </si>
  <si>
    <t>Tờ 70 thửa 12, 13, 14, 15, 19, 24, 25, 26, 28, 64, 41, 101, 102, …</t>
  </si>
  <si>
    <t>Nghị quyết số 62/NQ-HĐND ngày 11/8/2021 của HĐND huyện Văn Lãng</t>
  </si>
  <si>
    <t>Mở rộng trụ sở UBND xã Thành Hòa</t>
  </si>
  <si>
    <t>Tờ LN1 thửa 373, 374, 375, 391</t>
  </si>
  <si>
    <t>Mở rộng trụ sở UBND xã Nhạc Kỳ</t>
  </si>
  <si>
    <t>Tờ 17 thửa 165, 166, 184, 185, 137, 965, 189, 188, 192, 193,…</t>
  </si>
  <si>
    <t>Xây mới trụ sở Ban Chỉ huy Quân sự xã</t>
  </si>
  <si>
    <t>Tờ 85 thửa 109 (Trùng Quán cũ)</t>
  </si>
  <si>
    <t>Tờ số 46: Thửa 28, 29, 31, 43 (Trong QH 1/500)</t>
  </si>
  <si>
    <t>Tờ 71 thửa 175</t>
  </si>
  <si>
    <t>Thôn Bản Gioòng</t>
  </si>
  <si>
    <t>Tờ 42 thửa 41, 48</t>
  </si>
  <si>
    <t>Tờ 1 LN thửa 357, 345, 337</t>
  </si>
  <si>
    <t>NQ số 62/NQ-HĐND ngày 11/8/2021 của HĐND huyện Văn Lãng</t>
  </si>
  <si>
    <t xml:space="preserve">Tờ số 26: Thửa 245, 246, 317; Tờ LN1 thửa 536 </t>
  </si>
  <si>
    <t>Tờ số 134: Thửa 150</t>
  </si>
  <si>
    <t>Tờ 41 thửa 68</t>
  </si>
  <si>
    <t>Tờ 27 thửa 458. Tờ 34 thửa số 46, 47, 31 (Hoàng Việt cũ)</t>
  </si>
  <si>
    <t>Tờ 19 thửa 45, 64, 63, 33</t>
  </si>
  <si>
    <t>Tờ 86 thửa 155, 143, 137 (Trùng Quán cũ)</t>
  </si>
  <si>
    <t>Tờ 41 thửa 186, 193</t>
  </si>
  <si>
    <t>BĐLN 01: Thửa 178, 182</t>
  </si>
  <si>
    <t>BĐLN 03: Thửa 81, 108, 90</t>
  </si>
  <si>
    <t>Xây dựng nhà làm việc liên ngành tại khu vực Km3+937 đường chuyên dụng vận tải hàng hóa Tân Thanh</t>
  </si>
  <si>
    <t>Ban Quản lý khu kinh tế cửa khẩu Lạng Sơn đăng ký</t>
  </si>
  <si>
    <t>Xây dựng trụ sở làm việc + kho + sân bãi kiểm tra hàng hoá của đội quản lý thị trường</t>
  </si>
  <si>
    <t>Đội QLTT đăng ký</t>
  </si>
  <si>
    <t>Mở rộng trụ sở UBND và nhà công vụ xã Tân Thanh</t>
  </si>
  <si>
    <t>Mở rộng nhà công vụ và làm việc của Chi cục Hải Quan</t>
  </si>
  <si>
    <t>Thôn Bản Thẩu, Nà Lầu</t>
  </si>
  <si>
    <t>Tờ 41 thửa 251. Tờ 54 thửa 47, 41</t>
  </si>
  <si>
    <t>Xây dựng các trụ sở cơ quan khác (Các trụ sở cơ quan theo QH phân khu Trục trung tâm KHTCK Đồng Đăng - Lạng Sơn)</t>
  </si>
  <si>
    <t>Tờ 110, 122</t>
  </si>
  <si>
    <t>Xây dựng trụ sở đội Quản lý thị trường</t>
  </si>
  <si>
    <t>Tờ 23, thửa 89, 90, 91, 92, 94, 95, 135, 136; Tờ LN1 thửa 441, 440</t>
  </si>
  <si>
    <t>XXVI</t>
  </si>
  <si>
    <t>Bãi tập huấn luyện cấp huyện</t>
  </si>
  <si>
    <t xml:space="preserve">Thôn Nà Mạt, Khun Pinh </t>
  </si>
  <si>
    <t>BĐLN 02: Thửa 157, 193, 212, 220, 230, 255, 269,…</t>
  </si>
  <si>
    <t>Bãi tập huấn luyện xã</t>
  </si>
  <si>
    <t>Tờ số 103: Thửa 203, 206, 93, 94, 90 (Trùng Quán cũ)
BĐLN 01: Thửa 624</t>
  </si>
  <si>
    <t>Tờ LN số 1 thửa 367, 392</t>
  </si>
  <si>
    <t>Tờ 1 LN thửa 74, 86, 98</t>
  </si>
  <si>
    <t>BĐLN 03: Thửa 81, 108
Tờ số 70: Thửa 1,2,3,4,5,6, …</t>
  </si>
  <si>
    <t>Đất khuôn viên cây xanh bờ sông Kỳ Cùng, thị trấn Na Sầm</t>
  </si>
  <si>
    <t>XXVIII</t>
  </si>
  <si>
    <t>Đất trồng lúa</t>
  </si>
  <si>
    <t>Chuyển đổi các loại đất khác sang đất trồng lúa</t>
  </si>
  <si>
    <t>Các xã</t>
  </si>
  <si>
    <t>LUA</t>
  </si>
  <si>
    <t>Đất trồng cây hàng năm khác</t>
  </si>
  <si>
    <t>Chuyển đổi các loại đất khác sang đất trồng cây hàng năm khác</t>
  </si>
  <si>
    <t>Giao đất nông nghiệp (BHK) cho hộ gia đình, cá nhân</t>
  </si>
  <si>
    <t>Tờ số 96: Thửa 89; Tờ số 107,108: Thửa 87; Tờ số 108,96: Thửa 63; Tờ số 86: Thửa 86; Tờ số 82: Thửa 153; Tờ số 65: Thửa 46; Tờ số 66: Thửa 34; Tờ số 52: Thửa 219; Tờ số 53: Thửa 103; Tờ số 1031; Thửa 103; Tờ số 107,108: Thửa 31</t>
  </si>
  <si>
    <t>XXIX</t>
  </si>
  <si>
    <t>Đất trồng cây lâu năm</t>
  </si>
  <si>
    <t>Chuyển đổi các loại đất khác sang đất trồng cây lâu năm</t>
  </si>
  <si>
    <t>Các thôn, khu</t>
  </si>
  <si>
    <t>XXX</t>
  </si>
  <si>
    <t>Đất nuôi trồng thủy sản</t>
  </si>
  <si>
    <t>Chuyển đổi các loại đất khác sang đất nuôi trồng thủy sản</t>
  </si>
  <si>
    <t>Tờ 57 thửa 25. Tờ 59 thửa 6. Tờ 90 thửa 38, 39, 40, 34, 35, 36, 37. Tờ 37 thửa 30, 34, 35, 41</t>
  </si>
  <si>
    <t>Thôn Nà Lẹng, Thôn Liên Kết</t>
  </si>
  <si>
    <t>Tờ 86 thửa 76, 79, 80. Tờ 69 thửa 19, 21. Tờ 33 thửa 15</t>
  </si>
  <si>
    <t>Tờ 44 thửa 50. Tờ 31 thửa 295, 313, 314, 315, 317</t>
  </si>
  <si>
    <t>Tờ 43 thửa 1, 7, 8,9, 10, 11, 12,14; Tờ 55 thửa 7, 8; Tờ 66 thửa 29, 30, 31, 33, 34; Tờ 67 thửa 84, 89; Tờ 98 thửa 9, 10,11 ; Tờ 101 thửa 74, 77, 78; Tờ 109 thửa 82, 89, 90</t>
  </si>
  <si>
    <t xml:space="preserve">Tờ 5 thửa 17; tờ 24 thửa 1, 6, 7, 8, 9, 10, 14, 15; Tờ 11 thửa 7, 8, 10, 11, 12, 13, 15, 16, 17, 18, 19, 20 ; tờ 15 thửa 130, 140, 149,150; tờ 37 thửa 194, 195; tờ 53 thửa 1, 2, 17, 18, 19,21, 22, 23; tờ </t>
  </si>
  <si>
    <t>XXXI</t>
  </si>
  <si>
    <t>Đất nông nghiệp khác</t>
  </si>
  <si>
    <t>Tờ LN01, thửa 165,190,185,212</t>
  </si>
  <si>
    <t>Thôn Quyết Tiến, Hợp Nhất</t>
  </si>
  <si>
    <t>Tờ 69 thửa 84, 85, 86, 60, 83, 87, 61, 82; Tờ 78 thửa 86</t>
  </si>
  <si>
    <t>Tờ 1 LN thửa 52</t>
  </si>
  <si>
    <t>Thôn Kéo Van; Liên Kết; Khun Gioong; Nà Lẹng; Bản Quan; Tà Coóc; Nà Chi</t>
  </si>
  <si>
    <t>Tờ 51 Thửa 91, 99 (Tân Lang cũ); Tờ 08 Thửa 13, 14, 18, 19, 23 (Trùng Quán cũ); Tờ 34 Thửa 85, 86 (Trùng Quán cũ); Tờ 58 Thửa 205, 206, 207, 215, 217, 216 (Tân Việt cũ); Tờ 13 Thửa 354, 355, 356 (Tân Việt cũ); Tờ 33 (Tân Lang) thửa 198; Tờ 23 (Trùng Quán) thửa 109; Tờ 24 (Trùng Quán) thửa 57, 117</t>
  </si>
  <si>
    <t>Thôn Liên Kết; Khun Roọc</t>
  </si>
  <si>
    <t>Thôn Liên Kết: Tờ LN 01 thửa 990 tờ 8 thửa 87, 92 Tờ 17 thửa 191, 192 tờ 23 thửa 217, 18, 109 tờ 24 thửa 117, 57, 73, 3, Tờ 33 thửa 198 tờ 34 thửa 262, 211, Tờ 59, thửa 1, 6 tờ 67 thửa 19 tờ 68 thửa 106,79,80, 49, 243, 239, 240, 194 tờ 69 thửa 30, 31, 22, 23, 26, 27, 18, 19, 21; 
Thôn Khun RoọcTờ 24, thửa 221 (Tân Lang cũ); Tờ 24, thửa 73, 57 (Trùng Quán cũ); Tờ 23: Thửa 217, 218 (Trùng Quán cũ); Tờ 08: Thửa 87,92 (Trùng Quán cũ); Tờ 67: Thửa 19; Tờ 59: Thửa 01,06 (Nà Lẹng); Tờ 33: Thửa 198; Tờ 17: Thửa 171,172; Tờ 34: Thửa 262,211</t>
  </si>
  <si>
    <t xml:space="preserve">Tờ LN 02 thửa 475, 452, 451, 491, 564, 527, </t>
  </si>
  <si>
    <t>Thôn Nà Phai, Còn Nọoc, Kéo Phầư</t>
  </si>
  <si>
    <t xml:space="preserve">Tờ LN 01 thửa 523; Tờ 97 thửa 6; Tờ 83 thửa 322; Tờ 73 thửa 10; Tờ 56 thửa 503; </t>
  </si>
  <si>
    <t>Thôn Tiền Phong</t>
  </si>
  <si>
    <t>Tờ 6 thửa 44, 45, 46, .... Tờ 1 LN thửa 21, 28, 42, 43,…</t>
  </si>
  <si>
    <t>Thôn Lũng Thuông</t>
  </si>
  <si>
    <t>BĐLN 02: Thửa 393, 426, 418 (BĐLN Trùng Quán cũ)</t>
  </si>
  <si>
    <t>Tờ 18 thửa 10, 11, 12, 13, 14,…Tờ 19 thửa 8, 9, 10, 11, 12,.... Tờ 1 LN thửa 8, 10, 16, 18, 31, 22, 27,</t>
  </si>
  <si>
    <t>Tờ LN 01 thửa 745; Tờ LN 01 thửa 674; Tờ LN 01 thửa 920</t>
  </si>
  <si>
    <t>Thôn Khuổi Hoi</t>
  </si>
  <si>
    <t>Tờ BĐLN số 2: Thửa 2, 8, 6</t>
  </si>
  <si>
    <t>Tờ 72 tửa 76, 93</t>
  </si>
  <si>
    <t>Tờ LN2 thửa 148, 140, 165, 176, 197, 217, 174,</t>
  </si>
  <si>
    <t>XXXII</t>
  </si>
  <si>
    <t>Đất rừng sản xuất</t>
  </si>
  <si>
    <t>J</t>
  </si>
  <si>
    <t>Chuyển đổi sang đất rừng sản xuất là rừng tự nhiên sang rừng sản xuất là rừng trồng</t>
  </si>
  <si>
    <t>2022-2030</t>
  </si>
  <si>
    <t>Dự án trồng cây dược liệu (Cát sâm, hà thủ ô, sa nhân, ba kích, huyết đằng, muồng)</t>
  </si>
  <si>
    <t>Tờ 46 thửa 44; Tờ LN 01 thửa 783, 766, 753</t>
  </si>
  <si>
    <t>Dự án khu đô thị, sinh thái Thủy Vân Sơn (Quy mô 408,93 ha)</t>
  </si>
  <si>
    <t>Tờ 28, 29, 37, 38, 43, 44, 45; Tờ LN 1</t>
  </si>
  <si>
    <t>Tờ 27, 28, 34, 35, 36, 37, 42; Tờ LN 1</t>
  </si>
  <si>
    <t>Thôn Nà Mần, Bản Gioòng</t>
  </si>
  <si>
    <t>Thôn Công Lý, Tiên Phong, Trung Thành</t>
  </si>
  <si>
    <t>Thôn Hợp Nhất, Tà Lài</t>
  </si>
  <si>
    <t xml:space="preserve">Thôn Tà Lài, Nà Lẹng </t>
  </si>
  <si>
    <t>Thôn Còn Ngòa</t>
  </si>
  <si>
    <t>Thôn Tà Coóc, Khun Roọc</t>
  </si>
  <si>
    <t>Thôn Thống Nhất: Tờ 1 LN thửa 229; Thôn Tiên Phong: Tờ 42 thửa 72; Thôn Công Lý tờ LN1 thửa 1224, 1220</t>
  </si>
  <si>
    <t>Thôn Nà Lẹng, Tà Lài</t>
  </si>
  <si>
    <t>Tờ 26 thửa 47, 48, 49, 50,… Tờ 1 LN thửa 453</t>
  </si>
  <si>
    <t>UBND thị trấn đăng ký</t>
  </si>
  <si>
    <t>Tờ 26 thửa 22; BĐLN 01:Thửa 290, 273, Tờ 30: Thửa 184; Tờ số 42: Thửa 545 (Nam La cũ); Tờ số 101: Thửa 142; Tờ số 27: Thửa 243 (Nam La cũ); Tờ số 46: Thửa 11; Tờ LN02 thửa 469, 450</t>
  </si>
  <si>
    <t>Thôn Đồng Tân</t>
  </si>
  <si>
    <t>Tờ 26 thửa 62 (An Hùng cũ)</t>
  </si>
  <si>
    <t>Xây mới nhà văn hóa thôn Đồng Tân</t>
  </si>
  <si>
    <t>Mở rộng nhà văn hóa thôn Lùng Đúc</t>
  </si>
  <si>
    <t>Tờ 01 LN thửa 502</t>
  </si>
  <si>
    <t>Tờ 33 thửa 276, 275, 304; Tờ 55 thửa 241; Tờ 67 thửa 482; Tờ 64 thửa 179; Tờ 1 LN thửa 613; Tờ 24 thửa 67, 68; Tờ 18 thửa 348, 349; Tờ 47 thửa 974, 975</t>
  </si>
  <si>
    <t>Tờ 38 thửa 78, 79, 80, 81, 124, 125, 126, 127; Tờ 1 LN thửa 563, 572, 561</t>
  </si>
  <si>
    <t xml:space="preserve">Bản Miằng </t>
  </si>
  <si>
    <t>Cấy MBA giảm bán kính cấp điện cho TBA Lũng Vài</t>
  </si>
  <si>
    <t>Thôn Na Hình, Pác Cáy</t>
  </si>
  <si>
    <t>Chuyển tiếp từ QHSDĐ 2030</t>
  </si>
  <si>
    <t>Chuyển tiếp từ QHSDĐ 2030 (Thôn Pá Chí; Đon Chang;  Đâng Van; Pàn Phước; Nà Phân;  Nà Vạc; Nà Liền; Khau Slung); Đăng ký mới (Thôn Bản Cáu; Còn Bó; Bản Ánh)</t>
  </si>
  <si>
    <t>Chuyển tiếp từ QHSDĐ 2030 (Khu I, II; Thôn Bản Thẩu; Thôn Nà Han). Đăng ký mới (Thôn Nà Ngườm)</t>
  </si>
  <si>
    <t>Chuyển tiếp từ QHSDĐ 2030 (Thôn Co Tào; Thôn Bình Độ; Thôn Cốc Lào); Đăng ký mới (Thôn Khuổi Toọc; Thôn Bản Miằng; Thôn Hòa Lạc; Thôn Háng Vang)</t>
  </si>
  <si>
    <t>Chuyển tiếp từ QHSDĐ 2030 (Thôn Liên Kết; Nà Lẹng; Tà Coóc; Vạn Xuân; Liên Hợp; Kéo Van;  Bản Làng; Khun Rọoc); Đăng ký mới (Thôn Bản Quan)</t>
  </si>
  <si>
    <t>Chuyển tiếp từ QHSDĐ 2030 (thôn  Bản Cáp). Đăng ký mới (Quảng Sơn, Bình Lập, Cương Quyết)</t>
  </si>
  <si>
    <t>Chuyển tiếp từ QHSDĐ 2030 (17,08 ha), đăng ký mới 105,24 ha</t>
  </si>
  <si>
    <t>Chuyển tiếp từ QHSDĐ 2030 (57,32 ha), đăng ký mới (46,37 ha)</t>
  </si>
  <si>
    <t>Chuyển tiếp từ QHSDĐ 2030 (1.078,71 ha); Đăng ký mới (233,61 ha)</t>
  </si>
  <si>
    <t>Chuyển tiếp từ QHSDĐ 2030 (Thôn Kéo Van; Khun Gioong; Nà Lẹng; Liên Kết; Bản Quan)
Đăng ký mơi thôn Tà Coóc; Nà Chi)</t>
  </si>
  <si>
    <t>Chuyển tiếp từ QHSDĐ 2030 (0,41 ha); Đăng ký mới (3,08 ha)</t>
  </si>
  <si>
    <t>Tờ 34 thửa 4, 5, 6, 7, 8, 9; Tờ 38 thửa 8, 9, 10, 23, 24, 25; Tờ 52 thửa 387, 403, 404, 434, 430, 431, 432, 433, 448, 449</t>
  </si>
  <si>
    <t xml:space="preserve">Tờ 18 thửa 368, 363, 364, 403 </t>
  </si>
  <si>
    <t>Tờ 60 thửa 43, 44, 39, 34, 35, 36, 26, 28, 29, 13, 1-10; Tờ 122 thửa 76, 77</t>
  </si>
  <si>
    <t>Thôn Bản Thầu</t>
  </si>
  <si>
    <t>Thôn Nà Tềnh</t>
  </si>
  <si>
    <t>Thôn Nà Tồng, Nà Han</t>
  </si>
  <si>
    <t>Thôn Nặm Hét, Tác Chiến, Bình Độ</t>
  </si>
  <si>
    <t>Thôn Bản Cáu</t>
  </si>
  <si>
    <t>Tờ 40 thửa 285</t>
  </si>
  <si>
    <t>Tờ 35, 36, 47, 48, 49, Tờ LN1 (Tân Việt cũ)</t>
  </si>
  <si>
    <t>Xã Tân Thanh (Tờ LN1); xã Thanh Long (Tờ LN1)</t>
  </si>
  <si>
    <t>Tờ LN 1 (Nam La)</t>
  </si>
  <si>
    <t>Tờ 37 thửa 200, 215, 169, 134</t>
  </si>
  <si>
    <t>Tờ 25 (TT. Na Sầm)</t>
  </si>
  <si>
    <t>Xã Trùng Khánh (Tờ LN2); xã Thụy Hùng (Tờ LN2); xã Thanh Long (Tờ LN2); xã Tân Thanh (Tờ LN1); xã Tân Mỹ (Tờ LN1, 2)</t>
  </si>
  <si>
    <t>Xã Bắc Việt (Tân Lang cũ: Tờ LN 1); Xã Thành Hòa (Tờ LN 1)</t>
  </si>
  <si>
    <t>Tờ 25, 26, 34, 43, 44 (Tân Lang cũ)</t>
  </si>
  <si>
    <t>Tờ 99, 100, 101; Tờ LN 1, 2</t>
  </si>
  <si>
    <t>2023-2025: 4,00 ha; 2026-2030: 4,93 ha</t>
  </si>
  <si>
    <t xml:space="preserve"> 2023-2025</t>
  </si>
  <si>
    <t>2023-2025: 3,00 ha; 2026-2030: 3,00 ha</t>
  </si>
  <si>
    <t>2023-2025: 0,10 ha;
2026-2030: 0,07 ha</t>
  </si>
  <si>
    <t>2023-2025: 15,00 ha;
2026-2030: 7,50 ha</t>
  </si>
  <si>
    <t>2023-2025: 0,47 ha;
2026-2030: 0,60 ha</t>
  </si>
  <si>
    <t>2023-2025: 0,68 ha;
2026-2030: 0,60 ha</t>
  </si>
  <si>
    <t>2023-2025: 0,13 ha;
2026-2030: 0,16 ha</t>
  </si>
  <si>
    <t>2023-2025: 0,13 ha;
2026-2030: 0,10 ha</t>
  </si>
  <si>
    <t>Các xã Tân Mỹ, Tân Thanh, Hoàng Việt và TT Na Sầm</t>
  </si>
  <si>
    <t>Quyết định số 2529/QĐ-TTg ngày 21/12/2015</t>
  </si>
  <si>
    <t>Quyết định số 4638/QĐ-BNN-HTQT ngày 9/11/2015</t>
  </si>
  <si>
    <t>Chuyển tiếp từ QHSDĐ 2030 (Vạn Xuân), đăng ký mới (Kéo Van)</t>
  </si>
  <si>
    <t xml:space="preserve">Chuyển tiếp từ QHSDĐ 2030 (Nà Tồng); đăng ký mới (Pò Hà, Manh Dưới, Manh Trên, Bản Pẻn, Bản Cháu, Pá Tặp)  </t>
  </si>
  <si>
    <t>Chuyển tiếp từ QHSDĐ 2030 (Bản Bẻng, Hòa Lạc); đăng ký mới (Khuổi Toọc, Bản Kìa)</t>
  </si>
  <si>
    <t>XXXX</t>
  </si>
  <si>
    <t>Giao đất cho các hộ gia đình cá nhân</t>
  </si>
  <si>
    <t>Giao các thửa đất nhỏ lẻ, xen kẹt cho các hộ gia đình cá nhân để sử dụng vào mục đích nông nghiệp, phi nông nghiệp</t>
  </si>
  <si>
    <t>2023 - 2030</t>
  </si>
  <si>
    <t>Đường vào khai thác quặng khu mỏ Ma Mèo, xã Tân Mỹ, huyện Văn Lãng</t>
  </si>
  <si>
    <t>Chủ đầu tư đăng ký</t>
  </si>
  <si>
    <t>2023 - 2025</t>
  </si>
  <si>
    <t>Chuyển tiếp từ QHSDD2030</t>
  </si>
  <si>
    <t xml:space="preserve">Địa điểm </t>
  </si>
  <si>
    <t>Thị trấn Na Sầm (thuộc địa giới hành chính xã Hoàng Việt)</t>
  </si>
  <si>
    <t>Dự án bến xe hàng hóa, kho bãi, địa điểm tập kết, kiểm tra, giám sát hàng hóa xuất khẩu, tập trung Đạt Phát và dự án mở rộng kho ngoại quan Đạt Phát Cty CP sản xuất và XNK Đạt Phát</t>
  </si>
  <si>
    <t>Tà Cooc: Tờ 34 thửa 180, 181, 182. Tờ 37 Thửa 43. Khun Rọc: Tờ 23 thửa 21, 23,166 (Tân Lang cũ); Tờ 24 thửa 214, 221 (Tân Lang cũ); Tờ 23 thửa 02, LN01 thửa 337 (Tân Lang cũ)</t>
  </si>
  <si>
    <t>Tờ LN 1 thửa 658, 691, 692, 678, 657,  268, 291, 283. Tờ 101 thửa 81;</t>
  </si>
  <si>
    <t>Thôn Thuận Lợi, Nà Phiêng</t>
  </si>
  <si>
    <t>Xã Hội Hoan, Thành Hòa, Bắc Việt</t>
  </si>
  <si>
    <t>Xây mới nhà văn hóa xã Thanh Long (Thư viện xã )</t>
  </si>
  <si>
    <t>Xây mới sân thể thao trung tâm xã Tân Tác</t>
  </si>
  <si>
    <t>BĐLN 02: Thửa 816, 800, 790, 801 (Trùng Quán cũ)</t>
  </si>
  <si>
    <t>Tờ số 87: Thửa 70,81,82,80,84,83,….
Tờ LN số 3: Thửa 151, 179</t>
  </si>
  <si>
    <t>Thị trấn Na Sầm, xã Bắc Hùng</t>
  </si>
  <si>
    <t>Tờ 28, 29, 35, 36 (Hoàng Việt cũ)</t>
  </si>
  <si>
    <t>Tờ 7 thửa 20, 21, 23, 79, 83, … (Hoàng Việt cũ)</t>
  </si>
  <si>
    <t>Tờ LN1: Tờ 41</t>
  </si>
  <si>
    <t>Tờ LN1; Tờ 46, 47, 53</t>
  </si>
  <si>
    <t>Dự án khai thác mỏ cát, sỏi xã Bắc Hùng, Bắc Việt (Quy mô 116 ha)</t>
  </si>
  <si>
    <t>LN02 thửa 97,100,108,109,110 (Trùng Quán cũ)</t>
  </si>
  <si>
    <t>Diện tích tăng thêm (ha)</t>
  </si>
  <si>
    <t>Mã</t>
  </si>
  <si>
    <t>Tờ bản đồ 28 thửa 129, 148, 147 (Nam La cũ); Tờ 27 thửa 151, 240 (Nam La cũ); Tờ 140 thửa 43, 45, 56, 57, 58, 59, 60, 61, 39. Tờ 141 thửa 27, 35, 36 (xã Hội Hoan cũ); Thửa 204, 205, 226 BĐĐC số 16; Thửa 59, 60, 61, 62, 63, 65 BĐĐC số 38; Thửa 369 BĐLN số 2; Thửa 211, 223, 224, 225 BĐĐC số 133</t>
  </si>
  <si>
    <t>Thôn Nà Pục; Khuổi Hoi; Nặm Slù; Hát Lốc; Nà Sòm; Và Quang; Tân Lập</t>
  </si>
  <si>
    <t>Diện tích quy hoạch (ha)</t>
  </si>
  <si>
    <t>Diện tích hiện trạng (ha)</t>
  </si>
  <si>
    <t>Thôn Nà Mò, Cốc Nam, Quyết Tiến, Hợp Nhất</t>
  </si>
  <si>
    <t>Tờ 93 thửa 46; Tờ 121 thửa 241; Tờ 89 thửa 246; Tờ 60 thửa 208, 237, 209, 234, 210</t>
  </si>
  <si>
    <t>Thôn Lương Thác, Pá Đa</t>
  </si>
  <si>
    <t>Tờ 61 thửa 53, 54, 55, 56, 66, 67; Tờ 54 thửa 54, 147</t>
  </si>
  <si>
    <t>Xây dựng trang trại chăn nuôi</t>
  </si>
  <si>
    <t>Công văn số 2427 /SGTVT-KHTC ngày 10/8/2022 V/v đăng ký nhu cầu sử dụng đất để lập điều chỉnh Quy hoạch sử dụng đất cấp huyện thời kỳ 2021 -2030 và kế hoạch sử dụng đất năm 2022 của điều chỉnh quy hoạch sử dụng đất huyện Văn Lãng</t>
  </si>
  <si>
    <t>Tờ số 54: Thửa 103; Tờ số 55: Thửa 101</t>
  </si>
  <si>
    <t>Tờ số 54: Thửa 37; Lô đất đường ngang số 2 - một phần lô K5-CC102 xã Tân Thanh; Lô đất đường ngang số 3 - một phần lô K5-CC103 xã Tân Thanh</t>
  </si>
  <si>
    <t>Thông báo số 255/TB-STNMT ngày 21/10/2022 của Sở TN&amp;MT tỉnh Lạng Sơn</t>
  </si>
  <si>
    <t>Thôn Pá Chí; Đon Chang; Đâng Van; Pàn Phước; Nà Phân; Nà Vạc; Nà Liền; Khau Slung; Bản Cáu; Còn Bó; Bản Ánh</t>
  </si>
  <si>
    <t>Tờ 31 thửa 81, 82; Tờ 55 thửa 145; Tờ 75; Tờ 92 thửa 67; Tờ 91 thửa 68; Tờ 120 thửa 811; Tờ 84 thửa 23; Tờ 109 thửa 418; Tờ 68 thửa 472; Tờ 56 thửa 96; Tờ 23 thửa 41</t>
  </si>
  <si>
    <t>Các xã Thanh Long, Thụy Hùng, Trùng Khánh, Tân Thanh, Tân Mỹ</t>
  </si>
  <si>
    <t>Đánh giá</t>
  </si>
  <si>
    <t>Đang thực hiện</t>
  </si>
  <si>
    <t>Chưa thực hiện</t>
  </si>
  <si>
    <t>Tăng diện tích lên 0,60 ha</t>
  </si>
  <si>
    <t>Cập nhật lại căn cứ pháp lý, điều chỉnh chủ trương đầu tư. Giảm diện tích còn 42,27 ha. Cập nhật lại bản đồ</t>
  </si>
  <si>
    <t>OK</t>
  </si>
  <si>
    <t>Giảm diện tích. Cập nhật theo trích đo</t>
  </si>
  <si>
    <t>k có</t>
  </si>
  <si>
    <t>Bản chúc lệch so với qh lấy lại loại đất lấy vào</t>
  </si>
  <si>
    <t>Sửa số tờ số thửa</t>
  </si>
  <si>
    <t>Cập nhật lại trích đo</t>
  </si>
  <si>
    <t>BĐLN 02 thửa 381, 392; Tờ 69 thửa 419; Tờ 76 thửa 24,183; BĐLN 02 thửa 1042; tờ 137 thửa 73</t>
  </si>
  <si>
    <t>Thư viện huyện</t>
  </si>
  <si>
    <t>sửa lại vị trí, diện tích</t>
  </si>
  <si>
    <t>Tờ 17 thửa 106, 136. Tờ 18 thửa 107</t>
  </si>
  <si>
    <t>Chuyển về vị trí UBND thị trấn cũ. Giảm diện tích</t>
  </si>
  <si>
    <t>Lệch vị trí, cập nhật theo trích đo. Tăng diện tích</t>
  </si>
  <si>
    <t>Tăng diện tích lên 0,16 ha</t>
  </si>
  <si>
    <t>Cập nhật loại đất lấy vào theo trích đo</t>
  </si>
  <si>
    <t>Đã thực hiện 0,02 ha đất ở</t>
  </si>
  <si>
    <t>Điều chỉnh vị trí theo qh chi tiết trung tâm xã. Giảm diện tích</t>
  </si>
  <si>
    <t>Điều chỉnh tên, giảm diện tích</t>
  </si>
  <si>
    <t>Giảm diện tích 0,50 ha. Cập nhật lại bản đồ</t>
  </si>
  <si>
    <t>ok</t>
  </si>
  <si>
    <t>Bỏ sân thể thao lùng đúc, Pác Pó, Lũng Mười, Bà Danh. Sân thể thao pác sàn vẽ lại</t>
  </si>
  <si>
    <t>điều chỉnh vị trí. Giảm diện tích</t>
  </si>
  <si>
    <t>Tờ 60: Thửa 208,209,259,210</t>
  </si>
  <si>
    <t>Bỏ sân thể thao Khun Lùng (Quyết Tiến)</t>
  </si>
  <si>
    <t>Tờ 61 thửa 80, 81, 82, 83, 61, 62, 63, 78, 44; Tờ 60 thửa 128, 153, 160, 156; LN 2 thửa 19</t>
  </si>
  <si>
    <t>bsung số thửa</t>
  </si>
  <si>
    <t>Giảm còn 15 ha</t>
  </si>
  <si>
    <t>Điều chỉnh tăng diện tích</t>
  </si>
  <si>
    <t>chưa thực hiện</t>
  </si>
  <si>
    <t>Đã xây dựng chưa làm thủ tục thu hồi</t>
  </si>
  <si>
    <t>Khu tái định cư phục vụ Dự án tuyến cao tốc cửa khẩu Hữu nghị - Chi Lăng theo hình thức BOT (Khu dân cư nông thôn mới Cốc Nam, Khu dân cư nông thôn mới Nà Lẹng) tách 2 danh mục</t>
  </si>
  <si>
    <t>Bsung khu trung tâm bắc việt</t>
  </si>
  <si>
    <t>Điều chỉnh giảm diện tích, điều chỉnh tên</t>
  </si>
  <si>
    <t>Dự án đường tuần tra biên giới tỉnh Lạng Sơn/QK I (giai đoạn 2021-2025)</t>
  </si>
  <si>
    <t>Điều chỉnh tăng diện tích, loại đất lấy vào</t>
  </si>
  <si>
    <t>Giảm diện tích còn 0,1 ha</t>
  </si>
  <si>
    <t>điều chỉnh lại loại đất lấy vào, cập nhật trích đo</t>
  </si>
  <si>
    <t>Điều chỉnh loại đất lấy vào</t>
  </si>
  <si>
    <t>Thôn Bản Nhùng, Nà Danh</t>
  </si>
  <si>
    <t>Bãi đổ thải khu tái định cư Hoàng Việt</t>
  </si>
  <si>
    <t>Bsung mới</t>
  </si>
  <si>
    <t>Tờ 26 thửa 93, 94, 96, 108, 109, 111, 112, 113, 114, 116, 118, 121, 123, 124, 126, 128, 130, 131, 133, 134, 140, 141, 142, 144</t>
  </si>
  <si>
    <t>Khu tái định cư phục vụ Dự án Đầu tư xây dựng tuyến cao tốc Đồng Đăng (tỉnh Lạng Sơn) - Trà Lĩnh (tỉnh Cao Bằng) theo hình thức đối tác công tư (PPP) (Khu dân cư nông thôn mới Nà Phai, xã Hoàng Việt)</t>
  </si>
  <si>
    <t>Khu tái định cư phục vụ Dự án tuyến cao tốc cửa khẩu Hữu nghị - Chi Lăng theo hình thức BOT (Khu dân cư nông thôn mới Nà Lẹng)</t>
  </si>
  <si>
    <t>Tờ 11 thửa 112, 113, 114,....Tờ 17 thửa 129, 130, 131, 132,...</t>
  </si>
  <si>
    <t>Khu tái định cư phục vụ Dự án tuyến cao tốc cửa khẩu Hữu nghị - Chi Lăng theo hình thức BOT (Khu dân cư nông thôn mới Cốc Nam)</t>
  </si>
  <si>
    <t>Xử lý điểm mất an toàn giao thông tại Km23+600 - Km24+00, Quốc lộ 4A</t>
  </si>
  <si>
    <t>Văn bản số 7646/BGTVT-KCHT ngày 14/7/2023 của Bộ GTVT về chấp thuận danh mục công trình chuẩn bị đầu tư cho kế hoạch bảo trì hệ thống quốc lộ năm 2024;
Quyết định số 2769/QĐ-CĐBVN ngày 09/8/2023 của Cục Đường bộ Việt Nam vv cho phép chuẩn bị đầu tư công trình sửa chữa cho Kế hoạch bảo trì năm 2024</t>
  </si>
  <si>
    <t>Tờ 36, 48 (Tân Việt cũ)</t>
  </si>
  <si>
    <t>Tờ 74, 88 (Trùng Quán cũ)</t>
  </si>
  <si>
    <t>Xử lý vị trí mất ATGT tại Km16+300-Km16+700 và đoạn Km32+00-Km32+500, QL. 4A</t>
  </si>
  <si>
    <t>Xây dựng Cửa khẩu thông minh tại đường chuyên dụng vận chuyển hàng hóa khu vực mốc 1088/2-1089 thuộc cặp cửa khẩu quốc tế Hữu Nghị (Việt Nam) - Hữu Nghị Quan (Trung Quốc)</t>
  </si>
  <si>
    <t>Thôn Nà Ngườm, Bản Thẩu, Nà Tồng, Nà Han</t>
  </si>
  <si>
    <t>Tờ 41, 34, 35, 36, 27, 28, 29, 38, 45, 51</t>
  </si>
  <si>
    <t>khu cửa khẩu tân thanh</t>
  </si>
  <si>
    <t>Thôn Bản Chúc; Lương Thác (Nhạc Kỳ) và thôn Bản Nhùng; Lùng Đúc; Pác Sàng; Pác Bó; Nà Tao (Hồng Thái)</t>
  </si>
  <si>
    <t>Tờ TĐĐC số  
 01 -2023 đến Tờ TĐĐC số  
 16 -2023</t>
  </si>
  <si>
    <t>Quyết định số 1600/QĐ-UBND ngày 10/10/2011 của UBND tỉnh Lạng Sơn phê duyệt dự án đầu tư xây dựng công trình Hệ thống trạm bơm điện Bản Chúc, huyện Văn Lãng, Văn Quan; Quyết định số 736a/QĐ-UBND ngày 26/4/2022 của UBND tỉnh Lạng Sơn về việc phê duyệt điều chỉnh báo cáo nghiên cứu khả thi dự án Hệ thống trạm bơm điện Bản Chúc, huyện Văn Lãng, Văn Quan, tỉnh Lạng Sơn</t>
  </si>
  <si>
    <t>Nhạc kỳ 1,15</t>
  </si>
  <si>
    <t>tờ 46 thửa 83, 84, 85, 86, 119, 120, 121, 122, 123, 125, 126 (Tân Lang)</t>
  </si>
  <si>
    <t>Tờ 45 thửa 20, 21, 22, 23, 24, 25, ..., 37, 38, 39, ...(Hoàng Việt cũ)</t>
  </si>
  <si>
    <t>Khu 6</t>
  </si>
  <si>
    <t>Tờ 1 LN thửa 491, 512, 521, 514, 507; Tờ 2 LN thửa 675, 632, 662, 612,...; Tờ 95 thửa 71, 72, 80, ...</t>
  </si>
  <si>
    <t>Tiểu dự án 03: Xây dựng mới
 cầu Na Sầm, huyện Văn Lãng</t>
  </si>
  <si>
    <t>Dự án nâng cao năng lực thích ứng biến đổi khí hậu cho hạ tầng, cải thiện môi trường phục vụ phát triển kinh tế - xã hội tỉnh Lạng Sơn sử dụng nguồn vốn ODA của Cơ quan phát triển Pháp (AFD)</t>
  </si>
  <si>
    <t>Khu 9</t>
  </si>
  <si>
    <t>Bãi số 1</t>
  </si>
  <si>
    <t>Bãi số 2</t>
  </si>
  <si>
    <t>Bãi số 3</t>
  </si>
  <si>
    <t>Bãi số 4</t>
  </si>
  <si>
    <t>Bãi số 5</t>
  </si>
  <si>
    <t>Bãi số 6</t>
  </si>
  <si>
    <t>Nà Lẹng, Tân Mỹ</t>
  </si>
  <si>
    <t>Cốc Hắt, xã Hoàng Việt</t>
  </si>
  <si>
    <t>Bản Làng, Bắc Việt</t>
  </si>
  <si>
    <t>xã Hoàng Việt</t>
  </si>
  <si>
    <t>Nà Phai, Hoàng Việt</t>
  </si>
  <si>
    <t>Tà Co óc, Bắc Việt</t>
  </si>
  <si>
    <t>Liên Kết, Bắc Việt</t>
  </si>
  <si>
    <t>Bản Quan, Bắc Việt</t>
  </si>
  <si>
    <t>Thôn Cốc Hắt</t>
  </si>
  <si>
    <t>Thôn Liên Kết</t>
  </si>
  <si>
    <t>Xã Tân Mỹ, Hoàng Việt, Bắc Việt</t>
  </si>
  <si>
    <t>Thôn Khuân Liền</t>
  </si>
  <si>
    <t>Thôn Nà Lẹng, Khuân Liền (Tân Mỹ); Thôn Cốc Hắt, Pò Pheo (Hoàng Việt); Thôn Bản Làng, Tà Coóc, Liên Kết, Bản Quan (Bắc Việt)</t>
  </si>
  <si>
    <t>tờ BD 109 thửa 24, 25, 27, 44, 45, 46, 51, 52, 53, 54, 55; tờ BĐLN 02 thửa 772</t>
  </si>
  <si>
    <t>Tở BĐ ĐC số 1 thửa 12; BĐ ĐC số 4 thửa đất số 4; BĐ ĐC số 5 thửa 1, 4, 9, 10, 13; BĐLN 01 Tân Lang thửa 8, 15, 19, 35</t>
  </si>
  <si>
    <t>Tờ số 38 thửa 28, 40, 42, 43, 44, 47, 48, 81, 82, 83, 85, 95; tờ BĐLN số 01 thửa đất số 719, 745</t>
  </si>
  <si>
    <t>Tờ 136 thửa số 130-131,138-139,141,145-149,152-156,164-168; Tờ LN 02 thửa 1818</t>
  </si>
  <si>
    <t>Văn bản số 854/UBND-KT ngày 06/07/2023 của UBND tỉnh Lạng Sơn</t>
  </si>
  <si>
    <t>Văn bản số 801/UBND-KT ngày 27/06/2023 của UBND tỉnh Lạng Sơn</t>
  </si>
  <si>
    <t>Bãi đổ thải vật liệu xây dựng thi công dự án: Đầu tư xây dựng tuyến Cao tốc Đồng Đăng (tỉnh Lạng Sơn) - Trà Lĩnh (tỉnh Cao Bằng) theo hình thức đối tác công tư (PPP) trên dịa bàn huyện Văn Lãng</t>
  </si>
  <si>
    <t>Bãi đổ thải vật liệu xây dựng thi công dự án: Đầu tư xây dựng tuyến Cao tốc Cửa khẩu Hữu Nghị - Chi Lăng theo hình thức BOT trên địa bàn huyện Văn Lãng</t>
  </si>
  <si>
    <t>Thôn Nà Dởm, xã Tân Mỹ</t>
  </si>
  <si>
    <t>Thôn Nà Dởm</t>
  </si>
  <si>
    <t xml:space="preserve">Quyết định số 2014/QĐ-UBND ngày 04/12/2023 của UBND tỉnh về việc phê duyệt Dự án tuyến cao tốc cửa khẩu Hữu Nghị - Chi Lăng theo hình thức BOT; Thông báo số 48/TB-UBND ngày 29/01/2024 của UBND tỉnh Lạng Sơn </t>
  </si>
  <si>
    <t>Khu tái định cư phục vụ Dự án Đầu tư xây dựng tuyến cao tốc Đồng Đăng (tỉnh Lạng Sơn) - Trà Lĩnh (tỉnh Cao Bằng) theo hình thức đối tác công tư (PPP) (Khu dân cư trung tâm xã Bắc Việt, xã Bắc Việt)</t>
  </si>
  <si>
    <t xml:space="preserve">Quyết định số 20/QĐ-TTg ngày 16/01/2023 của Thủ tướng Chính phủ về điều chỉnh chủ trương đầu tư dự án đầu tư xây dựng tuyến cao tốc Đồng Đăng (tỉnh Lạng Sơn) - Trà Lĩnh (tỉnh Cao Bằng) theo hình thức đối tác công tư (PPP); Thông báo số 48/TB-UBND ngày 29/01/2024 của UBND tỉnh Lạng Sơn </t>
  </si>
  <si>
    <t>Dự án Đầu tư xây dựng tuyến cao tốc Đồng Đăng (tỉnh Lạng Sơn) - Trà Lĩnh (tỉnh Cao Bằng) theo hình thức đối tác công tư (PPP)</t>
  </si>
  <si>
    <t>Tờ 95, 96, 104 (Trùng Quán cũ)</t>
  </si>
  <si>
    <t>Xây mới trường MN xã Gia Miễn: Điểm trường chính thôn Bản Cáp</t>
  </si>
  <si>
    <t>Mở rộng trường TH&amp;THCS xã Bắc Việt</t>
  </si>
  <si>
    <t>Mở rộng Trường PTDTBT THCS
Nam La, xã Hội Hoan</t>
  </si>
  <si>
    <t>Mở rộng trường THCS xã Hoàng Việt</t>
  </si>
  <si>
    <t>Mở rộng trường PTDTBT TH xã
Bắc La</t>
  </si>
  <si>
    <t>Mở rộng trường PTDTBT TH
Nam La</t>
  </si>
  <si>
    <t>BĐĐC số 50, thửa đất số 241, 242,
243, 271</t>
  </si>
  <si>
    <t>Thôn Nà Mạt</t>
  </si>
  <si>
    <t>Tờ số 01; thửa 804</t>
  </si>
  <si>
    <t>Tờ BĐĐC số 21,
thửa 67</t>
  </si>
  <si>
    <t>Tờ bản đồ số 44, thửa 193,216</t>
  </si>
  <si>
    <t>Tờ bản đồ số 03, thửa 155</t>
  </si>
  <si>
    <t>Tờ bản đồ số 16, thửa số 183, 199,
210</t>
  </si>
  <si>
    <t>Đường Hội Hoan (huyện Văn Lãng) - Hồng Thái (huyện Bình Gia)</t>
  </si>
  <si>
    <t>Giảm diện tích</t>
  </si>
  <si>
    <t>Trụ sở làm việc lực lượng Công an đảm bảo ANTT, PCCC và CNCH tại Khu kinh tế cửa khẩu Tân Thanh</t>
  </si>
  <si>
    <t>Trụ sở làm việc lực lượng Công an đảm bảo ANTT, PCCC và CNCH tại Cụm
 Công nghiệp Văn Lãng 1, 2, 3</t>
  </si>
  <si>
    <t>Chưa có vị trí</t>
  </si>
  <si>
    <t>Thôn Tác Chiến</t>
  </si>
  <si>
    <t>BĐLN 1 thửa 259 (Hoàng Việt)</t>
  </si>
  <si>
    <t>Chuyển tiếp ĐCQHSDĐ 2021-2030</t>
  </si>
  <si>
    <t>Trung tâm phát triển quỹ đất đăng ký</t>
  </si>
  <si>
    <t>Thôn Pò Cại; Cốc Nam; Khun Đẩy; Nà Dẩn; Pò Chài; Nà Mò; Bản Chang; Khơ Đa; Tà Lài; Nà Lẹng; Nà Kéo Mới; Thống Nhất; Hợp Nhất</t>
  </si>
  <si>
    <t>Thôn Pác Sàng, Bản Nhùng, Lậu Cáy, Nà Danh</t>
  </si>
  <si>
    <t>Thôn Khuổi Toọc; Co Tào; Bình Độ; Hòa Lạc; Cốc Lào; Háng Van</t>
  </si>
  <si>
    <t xml:space="preserve">Thôn Còn Luông; </t>
  </si>
  <si>
    <t>;Tờ 18 thửa 490, 491</t>
  </si>
  <si>
    <t>Thôn Nà Éc; Thôn Lương Thác; Thôn Pá Đa; Thôn Khun Phung</t>
  </si>
  <si>
    <t>Tờ 8 thửa 240; Tờ 51 thửa 117, 129; Tờ 54 thửa 55; Tờ 22 thửa 199</t>
  </si>
  <si>
    <t>Thôn Long Tiến, Nà Phiêng, Cốc Mặn, Nà Lùng, Bó Chầu, Thuận Lợi, Nà Pàn</t>
  </si>
  <si>
    <t>Phụ biểu 01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</si>
</sst>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 numFmtId="166" formatCode="0.00;[Red]0.00"/>
    <numFmt numFmtId="167" formatCode="#,##0.000"/>
    <numFmt numFmtId="168" formatCode="0.0"/>
    <numFmt numFmtId="169" formatCode="_(* #,##0.000_);_(* \(#,##0.000\);_(* &quot;-&quot;??_);_(@_)"/>
    <numFmt numFmtId="170" formatCode="#,##0.0"/>
    <numFmt numFmtId="171" formatCode="0_);[Red]\(0\)"/>
    <numFmt numFmtId="172" formatCode="_(* #,##0.00_);_(* \(#,##0.00\);_(* &quot;-&quot;_);_(@_)"/>
    <numFmt numFmtId="173" formatCode="_(* #,##0.000_);_(* \(#,##0.000\);_(* &quot;-&quot;_);_(@_)"/>
    <numFmt numFmtId="174" formatCode="_-* #,##0.00\ _₫_-;\-* #,##0.00\ _₫_-;_-* &quot;-&quot;\ _₫_-;_-@_-"/>
    <numFmt numFmtId="175" formatCode="_(* #,##0.000_);_(* \(#,##0.000\);_(* &quot;-&quot;???_);_(@_)"/>
  </numFmts>
  <fonts count="49">
    <font>
      <sz val="11"/>
      <color theme="1"/>
      <name val="Calibri"/>
      <family val="2"/>
    </font>
    <font>
      <sz val="11"/>
      <color indexed="8"/>
      <name val="Times New Roman"/>
      <family val="2"/>
    </font>
    <font>
      <sz val="12"/>
      <name val=".VnTime"/>
      <family val="2"/>
    </font>
    <font>
      <sz val="10"/>
      <name val="Arial"/>
      <family val="2"/>
    </font>
    <font>
      <sz val="11"/>
      <color indexed="8"/>
      <name val="Calibri"/>
      <family val="2"/>
    </font>
    <font>
      <sz val="12"/>
      <name val=".VnArial"/>
      <family val="2"/>
    </font>
    <font>
      <sz val="12"/>
      <name val="Times New Roman"/>
      <family val="1"/>
    </font>
    <font>
      <sz val="14"/>
      <name val=".VnTime"/>
      <family val="2"/>
    </font>
    <font>
      <sz val="13"/>
      <name val=".VnTime"/>
      <family val="2"/>
    </font>
    <font>
      <b/>
      <sz val="12"/>
      <name val="Times New Roman"/>
      <family val="1"/>
    </font>
    <font>
      <b/>
      <sz val="10"/>
      <name val="Times New Roman"/>
      <family val="1"/>
    </font>
    <font>
      <sz val="10"/>
      <name val="Times New Roman"/>
      <family val="1"/>
    </font>
    <font>
      <i/>
      <sz val="12"/>
      <name val="Times New Roman"/>
      <family val="1"/>
    </font>
    <font>
      <sz val="11"/>
      <name val="Times New Roman"/>
      <family val="1"/>
    </font>
    <font>
      <sz val="13"/>
      <name val="Times New Roman"/>
      <family val="1"/>
    </font>
    <font>
      <b/>
      <sz val="18"/>
      <color indexed="54"/>
      <name val="Calibri Light"/>
      <family val="2"/>
    </font>
    <font>
      <b/>
      <sz val="15"/>
      <color indexed="54"/>
      <name val="Times New Roman"/>
      <family val="2"/>
    </font>
    <font>
      <b/>
      <sz val="13"/>
      <color indexed="54"/>
      <name val="Times New Roman"/>
      <family val="2"/>
    </font>
    <font>
      <b/>
      <sz val="11"/>
      <color indexed="54"/>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b/>
      <sz val="11"/>
      <color indexed="8"/>
      <name val="Times New Roman"/>
      <family val="2"/>
    </font>
    <font>
      <sz val="11"/>
      <color indexed="9"/>
      <name val="Times New Roman"/>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sz val="11"/>
      <color rgb="FF000000"/>
      <name val="Calibri"/>
      <family val="2"/>
    </font>
    <font>
      <b/>
      <sz val="11"/>
      <color rgb="FF3F3F3F"/>
      <name val="Times New Roman"/>
      <family val="2"/>
    </font>
    <font>
      <b/>
      <sz val="18"/>
      <color theme="3"/>
      <name val="Calibri Light"/>
      <family val="2"/>
    </font>
    <font>
      <b/>
      <sz val="11"/>
      <color theme="1"/>
      <name val="Times New Roman"/>
      <family val="2"/>
    </font>
    <font>
      <sz val="11"/>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3" fillId="0" borderId="0" applyFont="0" applyFill="0" applyBorder="0" applyAlignment="0" applyProtection="0"/>
    <xf numFmtId="43" fontId="2" fillId="0" borderId="0" applyFont="0" applyFill="0" applyBorder="0" applyAlignment="0" applyProtection="0"/>
    <xf numFmtId="164"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5" fillId="0" borderId="0">
      <alignment/>
      <protection/>
    </xf>
    <xf numFmtId="0" fontId="0" fillId="0" borderId="0">
      <alignment/>
      <protection/>
    </xf>
    <xf numFmtId="0" fontId="3" fillId="0" borderId="0">
      <alignment/>
      <protection/>
    </xf>
    <xf numFmtId="0" fontId="7" fillId="0" borderId="0">
      <alignment/>
      <protection/>
    </xf>
    <xf numFmtId="0" fontId="3" fillId="0" borderId="0">
      <alignment/>
      <protection/>
    </xf>
    <xf numFmtId="0" fontId="3" fillId="0" borderId="0">
      <alignment/>
      <protection/>
    </xf>
    <xf numFmtId="0" fontId="6"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4" fillId="0" borderId="0">
      <alignment/>
      <protection/>
    </xf>
    <xf numFmtId="0" fontId="5" fillId="0" borderId="0">
      <alignment/>
      <protection/>
    </xf>
    <xf numFmtId="0" fontId="3" fillId="0" borderId="0">
      <alignment/>
      <protection/>
    </xf>
    <xf numFmtId="0" fontId="3" fillId="0" borderId="0">
      <alignment/>
      <protection/>
    </xf>
    <xf numFmtId="0" fontId="8" fillId="0" borderId="0">
      <alignment/>
      <protection/>
    </xf>
    <xf numFmtId="0" fontId="2" fillId="0" borderId="0">
      <alignment/>
      <protection/>
    </xf>
    <xf numFmtId="0" fontId="2" fillId="0" borderId="0">
      <alignment/>
      <protection/>
    </xf>
    <xf numFmtId="0" fontId="3" fillId="0" borderId="0">
      <alignment/>
      <protection/>
    </xf>
    <xf numFmtId="0" fontId="7"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35">
    <xf numFmtId="0" fontId="0" fillId="0" borderId="0" xfId="0" applyFont="1" applyAlignment="1">
      <alignment/>
    </xf>
    <xf numFmtId="3" fontId="6" fillId="0" borderId="10" xfId="69" applyNumberFormat="1" applyFont="1" applyFill="1" applyBorder="1" applyAlignment="1">
      <alignment horizontal="center" vertical="center"/>
      <protection/>
    </xf>
    <xf numFmtId="0" fontId="6" fillId="0" borderId="10" xfId="66" applyFont="1" applyFill="1" applyBorder="1" applyAlignment="1">
      <alignment horizontal="left" vertical="center" wrapText="1"/>
      <protection/>
    </xf>
    <xf numFmtId="0" fontId="6" fillId="0" borderId="10" xfId="66" applyFont="1" applyFill="1" applyBorder="1" applyAlignment="1" quotePrefix="1">
      <alignment horizontal="center" vertical="center" wrapText="1"/>
      <protection/>
    </xf>
    <xf numFmtId="0" fontId="6" fillId="0" borderId="10" xfId="69" applyFont="1" applyFill="1" applyBorder="1" applyAlignment="1">
      <alignment horizontal="center" vertical="center" wrapText="1"/>
      <protection/>
    </xf>
    <xf numFmtId="4" fontId="6" fillId="0" borderId="10" xfId="62" applyNumberFormat="1" applyFont="1" applyFill="1" applyBorder="1" applyAlignment="1">
      <alignment horizontal="right" vertical="center" wrapText="1"/>
      <protection/>
    </xf>
    <xf numFmtId="4" fontId="6" fillId="0" borderId="10" xfId="78" applyNumberFormat="1" applyFont="1" applyFill="1" applyBorder="1" applyAlignment="1">
      <alignment horizontal="center" vertical="center" wrapText="1"/>
      <protection/>
    </xf>
    <xf numFmtId="4" fontId="6" fillId="0" borderId="10" xfId="81" applyNumberFormat="1" applyFont="1" applyFill="1" applyBorder="1" applyAlignment="1">
      <alignment horizontal="center" vertical="center" wrapText="1"/>
      <protection/>
    </xf>
    <xf numFmtId="4" fontId="6" fillId="0" borderId="10" xfId="48" applyNumberFormat="1" applyFont="1" applyFill="1" applyBorder="1" applyAlignment="1">
      <alignment horizontal="center" vertical="center" wrapText="1"/>
    </xf>
    <xf numFmtId="4" fontId="6" fillId="0" borderId="10" xfId="48" applyNumberFormat="1" applyFont="1" applyFill="1" applyBorder="1" applyAlignment="1">
      <alignment horizontal="center" vertical="center"/>
    </xf>
    <xf numFmtId="4" fontId="6" fillId="0" borderId="10" xfId="62" applyNumberFormat="1" applyFont="1" applyFill="1" applyBorder="1" applyAlignment="1">
      <alignment horizontal="center" vertical="center" wrapText="1"/>
      <protection/>
    </xf>
    <xf numFmtId="166" fontId="6" fillId="0" borderId="10" xfId="73" applyNumberFormat="1" applyFont="1" applyFill="1" applyBorder="1" applyAlignment="1">
      <alignment horizontal="center" vertical="center" wrapText="1"/>
      <protection/>
    </xf>
    <xf numFmtId="49" fontId="6" fillId="0" borderId="10" xfId="77" applyNumberFormat="1" applyFont="1" applyFill="1" applyBorder="1" applyAlignment="1">
      <alignment horizontal="center" vertical="center" wrapText="1"/>
      <protection/>
    </xf>
    <xf numFmtId="0" fontId="6" fillId="0" borderId="10" xfId="62" applyFont="1" applyFill="1" applyBorder="1" applyAlignment="1">
      <alignment horizontal="center" vertical="center" wrapText="1"/>
      <protection/>
    </xf>
    <xf numFmtId="2" fontId="6" fillId="0" borderId="10" xfId="77" applyNumberFormat="1" applyFont="1" applyFill="1" applyBorder="1" applyAlignment="1">
      <alignment horizontal="center" vertical="center" wrapText="1"/>
      <protection/>
    </xf>
    <xf numFmtId="0" fontId="6" fillId="0" borderId="10" xfId="62" applyFont="1" applyFill="1" applyBorder="1" applyAlignment="1">
      <alignment horizontal="left" vertical="center" wrapText="1"/>
      <protection/>
    </xf>
    <xf numFmtId="0" fontId="6" fillId="0" borderId="0" xfId="62" applyFont="1" applyFill="1" applyAlignment="1">
      <alignment horizontal="center" vertical="center" wrapText="1"/>
      <protection/>
    </xf>
    <xf numFmtId="0" fontId="6" fillId="0" borderId="0" xfId="62" applyFont="1" applyFill="1" applyAlignment="1">
      <alignment vertical="center"/>
      <protection/>
    </xf>
    <xf numFmtId="0" fontId="6" fillId="0" borderId="0" xfId="62" applyFont="1" applyFill="1" applyAlignment="1">
      <alignment vertical="center" wrapText="1"/>
      <protection/>
    </xf>
    <xf numFmtId="0" fontId="9" fillId="0" borderId="0" xfId="62" applyFont="1" applyFill="1" applyAlignment="1">
      <alignment vertical="center" wrapText="1"/>
      <protection/>
    </xf>
    <xf numFmtId="0" fontId="9" fillId="0" borderId="0" xfId="62" applyFont="1" applyFill="1" applyAlignment="1">
      <alignment horizontal="center" vertical="center" wrapText="1"/>
      <protection/>
    </xf>
    <xf numFmtId="0" fontId="9" fillId="0" borderId="0" xfId="62" applyFont="1" applyFill="1" applyAlignment="1">
      <alignment horizontal="right" vertical="center" wrapText="1"/>
      <protection/>
    </xf>
    <xf numFmtId="1" fontId="6" fillId="0" borderId="0" xfId="62" applyNumberFormat="1" applyFont="1" applyFill="1" applyAlignment="1">
      <alignment horizontal="center" vertical="center" wrapText="1"/>
      <protection/>
    </xf>
    <xf numFmtId="0" fontId="6" fillId="0" borderId="0" xfId="62" applyFont="1" applyFill="1" applyAlignment="1">
      <alignment horizontal="left" vertical="center" wrapText="1"/>
      <protection/>
    </xf>
    <xf numFmtId="0" fontId="9" fillId="0" borderId="0" xfId="62" applyFont="1" applyFill="1" applyAlignment="1">
      <alignment horizontal="left" vertical="center" wrapText="1"/>
      <protection/>
    </xf>
    <xf numFmtId="4" fontId="10" fillId="0" borderId="10" xfId="78" applyNumberFormat="1" applyFont="1" applyFill="1" applyBorder="1" applyAlignment="1">
      <alignment horizontal="center" vertical="center" wrapText="1"/>
      <protection/>
    </xf>
    <xf numFmtId="4" fontId="10" fillId="0" borderId="10" xfId="81" applyNumberFormat="1" applyFont="1" applyFill="1" applyBorder="1" applyAlignment="1">
      <alignment horizontal="center" vertical="center" wrapText="1"/>
      <protection/>
    </xf>
    <xf numFmtId="4" fontId="10" fillId="0" borderId="10" xfId="70" applyNumberFormat="1" applyFont="1" applyFill="1" applyBorder="1" applyAlignment="1">
      <alignment horizontal="center" vertical="center" wrapText="1"/>
      <protection/>
    </xf>
    <xf numFmtId="2" fontId="10" fillId="0" borderId="10" xfId="79" applyNumberFormat="1" applyFont="1" applyFill="1" applyBorder="1" applyAlignment="1">
      <alignment horizontal="center" vertical="center" wrapText="1"/>
      <protection/>
    </xf>
    <xf numFmtId="4" fontId="10" fillId="0" borderId="10" xfId="84" applyNumberFormat="1" applyFont="1" applyFill="1" applyBorder="1" applyAlignment="1">
      <alignment horizontal="center" vertical="center" wrapText="1"/>
      <protection/>
    </xf>
    <xf numFmtId="0" fontId="11" fillId="0" borderId="0" xfId="62" applyFont="1" applyFill="1" applyAlignment="1">
      <alignment horizontal="center" vertical="center" wrapText="1"/>
      <protection/>
    </xf>
    <xf numFmtId="0" fontId="11" fillId="0" borderId="0" xfId="62" applyFont="1" applyFill="1" applyAlignment="1">
      <alignment vertical="center" wrapText="1"/>
      <protection/>
    </xf>
    <xf numFmtId="0" fontId="11" fillId="0" borderId="0" xfId="62" applyFont="1" applyFill="1" applyAlignment="1">
      <alignment vertical="center"/>
      <protection/>
    </xf>
    <xf numFmtId="165" fontId="9" fillId="0" borderId="10" xfId="48" applyNumberFormat="1" applyFont="1" applyFill="1" applyBorder="1" applyAlignment="1">
      <alignment horizontal="center" vertical="center" wrapText="1"/>
    </xf>
    <xf numFmtId="0" fontId="9" fillId="0" borderId="10" xfId="73" applyFont="1" applyFill="1" applyBorder="1" applyAlignment="1">
      <alignment horizontal="left" vertical="center" wrapText="1"/>
      <protection/>
    </xf>
    <xf numFmtId="49" fontId="9" fillId="0" borderId="10" xfId="77" applyNumberFormat="1" applyFont="1" applyFill="1" applyBorder="1" applyAlignment="1">
      <alignment horizontal="center" vertical="center" wrapText="1"/>
      <protection/>
    </xf>
    <xf numFmtId="0" fontId="9" fillId="0" borderId="10" xfId="69" applyFont="1" applyFill="1" applyBorder="1" applyAlignment="1">
      <alignment horizontal="center" vertical="center" wrapText="1"/>
      <protection/>
    </xf>
    <xf numFmtId="4" fontId="9" fillId="0" borderId="10" xfId="78" applyNumberFormat="1" applyFont="1" applyFill="1" applyBorder="1" applyAlignment="1">
      <alignment horizontal="right" vertical="center" wrapText="1"/>
      <protection/>
    </xf>
    <xf numFmtId="164" fontId="9" fillId="0" borderId="10" xfId="45" applyFont="1" applyFill="1" applyBorder="1" applyAlignment="1">
      <alignment horizontal="right" vertical="center" wrapText="1"/>
    </xf>
    <xf numFmtId="164" fontId="9" fillId="0" borderId="10" xfId="45" applyFont="1" applyFill="1" applyBorder="1" applyAlignment="1">
      <alignment horizontal="center" vertical="center" wrapText="1"/>
    </xf>
    <xf numFmtId="4" fontId="9" fillId="0" borderId="10" xfId="78" applyNumberFormat="1" applyFont="1" applyFill="1" applyBorder="1" applyAlignment="1">
      <alignment horizontal="center" vertical="center" wrapText="1"/>
      <protection/>
    </xf>
    <xf numFmtId="0" fontId="9" fillId="0" borderId="10" xfId="62" applyFont="1" applyFill="1" applyBorder="1" applyAlignment="1">
      <alignment horizontal="center" vertical="center" wrapText="1"/>
      <protection/>
    </xf>
    <xf numFmtId="0" fontId="6" fillId="0" borderId="10" xfId="69" applyFont="1" applyFill="1" applyBorder="1" applyAlignment="1">
      <alignment horizontal="center" vertical="center"/>
      <protection/>
    </xf>
    <xf numFmtId="166" fontId="6" fillId="0" borderId="10" xfId="73" applyNumberFormat="1" applyFont="1" applyFill="1" applyBorder="1" applyAlignment="1">
      <alignment horizontal="left" vertical="center" wrapText="1"/>
      <protection/>
    </xf>
    <xf numFmtId="4" fontId="6" fillId="0" borderId="10" xfId="78" applyNumberFormat="1" applyFont="1" applyFill="1" applyBorder="1" applyAlignment="1">
      <alignment horizontal="right" vertical="center" wrapText="1"/>
      <protection/>
    </xf>
    <xf numFmtId="4" fontId="6" fillId="0" borderId="10" xfId="62" applyNumberFormat="1" applyFont="1" applyFill="1" applyBorder="1" applyAlignment="1">
      <alignment horizontal="right" vertical="center"/>
      <protection/>
    </xf>
    <xf numFmtId="164" fontId="6" fillId="0" borderId="10" xfId="45" applyFont="1" applyFill="1" applyBorder="1" applyAlignment="1">
      <alignment horizontal="center" vertical="center" wrapText="1"/>
    </xf>
    <xf numFmtId="0" fontId="6" fillId="0" borderId="10" xfId="73" applyFont="1" applyFill="1" applyBorder="1" applyAlignment="1">
      <alignment horizontal="left" vertical="center" wrapText="1"/>
      <protection/>
    </xf>
    <xf numFmtId="164" fontId="6" fillId="0" borderId="10" xfId="41" applyFont="1" applyFill="1" applyBorder="1" applyAlignment="1">
      <alignment horizontal="center" vertical="center" wrapText="1"/>
    </xf>
    <xf numFmtId="4" fontId="6" fillId="0" borderId="10" xfId="62" applyNumberFormat="1" applyFont="1" applyFill="1" applyBorder="1" applyAlignment="1">
      <alignment horizontal="center" vertical="center"/>
      <protection/>
    </xf>
    <xf numFmtId="4" fontId="6" fillId="0" borderId="10" xfId="73" applyNumberFormat="1" applyFont="1" applyFill="1" applyBorder="1" applyAlignment="1">
      <alignment horizontal="center" vertical="center"/>
      <protection/>
    </xf>
    <xf numFmtId="2" fontId="6" fillId="0" borderId="10" xfId="73" applyNumberFormat="1" applyFont="1" applyFill="1" applyBorder="1" applyAlignment="1" quotePrefix="1">
      <alignment horizontal="center" vertical="center" wrapText="1"/>
      <protection/>
    </xf>
    <xf numFmtId="4" fontId="6" fillId="0" borderId="10" xfId="63" applyNumberFormat="1" applyFont="1" applyFill="1" applyBorder="1" applyAlignment="1">
      <alignment vertical="center" wrapText="1"/>
      <protection/>
    </xf>
    <xf numFmtId="164" fontId="6" fillId="0" borderId="10" xfId="41" applyFont="1" applyFill="1" applyBorder="1" applyAlignment="1">
      <alignment vertical="center" wrapText="1"/>
    </xf>
    <xf numFmtId="4" fontId="6" fillId="0" borderId="10" xfId="63" applyNumberFormat="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10" xfId="66" applyFont="1" applyFill="1" applyBorder="1" applyAlignment="1">
      <alignment horizontal="center" vertical="center" wrapText="1"/>
      <protection/>
    </xf>
    <xf numFmtId="4" fontId="6" fillId="0" borderId="10" xfId="73" applyNumberFormat="1" applyFont="1" applyFill="1" applyBorder="1" applyAlignment="1">
      <alignment horizontal="right" vertical="center"/>
      <protection/>
    </xf>
    <xf numFmtId="3" fontId="6" fillId="0" borderId="10" xfId="75" applyNumberFormat="1" applyFont="1" applyFill="1" applyBorder="1" applyAlignment="1">
      <alignment horizontal="center" vertical="center" wrapText="1"/>
      <protection/>
    </xf>
    <xf numFmtId="2" fontId="6" fillId="0" borderId="10" xfId="73" applyNumberFormat="1" applyFont="1" applyFill="1" applyBorder="1" applyAlignment="1">
      <alignment horizontal="center" vertical="center" wrapText="1"/>
      <protection/>
    </xf>
    <xf numFmtId="0" fontId="6" fillId="0" borderId="10" xfId="73" applyFont="1" applyFill="1" applyBorder="1" applyAlignment="1">
      <alignment horizontal="center" vertical="center" wrapText="1"/>
      <protection/>
    </xf>
    <xf numFmtId="4" fontId="6" fillId="0" borderId="10" xfId="48" applyNumberFormat="1" applyFont="1" applyFill="1" applyBorder="1" applyAlignment="1">
      <alignment horizontal="right" vertical="center" wrapText="1"/>
    </xf>
    <xf numFmtId="164" fontId="6" fillId="0" borderId="10" xfId="41" applyFont="1" applyFill="1" applyBorder="1" applyAlignment="1">
      <alignment vertical="center"/>
    </xf>
    <xf numFmtId="0" fontId="6" fillId="0" borderId="0" xfId="62" applyFont="1" applyFill="1" applyBorder="1" applyAlignment="1">
      <alignment horizontal="center" vertical="center" wrapText="1"/>
      <protection/>
    </xf>
    <xf numFmtId="0" fontId="6" fillId="0" borderId="0" xfId="62" applyFont="1" applyFill="1" applyBorder="1" applyAlignment="1">
      <alignment vertical="center"/>
      <protection/>
    </xf>
    <xf numFmtId="0" fontId="6" fillId="0" borderId="0" xfId="62" applyFont="1" applyFill="1" applyBorder="1" applyAlignment="1">
      <alignment vertical="center" wrapText="1"/>
      <protection/>
    </xf>
    <xf numFmtId="3" fontId="9" fillId="0" borderId="10" xfId="48" applyNumberFormat="1" applyFont="1" applyFill="1" applyBorder="1" applyAlignment="1">
      <alignment horizontal="center" vertical="center" wrapText="1"/>
    </xf>
    <xf numFmtId="2" fontId="9" fillId="0" borderId="10" xfId="65" applyNumberFormat="1" applyFont="1" applyFill="1" applyBorder="1" applyAlignment="1">
      <alignment horizontal="left" vertical="center" wrapText="1"/>
      <protection/>
    </xf>
    <xf numFmtId="2" fontId="9" fillId="0" borderId="10" xfId="77" applyNumberFormat="1" applyFont="1" applyFill="1" applyBorder="1" applyAlignment="1">
      <alignment horizontal="center" vertical="center" wrapText="1"/>
      <protection/>
    </xf>
    <xf numFmtId="164" fontId="9" fillId="0" borderId="10" xfId="45" applyFont="1" applyFill="1" applyBorder="1" applyAlignment="1">
      <alignment horizontal="right" vertical="center"/>
    </xf>
    <xf numFmtId="4" fontId="9" fillId="0" borderId="10" xfId="62" applyNumberFormat="1" applyFont="1" applyFill="1" applyBorder="1" applyAlignment="1">
      <alignment horizontal="center" vertical="center" wrapText="1"/>
      <protection/>
    </xf>
    <xf numFmtId="3" fontId="6" fillId="0" borderId="10" xfId="48" applyNumberFormat="1" applyFont="1" applyFill="1" applyBorder="1" applyAlignment="1">
      <alignment horizontal="center" vertical="center" wrapText="1"/>
    </xf>
    <xf numFmtId="0" fontId="6" fillId="0" borderId="10" xfId="62" applyFont="1" applyFill="1" applyBorder="1" applyAlignment="1">
      <alignment vertical="center" wrapText="1"/>
      <protection/>
    </xf>
    <xf numFmtId="4" fontId="6" fillId="0" borderId="10" xfId="69" applyNumberFormat="1" applyFont="1" applyFill="1" applyBorder="1" applyAlignment="1">
      <alignment horizontal="right" vertical="center"/>
      <protection/>
    </xf>
    <xf numFmtId="4" fontId="6" fillId="0" borderId="10" xfId="62" applyNumberFormat="1" applyFont="1" applyFill="1" applyBorder="1" applyAlignment="1">
      <alignment vertical="center"/>
      <protection/>
    </xf>
    <xf numFmtId="4" fontId="6" fillId="0" borderId="10" xfId="73" applyNumberFormat="1" applyFont="1" applyFill="1" applyBorder="1" applyAlignment="1">
      <alignment horizontal="center" vertical="center" wrapText="1"/>
      <protection/>
    </xf>
    <xf numFmtId="4" fontId="6" fillId="0" borderId="10" xfId="69" applyNumberFormat="1" applyFont="1" applyFill="1" applyBorder="1" applyAlignment="1">
      <alignment horizontal="center" vertical="center"/>
      <protection/>
    </xf>
    <xf numFmtId="2" fontId="6" fillId="0" borderId="10" xfId="77" applyNumberFormat="1" applyFont="1" applyFill="1" applyBorder="1" applyAlignment="1">
      <alignment horizontal="center" vertical="center"/>
      <protection/>
    </xf>
    <xf numFmtId="164" fontId="6" fillId="0" borderId="10" xfId="45" applyFont="1" applyFill="1" applyBorder="1" applyAlignment="1">
      <alignment vertical="center" wrapText="1"/>
    </xf>
    <xf numFmtId="1" fontId="6" fillId="0" borderId="10" xfId="75" applyNumberFormat="1" applyFont="1" applyFill="1" applyBorder="1" applyAlignment="1">
      <alignment horizontal="center" vertical="center" wrapText="1"/>
      <protection/>
    </xf>
    <xf numFmtId="164" fontId="6" fillId="0" borderId="10" xfId="41" applyFont="1" applyFill="1" applyBorder="1" applyAlignment="1">
      <alignment horizontal="right" vertical="center" wrapText="1"/>
    </xf>
    <xf numFmtId="4" fontId="9" fillId="0" borderId="10" xfId="62" applyNumberFormat="1" applyFont="1" applyFill="1" applyBorder="1" applyAlignment="1">
      <alignment horizontal="right" vertical="center" wrapText="1"/>
      <protection/>
    </xf>
    <xf numFmtId="49" fontId="6" fillId="0" borderId="10" xfId="69" applyNumberFormat="1" applyFont="1" applyFill="1" applyBorder="1" applyAlignment="1">
      <alignment horizontal="center" vertical="center" wrapText="1"/>
      <protection/>
    </xf>
    <xf numFmtId="0" fontId="6" fillId="0" borderId="10" xfId="66" applyFont="1" applyFill="1" applyBorder="1" applyAlignment="1" quotePrefix="1">
      <alignment horizontal="left" vertical="center" wrapText="1"/>
      <protection/>
    </xf>
    <xf numFmtId="164" fontId="6" fillId="0" borderId="10" xfId="45" applyFont="1" applyFill="1" applyBorder="1" applyAlignment="1">
      <alignment horizontal="center" vertical="center"/>
    </xf>
    <xf numFmtId="164" fontId="9" fillId="0" borderId="10" xfId="45" applyFont="1" applyFill="1" applyBorder="1" applyAlignment="1">
      <alignment horizontal="left" vertical="center" wrapText="1"/>
    </xf>
    <xf numFmtId="164" fontId="9" fillId="0" borderId="10" xfId="45" applyFont="1" applyFill="1" applyBorder="1" applyAlignment="1">
      <alignment horizontal="center" vertical="center"/>
    </xf>
    <xf numFmtId="164" fontId="9" fillId="0" borderId="10" xfId="41" applyFont="1" applyFill="1" applyBorder="1" applyAlignment="1">
      <alignment horizontal="right" vertical="center" wrapText="1"/>
    </xf>
    <xf numFmtId="164" fontId="6" fillId="0" borderId="10" xfId="45" applyFont="1" applyFill="1" applyBorder="1" applyAlignment="1">
      <alignment horizontal="right" vertical="center" wrapText="1"/>
    </xf>
    <xf numFmtId="164" fontId="12" fillId="0" borderId="10" xfId="45" applyFont="1" applyFill="1" applyBorder="1" applyAlignment="1">
      <alignment horizontal="right" vertical="center" wrapText="1"/>
    </xf>
    <xf numFmtId="1" fontId="6" fillId="0" borderId="10" xfId="66" applyNumberFormat="1" applyFont="1" applyFill="1" applyBorder="1" applyAlignment="1" applyProtection="1">
      <alignment horizontal="left" vertical="center" wrapText="1"/>
      <protection locked="0"/>
    </xf>
    <xf numFmtId="49" fontId="6" fillId="0" borderId="10" xfId="61" applyNumberFormat="1" applyFont="1" applyFill="1" applyBorder="1" applyAlignment="1">
      <alignment horizontal="center" vertical="center" wrapText="1"/>
      <protection/>
    </xf>
    <xf numFmtId="164" fontId="6" fillId="0" borderId="0" xfId="45" applyFont="1" applyFill="1" applyBorder="1" applyAlignment="1">
      <alignment horizontal="center" vertical="center" wrapText="1"/>
    </xf>
    <xf numFmtId="164" fontId="6" fillId="0" borderId="0" xfId="45" applyFont="1" applyFill="1" applyBorder="1" applyAlignment="1">
      <alignment vertical="center"/>
    </xf>
    <xf numFmtId="164" fontId="6" fillId="0" borderId="0" xfId="45" applyFont="1" applyFill="1" applyBorder="1" applyAlignment="1">
      <alignment vertical="center" wrapText="1"/>
    </xf>
    <xf numFmtId="1" fontId="6" fillId="0" borderId="10" xfId="73" applyNumberFormat="1" applyFont="1" applyFill="1" applyBorder="1" applyAlignment="1" applyProtection="1">
      <alignment horizontal="left" vertical="center" wrapText="1"/>
      <protection locked="0"/>
    </xf>
    <xf numFmtId="4" fontId="6" fillId="0" borderId="10" xfId="62" applyNumberFormat="1" applyFont="1" applyFill="1" applyBorder="1" applyAlignment="1">
      <alignment vertical="center" wrapText="1"/>
      <protection/>
    </xf>
    <xf numFmtId="164" fontId="6" fillId="0" borderId="10" xfId="45" applyFont="1" applyFill="1" applyBorder="1" applyAlignment="1">
      <alignment horizontal="right" vertical="center"/>
    </xf>
    <xf numFmtId="49" fontId="6" fillId="0" borderId="10" xfId="62" applyNumberFormat="1" applyFont="1" applyFill="1" applyBorder="1" applyAlignment="1">
      <alignment horizontal="center" vertical="center" wrapText="1"/>
      <protection/>
    </xf>
    <xf numFmtId="1" fontId="6" fillId="0" borderId="10" xfId="64" applyNumberFormat="1" applyFont="1" applyFill="1" applyBorder="1" applyAlignment="1">
      <alignment horizontal="center" vertical="center" wrapText="1"/>
      <protection/>
    </xf>
    <xf numFmtId="0" fontId="9" fillId="0" borderId="0" xfId="62" applyFont="1" applyFill="1" applyAlignment="1">
      <alignment vertical="center"/>
      <protection/>
    </xf>
    <xf numFmtId="0" fontId="6" fillId="0" borderId="10" xfId="61" applyFont="1" applyFill="1" applyBorder="1" applyAlignment="1">
      <alignment horizontal="center" vertical="center"/>
      <protection/>
    </xf>
    <xf numFmtId="0" fontId="12" fillId="0" borderId="10" xfId="73" applyFont="1" applyFill="1" applyBorder="1" applyAlignment="1">
      <alignment horizontal="left" vertical="center" wrapText="1"/>
      <protection/>
    </xf>
    <xf numFmtId="0" fontId="12" fillId="0" borderId="10" xfId="69" applyFont="1" applyFill="1" applyBorder="1" applyAlignment="1">
      <alignment horizontal="center" vertical="center" wrapText="1"/>
      <protection/>
    </xf>
    <xf numFmtId="4" fontId="12" fillId="0" borderId="10" xfId="62" applyNumberFormat="1" applyFont="1" applyFill="1" applyBorder="1" applyAlignment="1">
      <alignment horizontal="right" vertical="center" wrapText="1"/>
      <protection/>
    </xf>
    <xf numFmtId="4" fontId="12" fillId="0" borderId="10" xfId="78" applyNumberFormat="1" applyFont="1" applyFill="1" applyBorder="1" applyAlignment="1">
      <alignment horizontal="center" vertical="center" wrapText="1"/>
      <protection/>
    </xf>
    <xf numFmtId="4" fontId="12" fillId="0" borderId="10" xfId="81" applyNumberFormat="1" applyFont="1" applyFill="1" applyBorder="1" applyAlignment="1">
      <alignment horizontal="center" vertical="center" wrapText="1"/>
      <protection/>
    </xf>
    <xf numFmtId="4" fontId="12" fillId="0" borderId="10" xfId="73" applyNumberFormat="1" applyFont="1" applyFill="1" applyBorder="1" applyAlignment="1">
      <alignment horizontal="right" vertical="center"/>
      <protection/>
    </xf>
    <xf numFmtId="4" fontId="12" fillId="0" borderId="10" xfId="62" applyNumberFormat="1" applyFont="1" applyFill="1" applyBorder="1" applyAlignment="1">
      <alignment horizontal="center" vertical="center" wrapText="1"/>
      <protection/>
    </xf>
    <xf numFmtId="4" fontId="12" fillId="0" borderId="10" xfId="47" applyNumberFormat="1" applyFont="1" applyFill="1" applyBorder="1" applyAlignment="1">
      <alignment horizontal="center" vertical="center"/>
    </xf>
    <xf numFmtId="4" fontId="12" fillId="0" borderId="10" xfId="62" applyNumberFormat="1" applyFont="1" applyFill="1" applyBorder="1" applyAlignment="1">
      <alignment horizontal="center" vertical="center"/>
      <protection/>
    </xf>
    <xf numFmtId="0" fontId="12" fillId="0" borderId="10" xfId="62" applyFont="1" applyFill="1" applyBorder="1" applyAlignment="1">
      <alignment horizontal="center" vertical="center" wrapText="1"/>
      <protection/>
    </xf>
    <xf numFmtId="0" fontId="12" fillId="0" borderId="10" xfId="62" applyFont="1" applyFill="1" applyBorder="1" applyAlignment="1">
      <alignment horizontal="left" vertical="center" wrapText="1"/>
      <protection/>
    </xf>
    <xf numFmtId="0" fontId="12" fillId="0" borderId="0" xfId="62" applyFont="1" applyFill="1" applyAlignment="1">
      <alignment horizontal="center" vertical="center" wrapText="1"/>
      <protection/>
    </xf>
    <xf numFmtId="0" fontId="12" fillId="0" borderId="0" xfId="62" applyFont="1" applyFill="1" applyAlignment="1">
      <alignment vertical="center"/>
      <protection/>
    </xf>
    <xf numFmtId="0" fontId="12" fillId="0" borderId="0" xfId="62" applyFont="1" applyFill="1" applyAlignment="1">
      <alignment vertical="center" wrapText="1"/>
      <protection/>
    </xf>
    <xf numFmtId="164" fontId="12" fillId="0" borderId="10" xfId="41" applyFont="1" applyFill="1" applyBorder="1" applyAlignment="1">
      <alignment horizontal="center" vertical="center"/>
    </xf>
    <xf numFmtId="4" fontId="6" fillId="0" borderId="10" xfId="47" applyNumberFormat="1" applyFont="1" applyFill="1" applyBorder="1" applyAlignment="1">
      <alignment horizontal="center" vertical="center"/>
    </xf>
    <xf numFmtId="0" fontId="6" fillId="0" borderId="10" xfId="69" applyFont="1" applyFill="1" applyBorder="1" applyAlignment="1">
      <alignment horizontal="left" vertical="center" wrapText="1"/>
      <protection/>
    </xf>
    <xf numFmtId="4" fontId="6" fillId="0" borderId="10" xfId="69" applyNumberFormat="1" applyFont="1" applyFill="1" applyBorder="1" applyAlignment="1">
      <alignment horizontal="right" vertical="center" wrapText="1"/>
      <protection/>
    </xf>
    <xf numFmtId="164" fontId="6" fillId="0" borderId="10" xfId="41" applyFont="1" applyFill="1" applyBorder="1" applyAlignment="1">
      <alignment horizontal="center" vertical="center"/>
    </xf>
    <xf numFmtId="0" fontId="6" fillId="0" borderId="10" xfId="62" applyFont="1" applyFill="1" applyBorder="1" applyAlignment="1">
      <alignment horizontal="center" vertical="center"/>
      <protection/>
    </xf>
    <xf numFmtId="4" fontId="6" fillId="0" borderId="10" xfId="68" applyNumberFormat="1" applyFont="1" applyFill="1" applyBorder="1" applyAlignment="1">
      <alignment horizontal="right" vertical="center"/>
      <protection/>
    </xf>
    <xf numFmtId="4" fontId="9" fillId="0" borderId="10" xfId="62" applyNumberFormat="1" applyFont="1" applyFill="1" applyBorder="1" applyAlignment="1">
      <alignment horizontal="right" vertical="center"/>
      <protection/>
    </xf>
    <xf numFmtId="3" fontId="6" fillId="0" borderId="10" xfId="62" applyNumberFormat="1" applyFont="1" applyFill="1" applyBorder="1" applyAlignment="1">
      <alignment horizontal="center" vertical="center" wrapText="1"/>
      <protection/>
    </xf>
    <xf numFmtId="2" fontId="6" fillId="0" borderId="10" xfId="62" applyNumberFormat="1" applyFont="1" applyFill="1" applyBorder="1" applyAlignment="1">
      <alignment horizontal="right" vertical="center" wrapText="1"/>
      <protection/>
    </xf>
    <xf numFmtId="168" fontId="6" fillId="0" borderId="10" xfId="62" applyNumberFormat="1" applyFont="1" applyFill="1" applyBorder="1" applyAlignment="1">
      <alignment horizontal="center" vertical="center" wrapText="1"/>
      <protection/>
    </xf>
    <xf numFmtId="0" fontId="6" fillId="0" borderId="10" xfId="63" applyFont="1" applyFill="1" applyBorder="1" applyAlignment="1">
      <alignment horizontal="left" vertical="center" wrapText="1"/>
      <protection/>
    </xf>
    <xf numFmtId="0" fontId="9" fillId="0" borderId="10" xfId="69" applyFont="1" applyFill="1" applyBorder="1" applyAlignment="1">
      <alignment horizontal="center" vertical="center"/>
      <protection/>
    </xf>
    <xf numFmtId="0" fontId="9" fillId="0" borderId="10" xfId="66" applyFont="1" applyFill="1" applyBorder="1" applyAlignment="1">
      <alignment horizontal="left" vertical="center" wrapText="1"/>
      <protection/>
    </xf>
    <xf numFmtId="164" fontId="9" fillId="0" borderId="0" xfId="45" applyFont="1" applyFill="1" applyBorder="1" applyAlignment="1">
      <alignment horizontal="center" vertical="center" wrapText="1"/>
    </xf>
    <xf numFmtId="164" fontId="9" fillId="0" borderId="0" xfId="45" applyFont="1" applyFill="1" applyBorder="1" applyAlignment="1">
      <alignment vertical="center"/>
    </xf>
    <xf numFmtId="164" fontId="9" fillId="0" borderId="0" xfId="45" applyFont="1" applyFill="1" applyBorder="1" applyAlignment="1">
      <alignment vertical="center" wrapText="1"/>
    </xf>
    <xf numFmtId="0" fontId="6" fillId="0" borderId="10" xfId="73" applyFont="1" applyFill="1" applyBorder="1" applyAlignment="1" quotePrefix="1">
      <alignment horizontal="left" vertical="center" wrapText="1"/>
      <protection/>
    </xf>
    <xf numFmtId="169" fontId="12" fillId="0" borderId="10" xfId="45"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4" fontId="6" fillId="0" borderId="0" xfId="62" applyNumberFormat="1" applyFont="1" applyFill="1" applyBorder="1" applyAlignment="1">
      <alignment vertical="center"/>
      <protection/>
    </xf>
    <xf numFmtId="175" fontId="6" fillId="0" borderId="0" xfId="62" applyNumberFormat="1" applyFont="1" applyFill="1" applyBorder="1" applyAlignment="1">
      <alignment vertical="center"/>
      <protection/>
    </xf>
    <xf numFmtId="49" fontId="6" fillId="0" borderId="10" xfId="73" applyNumberFormat="1" applyFont="1" applyFill="1" applyBorder="1" applyAlignment="1">
      <alignment horizontal="center" vertical="center" wrapText="1"/>
      <protection/>
    </xf>
    <xf numFmtId="164" fontId="6" fillId="0" borderId="0" xfId="62" applyNumberFormat="1" applyFont="1" applyFill="1" applyAlignment="1">
      <alignment vertical="center"/>
      <protection/>
    </xf>
    <xf numFmtId="164" fontId="6" fillId="0" borderId="10" xfId="45" applyFont="1" applyFill="1" applyBorder="1" applyAlignment="1">
      <alignment vertical="center"/>
    </xf>
    <xf numFmtId="164" fontId="6" fillId="0" borderId="10" xfId="45" applyFont="1" applyFill="1" applyBorder="1" applyAlignment="1">
      <alignment horizontal="left" vertical="center"/>
    </xf>
    <xf numFmtId="4" fontId="6" fillId="0" borderId="0" xfId="62" applyNumberFormat="1" applyFont="1" applyFill="1" applyAlignment="1">
      <alignment vertical="center"/>
      <protection/>
    </xf>
    <xf numFmtId="0" fontId="9" fillId="0" borderId="10" xfId="62" applyFont="1" applyFill="1" applyBorder="1" applyAlignment="1">
      <alignment horizontal="left" vertical="center" wrapText="1"/>
      <protection/>
    </xf>
    <xf numFmtId="4" fontId="12" fillId="0" borderId="10" xfId="62" applyNumberFormat="1" applyFont="1" applyFill="1" applyBorder="1" applyAlignment="1">
      <alignment horizontal="right" vertical="center"/>
      <protection/>
    </xf>
    <xf numFmtId="1" fontId="12" fillId="0" borderId="10" xfId="66" applyNumberFormat="1" applyFont="1" applyFill="1" applyBorder="1" applyAlignment="1" applyProtection="1">
      <alignment horizontal="left" vertical="center" wrapText="1"/>
      <protection locked="0"/>
    </xf>
    <xf numFmtId="4" fontId="12" fillId="0" borderId="10" xfId="48" applyNumberFormat="1" applyFont="1" applyFill="1" applyBorder="1" applyAlignment="1">
      <alignment horizontal="right" vertical="center"/>
    </xf>
    <xf numFmtId="4" fontId="12" fillId="0" borderId="10" xfId="48" applyNumberFormat="1" applyFont="1" applyFill="1" applyBorder="1" applyAlignment="1">
      <alignment horizontal="right" vertical="center" wrapText="1"/>
    </xf>
    <xf numFmtId="164" fontId="12" fillId="0" borderId="10" xfId="45" applyFont="1" applyFill="1" applyBorder="1" applyAlignment="1">
      <alignment horizontal="right" vertical="center"/>
    </xf>
    <xf numFmtId="4" fontId="12" fillId="0" borderId="10" xfId="48" applyNumberFormat="1" applyFont="1" applyFill="1" applyBorder="1" applyAlignment="1">
      <alignment horizontal="center" vertical="center"/>
    </xf>
    <xf numFmtId="164" fontId="6" fillId="0" borderId="10" xfId="44" applyFont="1" applyFill="1" applyBorder="1" applyAlignment="1">
      <alignment horizontal="right" vertical="center" wrapText="1"/>
    </xf>
    <xf numFmtId="4" fontId="6" fillId="0" borderId="11" xfId="62" applyNumberFormat="1" applyFont="1" applyFill="1" applyBorder="1" applyAlignment="1">
      <alignment horizontal="center" vertical="center" wrapText="1"/>
      <protection/>
    </xf>
    <xf numFmtId="0" fontId="6" fillId="0" borderId="10" xfId="67" applyFont="1" applyFill="1" applyBorder="1" applyAlignment="1">
      <alignment horizontal="left" vertical="center" wrapText="1"/>
      <protection/>
    </xf>
    <xf numFmtId="4" fontId="6" fillId="0" borderId="10" xfId="62" applyNumberFormat="1" applyFont="1" applyFill="1" applyBorder="1" applyAlignment="1">
      <alignment horizontal="left" vertical="center" wrapText="1"/>
      <protection/>
    </xf>
    <xf numFmtId="0" fontId="12" fillId="0" borderId="10" xfId="69" applyFont="1" applyFill="1" applyBorder="1" applyAlignment="1">
      <alignment horizontal="center" vertical="center"/>
      <protection/>
    </xf>
    <xf numFmtId="2" fontId="12" fillId="0" borderId="10" xfId="77" applyNumberFormat="1" applyFont="1" applyFill="1" applyBorder="1" applyAlignment="1">
      <alignment horizontal="center" vertical="center" wrapText="1"/>
      <protection/>
    </xf>
    <xf numFmtId="4" fontId="12" fillId="0" borderId="10" xfId="48" applyNumberFormat="1" applyFont="1" applyFill="1" applyBorder="1" applyAlignment="1">
      <alignment horizontal="center" vertical="center" wrapText="1"/>
    </xf>
    <xf numFmtId="49" fontId="12" fillId="0" borderId="10" xfId="61" applyNumberFormat="1" applyFont="1" applyFill="1" applyBorder="1" applyAlignment="1">
      <alignment horizontal="center" vertical="center" wrapText="1"/>
      <protection/>
    </xf>
    <xf numFmtId="0" fontId="12" fillId="0" borderId="10" xfId="48" applyNumberFormat="1" applyFont="1" applyFill="1" applyBorder="1" applyAlignment="1">
      <alignment horizontal="center" vertical="center" wrapText="1"/>
    </xf>
    <xf numFmtId="4" fontId="12" fillId="0" borderId="10" xfId="62" applyNumberFormat="1" applyFont="1" applyFill="1" applyBorder="1" applyAlignment="1">
      <alignment horizontal="left" vertical="center" wrapText="1"/>
      <protection/>
    </xf>
    <xf numFmtId="0" fontId="12" fillId="0" borderId="10" xfId="61" applyFont="1" applyFill="1" applyBorder="1" applyAlignment="1">
      <alignment horizontal="center" vertical="center"/>
      <protection/>
    </xf>
    <xf numFmtId="0" fontId="12" fillId="0" borderId="10" xfId="61" applyFont="1" applyFill="1" applyBorder="1" applyAlignment="1">
      <alignment horizontal="center" vertical="center" wrapText="1"/>
      <protection/>
    </xf>
    <xf numFmtId="0" fontId="12" fillId="0" borderId="10" xfId="66" applyFont="1" applyFill="1" applyBorder="1" applyAlignment="1">
      <alignment horizontal="left" vertical="center" wrapText="1"/>
      <protection/>
    </xf>
    <xf numFmtId="4" fontId="12" fillId="0" borderId="10" xfId="69" applyNumberFormat="1" applyFont="1" applyFill="1" applyBorder="1" applyAlignment="1">
      <alignment horizontal="right" vertical="center"/>
      <protection/>
    </xf>
    <xf numFmtId="0" fontId="6" fillId="0" borderId="10" xfId="83" applyFont="1" applyFill="1" applyBorder="1" applyAlignment="1">
      <alignment horizontal="left" vertical="center" wrapText="1" shrinkToFit="1"/>
      <protection/>
    </xf>
    <xf numFmtId="0" fontId="6" fillId="0" borderId="10" xfId="73" applyFont="1" applyFill="1" applyBorder="1" applyAlignment="1" quotePrefix="1">
      <alignment horizontal="center" vertical="center" wrapText="1"/>
      <protection/>
    </xf>
    <xf numFmtId="0" fontId="6" fillId="0" borderId="10" xfId="62" applyFont="1" applyFill="1" applyBorder="1" applyAlignment="1">
      <alignment vertical="center"/>
      <protection/>
    </xf>
    <xf numFmtId="3" fontId="9" fillId="0" borderId="10" xfId="62" applyNumberFormat="1" applyFont="1" applyFill="1" applyBorder="1" applyAlignment="1">
      <alignment horizontal="center" vertical="center" wrapText="1"/>
      <protection/>
    </xf>
    <xf numFmtId="49" fontId="9" fillId="0" borderId="10" xfId="69" applyNumberFormat="1" applyFont="1" applyFill="1" applyBorder="1" applyAlignment="1">
      <alignment horizontal="center" vertical="center" wrapText="1"/>
      <protection/>
    </xf>
    <xf numFmtId="164" fontId="12" fillId="0" borderId="10" xfId="45" applyNumberFormat="1" applyFont="1" applyFill="1" applyBorder="1" applyAlignment="1">
      <alignment horizontal="right" vertical="center" wrapText="1"/>
    </xf>
    <xf numFmtId="164" fontId="6" fillId="0" borderId="10" xfId="45" applyNumberFormat="1" applyFont="1" applyFill="1" applyBorder="1" applyAlignment="1">
      <alignment horizontal="right" vertical="center" wrapText="1"/>
    </xf>
    <xf numFmtId="2" fontId="6" fillId="0" borderId="10" xfId="62" applyNumberFormat="1" applyFont="1" applyFill="1" applyBorder="1" applyAlignment="1">
      <alignment vertical="center"/>
      <protection/>
    </xf>
    <xf numFmtId="169" fontId="6" fillId="0" borderId="10" xfId="43" applyNumberFormat="1" applyFont="1" applyFill="1" applyBorder="1" applyAlignment="1">
      <alignment horizontal="center" vertical="center" wrapText="1"/>
    </xf>
    <xf numFmtId="0" fontId="9" fillId="0" borderId="10" xfId="74" applyFont="1" applyFill="1" applyBorder="1" applyAlignment="1">
      <alignment horizontal="left" vertical="center" wrapText="1"/>
      <protection/>
    </xf>
    <xf numFmtId="0" fontId="6" fillId="0" borderId="10" xfId="69" applyFont="1" applyFill="1" applyBorder="1" applyAlignment="1">
      <alignment vertical="center" wrapText="1"/>
      <protection/>
    </xf>
    <xf numFmtId="2" fontId="6" fillId="0" borderId="10" xfId="77" applyNumberFormat="1" applyFont="1" applyFill="1" applyBorder="1" applyAlignment="1" quotePrefix="1">
      <alignment horizontal="center" vertical="center" wrapText="1"/>
      <protection/>
    </xf>
    <xf numFmtId="4" fontId="6" fillId="0" borderId="10" xfId="73" applyNumberFormat="1" applyFont="1" applyFill="1" applyBorder="1" applyAlignment="1">
      <alignment horizontal="right" vertical="center" wrapText="1"/>
      <protection/>
    </xf>
    <xf numFmtId="166" fontId="6" fillId="0" borderId="10" xfId="82" applyNumberFormat="1" applyFont="1" applyFill="1" applyBorder="1" applyAlignment="1">
      <alignment horizontal="center" vertical="center" wrapText="1"/>
      <protection/>
    </xf>
    <xf numFmtId="4" fontId="6" fillId="0" borderId="10" xfId="62" applyNumberFormat="1" applyFont="1" applyFill="1" applyBorder="1" applyAlignment="1" quotePrefix="1">
      <alignment horizontal="center" vertical="center" wrapText="1"/>
      <protection/>
    </xf>
    <xf numFmtId="164" fontId="6" fillId="0" borderId="10" xfId="45" applyFont="1" applyFill="1" applyBorder="1" applyAlignment="1">
      <alignment horizontal="left" vertical="center" wrapText="1"/>
    </xf>
    <xf numFmtId="0" fontId="6" fillId="0" borderId="10" xfId="66" applyFont="1" applyFill="1" applyBorder="1" applyAlignment="1" quotePrefix="1">
      <alignment vertical="center" wrapText="1"/>
      <protection/>
    </xf>
    <xf numFmtId="4" fontId="6" fillId="0" borderId="10" xfId="68" applyNumberFormat="1" applyFont="1" applyFill="1" applyBorder="1" applyAlignment="1">
      <alignment horizontal="center" vertical="center"/>
      <protection/>
    </xf>
    <xf numFmtId="3" fontId="6" fillId="0" borderId="10" xfId="73" applyNumberFormat="1" applyFont="1" applyFill="1" applyBorder="1" applyAlignment="1">
      <alignment horizontal="center" vertical="center" wrapText="1"/>
      <protection/>
    </xf>
    <xf numFmtId="0" fontId="6" fillId="0" borderId="10" xfId="68" applyFont="1" applyFill="1" applyBorder="1" applyAlignment="1">
      <alignment horizontal="center" vertical="center"/>
      <protection/>
    </xf>
    <xf numFmtId="167" fontId="6" fillId="0" borderId="10" xfId="68" applyNumberFormat="1" applyFont="1" applyFill="1" applyBorder="1" applyAlignment="1">
      <alignment horizontal="center" vertical="center"/>
      <protection/>
    </xf>
    <xf numFmtId="167" fontId="6" fillId="0" borderId="10" xfId="62" applyNumberFormat="1" applyFont="1" applyFill="1" applyBorder="1" applyAlignment="1">
      <alignment horizontal="center" vertical="center" wrapText="1"/>
      <protection/>
    </xf>
    <xf numFmtId="166" fontId="6" fillId="0" borderId="10" xfId="71" applyNumberFormat="1" applyFont="1" applyFill="1" applyBorder="1" applyAlignment="1">
      <alignment horizontal="center" vertical="center" wrapText="1"/>
      <protection/>
    </xf>
    <xf numFmtId="0" fontId="6" fillId="0" borderId="0" xfId="62" applyFont="1" applyFill="1" applyAlignment="1">
      <alignment horizontal="center" vertical="center"/>
      <protection/>
    </xf>
    <xf numFmtId="3" fontId="6" fillId="0" borderId="10" xfId="77" applyNumberFormat="1" applyFont="1" applyFill="1" applyBorder="1" applyAlignment="1">
      <alignment horizontal="center" vertical="center" wrapText="1"/>
      <protection/>
    </xf>
    <xf numFmtId="170" fontId="6" fillId="0" borderId="10" xfId="46" applyNumberFormat="1" applyFont="1" applyFill="1" applyBorder="1" applyAlignment="1" applyProtection="1" quotePrefix="1">
      <alignment horizontal="left" vertical="center" wrapText="1"/>
      <protection/>
    </xf>
    <xf numFmtId="167" fontId="6" fillId="0" borderId="10" xfId="78" applyNumberFormat="1" applyFont="1" applyFill="1" applyBorder="1" applyAlignment="1">
      <alignment horizontal="center" vertical="center" wrapText="1"/>
      <protection/>
    </xf>
    <xf numFmtId="167" fontId="6" fillId="0" borderId="10" xfId="48" applyNumberFormat="1" applyFont="1" applyFill="1" applyBorder="1" applyAlignment="1">
      <alignment horizontal="center" vertical="center" wrapText="1"/>
    </xf>
    <xf numFmtId="167" fontId="6" fillId="0" borderId="10" xfId="48" applyNumberFormat="1" applyFont="1" applyFill="1" applyBorder="1" applyAlignment="1">
      <alignment horizontal="right" vertical="center" wrapText="1"/>
    </xf>
    <xf numFmtId="167" fontId="6" fillId="0" borderId="10" xfId="69" applyNumberFormat="1" applyFont="1" applyFill="1" applyBorder="1" applyAlignment="1">
      <alignment horizontal="center" vertical="center"/>
      <protection/>
    </xf>
    <xf numFmtId="0" fontId="6" fillId="0" borderId="10" xfId="69" applyFont="1" applyFill="1" applyBorder="1" applyAlignment="1" quotePrefix="1">
      <alignment horizontal="left" vertical="center" wrapText="1"/>
      <protection/>
    </xf>
    <xf numFmtId="167" fontId="6" fillId="0" borderId="10" xfId="62" applyNumberFormat="1" applyFont="1" applyFill="1" applyBorder="1" applyAlignment="1">
      <alignment vertical="center" wrapText="1"/>
      <protection/>
    </xf>
    <xf numFmtId="2" fontId="6" fillId="0" borderId="10" xfId="62" applyNumberFormat="1" applyFont="1" applyFill="1" applyBorder="1" applyAlignment="1">
      <alignment horizontal="left" vertical="center" wrapText="1"/>
      <protection/>
    </xf>
    <xf numFmtId="171" fontId="6" fillId="0" borderId="10" xfId="70" applyNumberFormat="1" applyFont="1" applyFill="1" applyBorder="1" applyAlignment="1">
      <alignment horizontal="left" vertical="center" wrapText="1"/>
      <protection/>
    </xf>
    <xf numFmtId="167" fontId="6" fillId="0" borderId="10" xfId="62" applyNumberFormat="1" applyFont="1" applyFill="1" applyBorder="1" applyAlignment="1">
      <alignment horizontal="right" vertical="center" wrapText="1"/>
      <protection/>
    </xf>
    <xf numFmtId="167" fontId="6" fillId="0" borderId="10" xfId="78" applyNumberFormat="1" applyFont="1" applyFill="1" applyBorder="1" applyAlignment="1">
      <alignment horizontal="right" vertical="center" wrapText="1"/>
      <protection/>
    </xf>
    <xf numFmtId="167" fontId="6" fillId="0" borderId="10" xfId="68" applyNumberFormat="1" applyFont="1" applyFill="1" applyBorder="1" applyAlignment="1">
      <alignment horizontal="right" vertical="center"/>
      <protection/>
    </xf>
    <xf numFmtId="4" fontId="6" fillId="0" borderId="10" xfId="68" applyNumberFormat="1" applyFont="1" applyFill="1" applyBorder="1" applyAlignment="1">
      <alignment horizontal="right" vertical="center" wrapText="1"/>
      <protection/>
    </xf>
    <xf numFmtId="49" fontId="6" fillId="0" borderId="10" xfId="73" applyNumberFormat="1" applyFont="1" applyFill="1" applyBorder="1" applyAlignment="1">
      <alignment horizontal="left" vertical="center" wrapText="1"/>
      <protection/>
    </xf>
    <xf numFmtId="0" fontId="13" fillId="0" borderId="0" xfId="62" applyFont="1" applyFill="1" applyAlignment="1">
      <alignment vertical="center"/>
      <protection/>
    </xf>
    <xf numFmtId="164" fontId="6" fillId="0" borderId="10" xfId="44" applyFont="1" applyFill="1" applyBorder="1" applyAlignment="1">
      <alignment vertical="center"/>
    </xf>
    <xf numFmtId="164" fontId="6" fillId="0" borderId="10" xfId="44" applyFont="1" applyFill="1" applyBorder="1" applyAlignment="1">
      <alignment horizontal="center" vertical="center" wrapText="1"/>
    </xf>
    <xf numFmtId="164" fontId="6" fillId="0" borderId="10" xfId="44" applyFont="1" applyFill="1" applyBorder="1" applyAlignment="1">
      <alignment horizontal="center" vertical="center"/>
    </xf>
    <xf numFmtId="3" fontId="6" fillId="0" borderId="10" xfId="73" applyNumberFormat="1" applyFont="1" applyFill="1" applyBorder="1" applyAlignment="1">
      <alignment horizontal="left" vertical="center" wrapText="1"/>
      <protection/>
    </xf>
    <xf numFmtId="169" fontId="6" fillId="0" borderId="10" xfId="41" applyNumberFormat="1" applyFont="1" applyFill="1" applyBorder="1" applyAlignment="1">
      <alignment horizontal="center" vertical="center" wrapText="1"/>
    </xf>
    <xf numFmtId="164" fontId="6" fillId="0" borderId="10" xfId="41" applyFont="1" applyFill="1" applyBorder="1" applyAlignment="1" applyProtection="1">
      <alignment horizontal="center" vertical="center" wrapText="1"/>
      <protection/>
    </xf>
    <xf numFmtId="0" fontId="6" fillId="0" borderId="10" xfId="62" applyFont="1" applyFill="1" applyBorder="1" applyAlignment="1" quotePrefix="1">
      <alignment horizontal="center" vertical="center" wrapText="1"/>
      <protection/>
    </xf>
    <xf numFmtId="0" fontId="6" fillId="0" borderId="10" xfId="67" applyFont="1" applyFill="1" applyBorder="1" applyAlignment="1" quotePrefix="1">
      <alignment horizontal="center" vertical="center" wrapText="1"/>
      <protection/>
    </xf>
    <xf numFmtId="164" fontId="6" fillId="0" borderId="10" xfId="44" applyFont="1" applyFill="1" applyBorder="1" applyAlignment="1">
      <alignment horizontal="right" vertical="center"/>
    </xf>
    <xf numFmtId="166" fontId="6" fillId="0" borderId="10" xfId="65" applyNumberFormat="1" applyFont="1" applyFill="1" applyBorder="1" applyAlignment="1">
      <alignment horizontal="left" vertical="center" wrapText="1"/>
      <protection/>
    </xf>
    <xf numFmtId="0" fontId="6" fillId="0" borderId="10" xfId="68" applyFont="1" applyFill="1" applyBorder="1" applyAlignment="1">
      <alignment horizontal="center" vertical="center" wrapText="1"/>
      <protection/>
    </xf>
    <xf numFmtId="1" fontId="6" fillId="0" borderId="10" xfId="64" applyNumberFormat="1" applyFont="1" applyFill="1" applyBorder="1" applyAlignment="1">
      <alignment horizontal="left" vertical="center" wrapText="1"/>
      <protection/>
    </xf>
    <xf numFmtId="0" fontId="6" fillId="0" borderId="10" xfId="0" applyFont="1" applyFill="1" applyBorder="1" applyAlignment="1">
      <alignment vertical="center" wrapText="1"/>
    </xf>
    <xf numFmtId="0" fontId="6" fillId="0" borderId="10" xfId="67" applyFont="1" applyFill="1" applyBorder="1" applyAlignment="1">
      <alignment horizontal="center" vertical="center"/>
      <protection/>
    </xf>
    <xf numFmtId="3" fontId="6" fillId="0" borderId="12" xfId="69" applyNumberFormat="1" applyFont="1" applyFill="1" applyBorder="1" applyAlignment="1">
      <alignment horizontal="center" vertical="center" wrapText="1"/>
      <protection/>
    </xf>
    <xf numFmtId="0" fontId="6" fillId="0" borderId="12" xfId="62" applyFont="1" applyFill="1" applyBorder="1" applyAlignment="1">
      <alignment horizontal="left" vertical="center" wrapText="1"/>
      <protection/>
    </xf>
    <xf numFmtId="3" fontId="12" fillId="0" borderId="12" xfId="69" applyNumberFormat="1" applyFont="1" applyFill="1" applyBorder="1" applyAlignment="1">
      <alignment horizontal="center" vertical="center" wrapText="1"/>
      <protection/>
    </xf>
    <xf numFmtId="0" fontId="12" fillId="0" borderId="12" xfId="62" applyFont="1" applyFill="1" applyBorder="1" applyAlignment="1">
      <alignment horizontal="left" vertical="center" wrapText="1"/>
      <protection/>
    </xf>
    <xf numFmtId="0" fontId="12" fillId="0" borderId="10" xfId="66" applyFont="1" applyFill="1" applyBorder="1" applyAlignment="1">
      <alignment horizontal="center" vertical="center" wrapText="1"/>
      <protection/>
    </xf>
    <xf numFmtId="164" fontId="12" fillId="0" borderId="10" xfId="41" applyFont="1" applyFill="1" applyBorder="1" applyAlignment="1">
      <alignment horizontal="center" vertical="center" wrapText="1"/>
    </xf>
    <xf numFmtId="164" fontId="12" fillId="0" borderId="10" xfId="45" applyFont="1" applyFill="1" applyBorder="1" applyAlignment="1">
      <alignment horizontal="center" vertical="center" wrapText="1"/>
    </xf>
    <xf numFmtId="0" fontId="12" fillId="0" borderId="10" xfId="62" applyFont="1" applyFill="1" applyBorder="1" applyAlignment="1">
      <alignment vertical="center"/>
      <protection/>
    </xf>
    <xf numFmtId="49" fontId="12" fillId="0" borderId="10" xfId="62" applyNumberFormat="1" applyFont="1" applyFill="1" applyBorder="1" applyAlignment="1">
      <alignment horizontal="center" vertical="center" wrapText="1"/>
      <protection/>
    </xf>
    <xf numFmtId="4" fontId="6" fillId="0" borderId="10" xfId="69" applyNumberFormat="1" applyFont="1" applyFill="1" applyBorder="1" applyAlignment="1">
      <alignment horizontal="center" vertical="center" wrapText="1"/>
      <protection/>
    </xf>
    <xf numFmtId="0" fontId="6" fillId="0" borderId="10" xfId="74" applyFont="1" applyFill="1" applyBorder="1" applyAlignment="1">
      <alignment horizontal="left" vertical="center" wrapText="1"/>
      <protection/>
    </xf>
    <xf numFmtId="3" fontId="6" fillId="0" borderId="10" xfId="67" applyNumberFormat="1" applyFont="1" applyFill="1" applyBorder="1" applyAlignment="1">
      <alignment horizontal="center" vertical="center"/>
      <protection/>
    </xf>
    <xf numFmtId="0" fontId="9" fillId="0" borderId="10" xfId="69" applyFont="1" applyFill="1" applyBorder="1" applyAlignment="1">
      <alignment horizontal="left" vertical="center" wrapText="1"/>
      <protection/>
    </xf>
    <xf numFmtId="0" fontId="9" fillId="0" borderId="10" xfId="73" applyFont="1" applyFill="1" applyBorder="1" applyAlignment="1">
      <alignment horizontal="center" vertical="center" wrapText="1"/>
      <protection/>
    </xf>
    <xf numFmtId="164" fontId="6" fillId="0" borderId="10" xfId="41" applyFont="1" applyFill="1" applyBorder="1" applyAlignment="1">
      <alignment horizontal="right" vertical="center"/>
    </xf>
    <xf numFmtId="4" fontId="6" fillId="0" borderId="10" xfId="41" applyNumberFormat="1" applyFont="1" applyFill="1" applyBorder="1" applyAlignment="1">
      <alignment horizontal="right" vertical="center" wrapText="1"/>
    </xf>
    <xf numFmtId="0" fontId="12" fillId="0" borderId="10" xfId="69" applyFont="1" applyFill="1" applyBorder="1" applyAlignment="1">
      <alignment horizontal="left" vertical="center" wrapText="1"/>
      <protection/>
    </xf>
    <xf numFmtId="164" fontId="12" fillId="0" borderId="10" xfId="45" applyFont="1" applyFill="1" applyBorder="1" applyAlignment="1">
      <alignment horizontal="left" vertical="center" wrapText="1"/>
    </xf>
    <xf numFmtId="164" fontId="12" fillId="0" borderId="0" xfId="45" applyFont="1" applyFill="1" applyBorder="1" applyAlignment="1">
      <alignment horizontal="center" vertical="center" wrapText="1"/>
    </xf>
    <xf numFmtId="164" fontId="12" fillId="0" borderId="0" xfId="45" applyFont="1" applyFill="1" applyBorder="1" applyAlignment="1">
      <alignment vertical="center" wrapText="1"/>
    </xf>
    <xf numFmtId="49" fontId="9" fillId="0" borderId="10" xfId="62" applyNumberFormat="1" applyFont="1" applyFill="1" applyBorder="1" applyAlignment="1">
      <alignment horizontal="center" vertical="center" wrapText="1"/>
      <protection/>
    </xf>
    <xf numFmtId="164" fontId="12" fillId="0" borderId="10" xfId="41" applyFont="1" applyFill="1" applyBorder="1" applyAlignment="1">
      <alignment horizontal="right" vertical="center" wrapText="1"/>
    </xf>
    <xf numFmtId="4" fontId="14" fillId="0" borderId="10" xfId="48" applyNumberFormat="1" applyFont="1" applyFill="1" applyBorder="1" applyAlignment="1">
      <alignment horizontal="center" vertical="center"/>
    </xf>
    <xf numFmtId="4" fontId="12" fillId="0" borderId="10" xfId="45" applyNumberFormat="1" applyFont="1" applyFill="1" applyBorder="1" applyAlignment="1">
      <alignment horizontal="right" vertical="center" wrapText="1"/>
    </xf>
    <xf numFmtId="0" fontId="9" fillId="0" borderId="10" xfId="76" applyFont="1" applyFill="1" applyBorder="1" applyAlignment="1">
      <alignment horizontal="left" vertical="center" wrapText="1"/>
      <protection/>
    </xf>
    <xf numFmtId="1" fontId="12" fillId="0" borderId="10" xfId="64" applyNumberFormat="1" applyFont="1" applyFill="1" applyBorder="1" applyAlignment="1">
      <alignment horizontal="center" vertical="center" wrapText="1"/>
      <protection/>
    </xf>
    <xf numFmtId="1" fontId="12" fillId="0" borderId="10" xfId="64" applyNumberFormat="1" applyFont="1" applyFill="1" applyBorder="1" applyAlignment="1">
      <alignment horizontal="center" vertical="center"/>
      <protection/>
    </xf>
    <xf numFmtId="1" fontId="9" fillId="0" borderId="10" xfId="64" applyNumberFormat="1" applyFont="1" applyFill="1" applyBorder="1" applyAlignment="1">
      <alignment horizontal="center" vertical="center" wrapText="1"/>
      <protection/>
    </xf>
    <xf numFmtId="1" fontId="6" fillId="0" borderId="10" xfId="64" applyNumberFormat="1" applyFont="1" applyFill="1" applyBorder="1" applyAlignment="1">
      <alignment horizontal="center" vertical="center"/>
      <protection/>
    </xf>
    <xf numFmtId="166" fontId="6" fillId="0" borderId="10" xfId="65" applyNumberFormat="1" applyFont="1" applyFill="1" applyBorder="1" applyAlignment="1">
      <alignment vertical="center" wrapText="1"/>
      <protection/>
    </xf>
    <xf numFmtId="0" fontId="9" fillId="0" borderId="10" xfId="48" applyNumberFormat="1" applyFont="1" applyFill="1" applyBorder="1" applyAlignment="1">
      <alignment horizontal="center" vertical="center" wrapText="1"/>
    </xf>
    <xf numFmtId="2" fontId="9" fillId="0" borderId="10" xfId="80" applyNumberFormat="1" applyFont="1" applyFill="1" applyBorder="1" applyAlignment="1">
      <alignment horizontal="left" vertical="center" wrapText="1"/>
      <protection/>
    </xf>
    <xf numFmtId="2" fontId="9" fillId="0" borderId="10" xfId="77" applyNumberFormat="1" applyFont="1" applyFill="1" applyBorder="1" applyAlignment="1">
      <alignment horizontal="center" vertical="center"/>
      <protection/>
    </xf>
    <xf numFmtId="164" fontId="9" fillId="0" borderId="10" xfId="41" applyFont="1" applyFill="1" applyBorder="1" applyAlignment="1">
      <alignment horizontal="right" vertical="center"/>
    </xf>
    <xf numFmtId="2" fontId="6" fillId="0" borderId="10" xfId="80" applyNumberFormat="1" applyFont="1" applyFill="1" applyBorder="1" applyAlignment="1">
      <alignment horizontal="left" vertical="center" wrapText="1"/>
      <protection/>
    </xf>
    <xf numFmtId="172" fontId="11" fillId="0" borderId="10" xfId="0" applyNumberFormat="1" applyFont="1" applyFill="1" applyBorder="1" applyAlignment="1">
      <alignment vertical="center"/>
    </xf>
    <xf numFmtId="172" fontId="11" fillId="0" borderId="10" xfId="45" applyNumberFormat="1" applyFont="1" applyFill="1" applyBorder="1" applyAlignment="1">
      <alignment horizontal="right" vertical="center" wrapText="1"/>
    </xf>
    <xf numFmtId="173" fontId="11" fillId="0" borderId="10" xfId="0" applyNumberFormat="1" applyFont="1" applyFill="1" applyBorder="1" applyAlignment="1">
      <alignment vertical="center"/>
    </xf>
    <xf numFmtId="164" fontId="11" fillId="0" borderId="10" xfId="45" applyFont="1" applyFill="1" applyBorder="1" applyAlignment="1">
      <alignment horizontal="right" vertical="center" wrapText="1"/>
    </xf>
    <xf numFmtId="174" fontId="6" fillId="0" borderId="10" xfId="41" applyNumberFormat="1" applyFont="1" applyFill="1" applyBorder="1" applyAlignment="1">
      <alignment horizontal="right" vertical="center" wrapText="1"/>
    </xf>
    <xf numFmtId="174" fontId="6" fillId="0" borderId="10" xfId="41" applyNumberFormat="1" applyFont="1" applyFill="1" applyBorder="1" applyAlignment="1">
      <alignment horizontal="right" vertical="center"/>
    </xf>
    <xf numFmtId="1" fontId="6" fillId="0" borderId="10" xfId="73" applyNumberFormat="1" applyFont="1" applyFill="1" applyBorder="1" applyAlignment="1" applyProtection="1">
      <alignment vertical="center" wrapText="1"/>
      <protection locked="0"/>
    </xf>
    <xf numFmtId="0" fontId="6" fillId="0" borderId="10" xfId="0" applyFont="1" applyFill="1" applyBorder="1" applyAlignment="1">
      <alignment horizontal="center" vertical="center"/>
    </xf>
    <xf numFmtId="0" fontId="6" fillId="0" borderId="10" xfId="48" applyNumberFormat="1" applyFont="1" applyFill="1" applyBorder="1" applyAlignment="1">
      <alignment horizontal="center" vertical="center" wrapText="1"/>
    </xf>
    <xf numFmtId="170" fontId="6" fillId="0" borderId="10" xfId="46" applyNumberFormat="1" applyFont="1" applyFill="1" applyBorder="1" applyAlignment="1" applyProtection="1">
      <alignment horizontal="left" vertical="center" wrapText="1"/>
      <protection locked="0"/>
    </xf>
    <xf numFmtId="4" fontId="6" fillId="0" borderId="10" xfId="84" applyNumberFormat="1" applyFont="1" applyFill="1" applyBorder="1" applyAlignment="1">
      <alignment horizontal="center" vertical="center" wrapText="1"/>
      <protection/>
    </xf>
    <xf numFmtId="0" fontId="9" fillId="0" borderId="10" xfId="66" applyFont="1" applyFill="1" applyBorder="1" applyAlignment="1">
      <alignment horizontal="center" vertical="center" wrapText="1"/>
      <protection/>
    </xf>
    <xf numFmtId="164" fontId="9" fillId="0" borderId="10" xfId="41" applyFont="1" applyFill="1" applyBorder="1" applyAlignment="1">
      <alignment horizontal="center" vertical="center" wrapText="1"/>
    </xf>
    <xf numFmtId="0" fontId="9" fillId="0" borderId="10" xfId="62" applyFont="1" applyFill="1" applyBorder="1" applyAlignment="1">
      <alignment horizontal="center" vertical="center"/>
      <protection/>
    </xf>
    <xf numFmtId="4" fontId="9" fillId="0" borderId="10" xfId="62" applyNumberFormat="1" applyFont="1" applyFill="1" applyBorder="1" applyAlignment="1">
      <alignment horizontal="center" vertical="center"/>
      <protection/>
    </xf>
    <xf numFmtId="49" fontId="6" fillId="0" borderId="10" xfId="77" applyNumberFormat="1" applyFont="1" applyFill="1" applyBorder="1" applyAlignment="1">
      <alignment vertical="center" wrapText="1"/>
      <protection/>
    </xf>
    <xf numFmtId="164" fontId="9" fillId="0" borderId="10" xfId="41" applyFont="1" applyFill="1" applyBorder="1" applyAlignment="1">
      <alignment horizontal="center" vertical="center"/>
    </xf>
    <xf numFmtId="3" fontId="6" fillId="0" borderId="10" xfId="62" applyNumberFormat="1" applyFont="1" applyFill="1" applyBorder="1" applyAlignment="1">
      <alignment horizontal="center" vertical="center"/>
      <protection/>
    </xf>
    <xf numFmtId="1" fontId="6" fillId="0" borderId="10" xfId="75" applyNumberFormat="1" applyFont="1" applyFill="1" applyBorder="1" applyAlignment="1">
      <alignment horizontal="left" vertical="center" wrapText="1"/>
      <protection/>
    </xf>
    <xf numFmtId="3" fontId="9" fillId="0" borderId="10" xfId="69" applyNumberFormat="1" applyFont="1" applyFill="1" applyBorder="1" applyAlignment="1">
      <alignment horizontal="center" vertical="center"/>
      <protection/>
    </xf>
    <xf numFmtId="166" fontId="9" fillId="0" borderId="10" xfId="65" applyNumberFormat="1" applyFont="1" applyFill="1" applyBorder="1" applyAlignment="1">
      <alignment horizontal="left" vertical="center" wrapText="1"/>
      <protection/>
    </xf>
    <xf numFmtId="1" fontId="9" fillId="0" borderId="10" xfId="64" applyNumberFormat="1" applyFont="1" applyFill="1" applyBorder="1" applyAlignment="1">
      <alignment horizontal="center" vertical="center"/>
      <protection/>
    </xf>
    <xf numFmtId="4" fontId="6" fillId="0" borderId="0" xfId="62" applyNumberFormat="1" applyFont="1" applyFill="1" applyAlignment="1">
      <alignment horizontal="right" vertical="center"/>
      <protection/>
    </xf>
    <xf numFmtId="4" fontId="6" fillId="0" borderId="0" xfId="62" applyNumberFormat="1" applyFont="1" applyFill="1" applyAlignment="1">
      <alignment horizontal="center" vertical="center"/>
      <protection/>
    </xf>
    <xf numFmtId="4" fontId="6" fillId="0" borderId="0" xfId="62" applyNumberFormat="1" applyFont="1" applyFill="1" applyAlignment="1">
      <alignment horizontal="center" vertical="center" wrapText="1"/>
      <protection/>
    </xf>
    <xf numFmtId="0" fontId="6" fillId="0" borderId="0" xfId="62" applyFont="1" applyFill="1" applyAlignment="1" quotePrefix="1">
      <alignment horizontal="center" vertical="center" wrapText="1"/>
      <protection/>
    </xf>
    <xf numFmtId="49" fontId="6" fillId="0" borderId="0" xfId="62" applyNumberFormat="1" applyFont="1" applyFill="1" applyAlignment="1">
      <alignment horizontal="center" vertical="center" wrapText="1"/>
      <protection/>
    </xf>
    <xf numFmtId="0" fontId="6" fillId="0" borderId="0" xfId="62" applyFont="1" applyFill="1" applyAlignment="1">
      <alignment horizontal="center" wrapText="1"/>
      <protection/>
    </xf>
    <xf numFmtId="49" fontId="6" fillId="0" borderId="0" xfId="62" applyNumberFormat="1" applyFont="1" applyFill="1" applyAlignment="1">
      <alignment horizontal="left" vertical="center" wrapText="1"/>
      <protection/>
    </xf>
    <xf numFmtId="49" fontId="6" fillId="0" borderId="0" xfId="62" applyNumberFormat="1" applyFont="1" applyFill="1" applyAlignment="1">
      <alignment horizontal="center" vertical="center"/>
      <protection/>
    </xf>
    <xf numFmtId="0" fontId="6" fillId="0" borderId="10" xfId="73" applyFont="1" applyFill="1" applyBorder="1" applyAlignment="1">
      <alignment horizontal="center" vertical="center" wrapText="1"/>
      <protection/>
    </xf>
    <xf numFmtId="3" fontId="6" fillId="0" borderId="10" xfId="69" applyNumberFormat="1" applyFont="1" applyFill="1" applyBorder="1" applyAlignment="1">
      <alignment horizontal="center" vertical="center"/>
      <protection/>
    </xf>
    <xf numFmtId="2" fontId="6" fillId="0" borderId="10" xfId="80" applyNumberFormat="1" applyFont="1" applyFill="1" applyBorder="1" applyAlignment="1">
      <alignment horizontal="left" vertical="center" wrapText="1"/>
      <protection/>
    </xf>
    <xf numFmtId="166" fontId="6" fillId="0" borderId="10" xfId="73" applyNumberFormat="1" applyFont="1" applyFill="1" applyBorder="1" applyAlignment="1">
      <alignment horizontal="left" vertical="center" wrapText="1"/>
      <protection/>
    </xf>
    <xf numFmtId="3" fontId="6" fillId="0" borderId="10" xfId="48" applyNumberFormat="1" applyFont="1" applyFill="1" applyBorder="1" applyAlignment="1">
      <alignment horizontal="center" vertical="center" wrapText="1"/>
    </xf>
    <xf numFmtId="0" fontId="6" fillId="0" borderId="10" xfId="69" applyFont="1" applyFill="1" applyBorder="1" applyAlignment="1">
      <alignment horizontal="left" vertical="center" wrapText="1"/>
      <protection/>
    </xf>
    <xf numFmtId="0" fontId="6" fillId="0" borderId="10" xfId="73" applyFont="1" applyFill="1" applyBorder="1" applyAlignment="1">
      <alignment horizontal="left" vertical="center" wrapText="1"/>
      <protection/>
    </xf>
    <xf numFmtId="0" fontId="6" fillId="0" borderId="10" xfId="66" applyFont="1" applyFill="1" applyBorder="1" applyAlignment="1">
      <alignment horizontal="center" vertical="center" wrapText="1"/>
      <protection/>
    </xf>
    <xf numFmtId="49" fontId="6" fillId="0" borderId="10" xfId="62" applyNumberFormat="1" applyFont="1" applyFill="1" applyBorder="1" applyAlignment="1">
      <alignment horizontal="center" vertical="center" wrapText="1"/>
      <protection/>
    </xf>
    <xf numFmtId="166" fontId="6" fillId="0" borderId="10" xfId="65" applyNumberFormat="1" applyFont="1" applyFill="1" applyBorder="1" applyAlignment="1">
      <alignment horizontal="left" vertical="center" wrapText="1"/>
      <protection/>
    </xf>
    <xf numFmtId="2" fontId="6" fillId="0" borderId="10" xfId="77" applyNumberFormat="1" applyFont="1" applyFill="1" applyBorder="1" applyAlignment="1">
      <alignment horizontal="center" vertical="center" wrapText="1"/>
      <protection/>
    </xf>
    <xf numFmtId="164" fontId="6" fillId="0" borderId="10" xfId="45" applyFont="1" applyFill="1" applyBorder="1" applyAlignment="1">
      <alignment horizontal="left" vertical="center" wrapText="1"/>
    </xf>
    <xf numFmtId="0" fontId="6" fillId="0" borderId="11" xfId="62" applyFont="1" applyFill="1" applyBorder="1" applyAlignment="1">
      <alignment horizontal="left" vertical="center" wrapText="1"/>
      <protection/>
    </xf>
    <xf numFmtId="0" fontId="6" fillId="0" borderId="13" xfId="62" applyFont="1" applyFill="1" applyBorder="1" applyAlignment="1">
      <alignment horizontal="left" vertical="center" wrapText="1"/>
      <protection/>
    </xf>
    <xf numFmtId="0" fontId="6" fillId="0" borderId="12" xfId="62" applyFont="1" applyFill="1" applyBorder="1" applyAlignment="1">
      <alignment horizontal="left" vertical="center" wrapText="1"/>
      <protection/>
    </xf>
    <xf numFmtId="3" fontId="6" fillId="0" borderId="11" xfId="69" applyNumberFormat="1" applyFont="1" applyFill="1" applyBorder="1" applyAlignment="1">
      <alignment horizontal="center" vertical="center" wrapText="1"/>
      <protection/>
    </xf>
    <xf numFmtId="3" fontId="6" fillId="0" borderId="13" xfId="69" applyNumberFormat="1" applyFont="1" applyFill="1" applyBorder="1" applyAlignment="1">
      <alignment horizontal="center" vertical="center" wrapText="1"/>
      <protection/>
    </xf>
    <xf numFmtId="3" fontId="6" fillId="0" borderId="12" xfId="69" applyNumberFormat="1" applyFont="1" applyFill="1" applyBorder="1" applyAlignment="1">
      <alignment horizontal="center" vertical="center" wrapText="1"/>
      <protection/>
    </xf>
    <xf numFmtId="1" fontId="6" fillId="0" borderId="10" xfId="64" applyNumberFormat="1" applyFont="1" applyFill="1" applyBorder="1" applyAlignment="1">
      <alignment horizontal="center" vertical="center" wrapText="1"/>
      <protection/>
    </xf>
    <xf numFmtId="0" fontId="6" fillId="0" borderId="10" xfId="69" applyFont="1" applyFill="1" applyBorder="1" applyAlignment="1">
      <alignment horizontal="center" vertical="center" wrapText="1"/>
      <protection/>
    </xf>
    <xf numFmtId="3" fontId="6" fillId="0" borderId="10" xfId="69" applyNumberFormat="1" applyFont="1" applyFill="1" applyBorder="1" applyAlignment="1">
      <alignment horizontal="center" vertical="center" wrapText="1"/>
      <protection/>
    </xf>
    <xf numFmtId="164" fontId="6" fillId="0" borderId="10" xfId="45" applyFont="1" applyFill="1" applyBorder="1" applyAlignment="1">
      <alignment horizontal="center" vertical="center" wrapText="1"/>
    </xf>
    <xf numFmtId="0" fontId="6" fillId="0" borderId="10" xfId="69" applyFont="1" applyFill="1" applyBorder="1" applyAlignment="1">
      <alignment horizontal="center" vertical="center"/>
      <protection/>
    </xf>
    <xf numFmtId="4" fontId="6" fillId="0" borderId="10" xfId="62" applyNumberFormat="1" applyFont="1" applyFill="1" applyBorder="1" applyAlignment="1">
      <alignment horizontal="center" vertical="center" wrapText="1"/>
      <protection/>
    </xf>
    <xf numFmtId="49" fontId="6" fillId="0" borderId="10" xfId="77" applyNumberFormat="1" applyFont="1" applyFill="1" applyBorder="1" applyAlignment="1">
      <alignment horizontal="center" vertical="center" wrapText="1"/>
      <protection/>
    </xf>
    <xf numFmtId="3" fontId="6" fillId="0" borderId="10" xfId="62" applyNumberFormat="1" applyFont="1" applyFill="1" applyBorder="1" applyAlignment="1">
      <alignment horizontal="center" vertical="center" wrapText="1"/>
      <protection/>
    </xf>
    <xf numFmtId="1" fontId="6" fillId="0" borderId="10" xfId="64" applyNumberFormat="1" applyFont="1" applyFill="1" applyBorder="1" applyAlignment="1">
      <alignment horizontal="center" vertical="center"/>
      <protection/>
    </xf>
    <xf numFmtId="0" fontId="6" fillId="0" borderId="10" xfId="62" applyFont="1" applyFill="1" applyBorder="1" applyAlignment="1">
      <alignment horizontal="center" vertical="center" wrapText="1"/>
      <protection/>
    </xf>
    <xf numFmtId="0" fontId="6" fillId="0" borderId="10" xfId="69" applyFont="1" applyFill="1" applyBorder="1" applyAlignment="1" quotePrefix="1">
      <alignment horizontal="center" vertical="center" wrapText="1"/>
      <protection/>
    </xf>
    <xf numFmtId="4" fontId="6" fillId="0" borderId="10" xfId="69" applyNumberFormat="1" applyFont="1" applyFill="1" applyBorder="1" applyAlignment="1">
      <alignment horizontal="center" vertical="center" wrapText="1"/>
      <protection/>
    </xf>
    <xf numFmtId="49" fontId="6" fillId="0" borderId="10" xfId="69" applyNumberFormat="1" applyFont="1" applyFill="1" applyBorder="1" applyAlignment="1">
      <alignment horizontal="center" vertical="center" wrapText="1"/>
      <protection/>
    </xf>
    <xf numFmtId="0" fontId="12" fillId="0" borderId="10" xfId="66" applyFont="1" applyFill="1" applyBorder="1" applyAlignment="1" quotePrefix="1">
      <alignment horizontal="center" vertical="center" wrapText="1"/>
      <protection/>
    </xf>
    <xf numFmtId="49" fontId="6" fillId="0" borderId="10" xfId="61" applyNumberFormat="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9" fillId="0" borderId="0" xfId="62" applyFont="1" applyFill="1" applyAlignment="1">
      <alignment horizontal="left" vertical="center" wrapText="1"/>
      <protection/>
    </xf>
    <xf numFmtId="0" fontId="9" fillId="0" borderId="0" xfId="62" applyFont="1" applyFill="1" applyAlignment="1">
      <alignment horizontal="center" vertical="center" wrapText="1"/>
      <protection/>
    </xf>
    <xf numFmtId="49" fontId="9" fillId="0" borderId="10" xfId="77" applyNumberFormat="1" applyFont="1" applyFill="1" applyBorder="1" applyAlignment="1">
      <alignment horizontal="center" vertical="center" wrapText="1"/>
      <protection/>
    </xf>
    <xf numFmtId="49" fontId="10" fillId="0" borderId="10" xfId="77" applyNumberFormat="1" applyFont="1" applyFill="1" applyBorder="1" applyAlignment="1">
      <alignment horizontal="center" vertical="center" wrapText="1"/>
      <protection/>
    </xf>
    <xf numFmtId="4" fontId="9" fillId="0" borderId="10" xfId="77" applyNumberFormat="1" applyFont="1" applyFill="1" applyBorder="1" applyAlignment="1">
      <alignment horizontal="center" vertical="center" wrapText="1"/>
      <protection/>
    </xf>
    <xf numFmtId="4" fontId="9" fillId="0" borderId="10" xfId="78" applyNumberFormat="1" applyFont="1" applyFill="1" applyBorder="1" applyAlignment="1">
      <alignment horizontal="center" vertical="center" wrapText="1"/>
      <protection/>
    </xf>
    <xf numFmtId="4" fontId="10" fillId="0" borderId="10" xfId="78" applyNumberFormat="1" applyFont="1" applyFill="1" applyBorder="1" applyAlignment="1">
      <alignment horizontal="center" vertical="center" wrapText="1"/>
      <protection/>
    </xf>
    <xf numFmtId="4" fontId="9" fillId="0" borderId="10" xfId="62" applyNumberFormat="1" applyFont="1" applyFill="1" applyBorder="1" applyAlignment="1">
      <alignment horizontal="center" vertical="center" wrapText="1"/>
      <protection/>
    </xf>
    <xf numFmtId="49" fontId="9" fillId="0" borderId="10" xfId="62" applyNumberFormat="1" applyFont="1" applyFill="1" applyBorder="1" applyAlignment="1">
      <alignment horizontal="center" vertical="center" wrapText="1"/>
      <protection/>
    </xf>
    <xf numFmtId="49" fontId="10" fillId="0" borderId="10" xfId="62" applyNumberFormat="1" applyFont="1" applyFill="1" applyBorder="1" applyAlignment="1">
      <alignment horizontal="center" vertical="center" wrapText="1"/>
      <protection/>
    </xf>
    <xf numFmtId="0" fontId="6" fillId="0" borderId="10" xfId="62" applyFont="1" applyFill="1" applyBorder="1" applyAlignment="1">
      <alignment horizontal="left" vertical="center" wrapText="1"/>
      <protection/>
    </xf>
    <xf numFmtId="0" fontId="6" fillId="0" borderId="11" xfId="69" applyFont="1" applyFill="1" applyBorder="1" applyAlignment="1">
      <alignment horizontal="center" vertical="center" wrapText="1"/>
      <protection/>
    </xf>
    <xf numFmtId="0" fontId="6" fillId="0" borderId="12" xfId="69" applyFont="1" applyFill="1" applyBorder="1" applyAlignment="1">
      <alignment horizontal="center" vertical="center" wrapText="1"/>
      <protection/>
    </xf>
    <xf numFmtId="164" fontId="6" fillId="0" borderId="10" xfId="41" applyFont="1" applyFill="1" applyBorder="1" applyAlignment="1">
      <alignment horizontal="center" vertical="center" wrapText="1"/>
    </xf>
    <xf numFmtId="170" fontId="6" fillId="0" borderId="10" xfId="46" applyNumberFormat="1" applyFont="1" applyFill="1" applyBorder="1" applyAlignment="1" applyProtection="1" quotePrefix="1">
      <alignment horizontal="left" vertical="center" wrapText="1"/>
      <protection/>
    </xf>
    <xf numFmtId="3" fontId="6" fillId="0" borderId="10" xfId="62" applyNumberFormat="1" applyFont="1" applyFill="1" applyBorder="1" applyAlignment="1">
      <alignment horizontal="center" vertical="center"/>
      <protection/>
    </xf>
    <xf numFmtId="0" fontId="9" fillId="0" borderId="10" xfId="62" applyFont="1" applyFill="1" applyBorder="1" applyAlignment="1">
      <alignment horizontal="center" vertical="center" wrapText="1"/>
      <protection/>
    </xf>
    <xf numFmtId="0" fontId="6" fillId="0" borderId="10" xfId="66" applyFont="1" applyFill="1" applyBorder="1" applyAlignment="1" quotePrefix="1">
      <alignment horizontal="left" vertical="center" wrapText="1"/>
      <protection/>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10 2 2" xfId="43"/>
    <cellStyle name="Comma 2 3 3" xfId="44"/>
    <cellStyle name="Comma 3" xfId="45"/>
    <cellStyle name="Comma 3 2 2 2" xfId="46"/>
    <cellStyle name="Comma 4 2" xfId="47"/>
    <cellStyle name="Comma 4 2 2" xfId="48"/>
    <cellStyle name="Currency" xfId="49"/>
    <cellStyle name="Currency [0]" xfId="50"/>
    <cellStyle name="Check Cell"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14" xfId="61"/>
    <cellStyle name="Normal 14 13" xfId="62"/>
    <cellStyle name="Normal 19 2 2" xfId="63"/>
    <cellStyle name="Normal 2 2" xfId="64"/>
    <cellStyle name="Normal 2 2 10" xfId="65"/>
    <cellStyle name="Normal 2 2 2" xfId="66"/>
    <cellStyle name="Normal 2 2 2 13" xfId="67"/>
    <cellStyle name="Normal 22 2" xfId="68"/>
    <cellStyle name="Normal 22 2 2" xfId="69"/>
    <cellStyle name="Normal 3 2" xfId="70"/>
    <cellStyle name="Normal 36" xfId="71"/>
    <cellStyle name="Normal 6 26 2" xfId="72"/>
    <cellStyle name="Normal 9 2" xfId="73"/>
    <cellStyle name="Normal_01-THANH BA " xfId="74"/>
    <cellStyle name="Normal_Bieu mau (CV ) 2 2" xfId="75"/>
    <cellStyle name="Normal_Cong trinh dang thi cong da kiem tra-them cot-Uni" xfId="76"/>
    <cellStyle name="Normal_copy" xfId="77"/>
    <cellStyle name="Normal_D.o" xfId="78"/>
    <cellStyle name="Normal_hien trang 42 xa" xfId="79"/>
    <cellStyle name="Normal_Phu bieu cc36" xfId="80"/>
    <cellStyle name="Normal_QPAN" xfId="81"/>
    <cellStyle name="Normal_Sheet1 2" xfId="82"/>
    <cellStyle name="Normal_Sheet1_Sheet3" xfId="83"/>
    <cellStyle name="Normal_UBND" xfId="84"/>
    <cellStyle name="Note" xfId="85"/>
    <cellStyle name="Output" xfId="86"/>
    <cellStyle name="Percent" xfId="87"/>
    <cellStyle name="Title" xfId="88"/>
    <cellStyle name="Total" xfId="89"/>
    <cellStyle name="Warning Text"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I543"/>
  <sheetViews>
    <sheetView tabSelected="1" view="pageBreakPreview" zoomScale="85" zoomScaleNormal="70" zoomScaleSheetLayoutView="85" zoomScalePageLayoutView="0" workbookViewId="0" topLeftCell="A1">
      <pane xSplit="7" ySplit="6" topLeftCell="BH528" activePane="bottomRight" state="frozen"/>
      <selection pane="topLeft" activeCell="A386" sqref="A386:IV386"/>
      <selection pane="topRight" activeCell="A386" sqref="A386:IV386"/>
      <selection pane="bottomLeft" activeCell="A386" sqref="A386:IV386"/>
      <selection pane="bottomRight" activeCell="A2" sqref="A2:BM2"/>
    </sheetView>
  </sheetViews>
  <sheetFormatPr defaultColWidth="8.57421875" defaultRowHeight="15"/>
  <cols>
    <col min="1" max="1" width="9.00390625" style="187" customWidth="1"/>
    <col min="2" max="2" width="35.7109375" style="23" customWidth="1"/>
    <col min="3" max="3" width="21.57421875" style="187" hidden="1" customWidth="1"/>
    <col min="4" max="4" width="7.421875" style="16" customWidth="1"/>
    <col min="5" max="6" width="11.7109375" style="275" customWidth="1"/>
    <col min="7" max="7" width="12.7109375" style="275" customWidth="1"/>
    <col min="8" max="21" width="10.57421875" style="142" hidden="1" customWidth="1"/>
    <col min="22" max="23" width="10.57421875" style="276" hidden="1" customWidth="1"/>
    <col min="24" max="59" width="10.57421875" style="142" hidden="1" customWidth="1"/>
    <col min="60" max="60" width="22.421875" style="277" customWidth="1"/>
    <col min="61" max="61" width="21.57421875" style="187" customWidth="1"/>
    <col min="62" max="62" width="31.7109375" style="16" customWidth="1"/>
    <col min="63" max="63" width="20.28125" style="279" hidden="1" customWidth="1"/>
    <col min="64" max="64" width="29.421875" style="280" customWidth="1"/>
    <col min="65" max="65" width="18.00390625" style="16" hidden="1" customWidth="1"/>
    <col min="66" max="66" width="16.7109375" style="16" hidden="1" customWidth="1"/>
    <col min="67" max="67" width="20.8515625" style="23" customWidth="1"/>
    <col min="68" max="68" width="26.28125" style="16" customWidth="1"/>
    <col min="69" max="69" width="20.7109375" style="18" customWidth="1"/>
    <col min="70" max="70" width="10.7109375" style="17" customWidth="1"/>
    <col min="71" max="71" width="13.57421875" style="18" bestFit="1" customWidth="1"/>
    <col min="72" max="243" width="10.7109375" style="17" customWidth="1"/>
    <col min="244" max="244" width="9.00390625" style="17" customWidth="1"/>
    <col min="245" max="245" width="39.7109375" style="17" customWidth="1"/>
    <col min="246" max="246" width="17.28125" style="17" customWidth="1"/>
    <col min="247" max="247" width="0" style="17" hidden="1" customWidth="1"/>
    <col min="248" max="248" width="7.421875" style="17" customWidth="1"/>
    <col min="249" max="251" width="10.28125" style="17" customWidth="1"/>
    <col min="252" max="252" width="13.57421875" style="17" customWidth="1"/>
    <col min="253" max="254" width="8.57421875" style="17" customWidth="1"/>
    <col min="255" max="255" width="9.57421875" style="17" customWidth="1"/>
    <col min="256" max="16384" width="8.57421875" style="17" customWidth="1"/>
  </cols>
  <sheetData>
    <row r="1" spans="1:65" ht="15">
      <c r="A1" s="317" t="s">
        <v>1157</v>
      </c>
      <c r="B1" s="317"/>
      <c r="C1" s="19"/>
      <c r="D1" s="20"/>
      <c r="E1" s="21"/>
      <c r="F1" s="21"/>
      <c r="G1" s="21"/>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20"/>
      <c r="BI1" s="19"/>
      <c r="BJ1" s="19"/>
      <c r="BK1" s="19"/>
      <c r="BL1" s="22"/>
      <c r="BM1" s="22"/>
    </row>
    <row r="2" spans="1:68" s="19" customFormat="1" ht="15">
      <c r="A2" s="318" t="s">
        <v>0</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20"/>
      <c r="BO2" s="24"/>
      <c r="BP2" s="20"/>
    </row>
    <row r="3" spans="1:65" ht="15">
      <c r="A3" s="318" t="s">
        <v>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row>
    <row r="4" spans="1:65" ht="15">
      <c r="A4" s="20"/>
      <c r="B4" s="24"/>
      <c r="C4" s="20"/>
      <c r="D4" s="20"/>
      <c r="E4" s="21"/>
      <c r="F4" s="21"/>
      <c r="G4" s="21"/>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row>
    <row r="5" spans="1:67" ht="27.75" customHeight="1">
      <c r="A5" s="319" t="s">
        <v>2</v>
      </c>
      <c r="B5" s="319" t="s">
        <v>3</v>
      </c>
      <c r="C5" s="325" t="s">
        <v>4</v>
      </c>
      <c r="D5" s="319" t="s">
        <v>1006</v>
      </c>
      <c r="E5" s="324" t="s">
        <v>1009</v>
      </c>
      <c r="F5" s="324" t="s">
        <v>1010</v>
      </c>
      <c r="G5" s="324" t="s">
        <v>1005</v>
      </c>
      <c r="H5" s="321" t="s">
        <v>5</v>
      </c>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c r="BG5" s="321"/>
      <c r="BH5" s="322" t="s">
        <v>987</v>
      </c>
      <c r="BI5" s="325" t="s">
        <v>4</v>
      </c>
      <c r="BJ5" s="319" t="s">
        <v>6</v>
      </c>
      <c r="BK5" s="319" t="s">
        <v>7</v>
      </c>
      <c r="BL5" s="333" t="s">
        <v>8</v>
      </c>
      <c r="BM5" s="319" t="s">
        <v>9</v>
      </c>
      <c r="BN5" s="333" t="s">
        <v>1023</v>
      </c>
      <c r="BO5" s="333" t="s">
        <v>9</v>
      </c>
    </row>
    <row r="6" spans="1:71" s="32" customFormat="1" ht="27.75" customHeight="1">
      <c r="A6" s="320"/>
      <c r="B6" s="320"/>
      <c r="C6" s="326"/>
      <c r="D6" s="320"/>
      <c r="E6" s="324"/>
      <c r="F6" s="324"/>
      <c r="G6" s="324"/>
      <c r="H6" s="25" t="s">
        <v>10</v>
      </c>
      <c r="I6" s="26" t="s">
        <v>11</v>
      </c>
      <c r="J6" s="27" t="s">
        <v>12</v>
      </c>
      <c r="K6" s="26" t="s">
        <v>13</v>
      </c>
      <c r="L6" s="26" t="s">
        <v>14</v>
      </c>
      <c r="M6" s="25" t="s">
        <v>15</v>
      </c>
      <c r="N6" s="28" t="s">
        <v>16</v>
      </c>
      <c r="O6" s="28" t="s">
        <v>17</v>
      </c>
      <c r="P6" s="28" t="s">
        <v>18</v>
      </c>
      <c r="Q6" s="25" t="s">
        <v>19</v>
      </c>
      <c r="R6" s="28" t="s">
        <v>20</v>
      </c>
      <c r="S6" s="28" t="s">
        <v>21</v>
      </c>
      <c r="T6" s="28" t="s">
        <v>22</v>
      </c>
      <c r="U6" s="25" t="s">
        <v>23</v>
      </c>
      <c r="V6" s="28" t="s">
        <v>24</v>
      </c>
      <c r="W6" s="28" t="s">
        <v>25</v>
      </c>
      <c r="X6" s="28" t="s">
        <v>26</v>
      </c>
      <c r="Y6" s="29" t="s">
        <v>27</v>
      </c>
      <c r="Z6" s="25" t="s">
        <v>28</v>
      </c>
      <c r="AA6" s="26" t="s">
        <v>29</v>
      </c>
      <c r="AB6" s="26" t="s">
        <v>30</v>
      </c>
      <c r="AC6" s="25" t="s">
        <v>31</v>
      </c>
      <c r="AD6" s="26" t="s">
        <v>32</v>
      </c>
      <c r="AE6" s="26" t="s">
        <v>33</v>
      </c>
      <c r="AF6" s="26" t="s">
        <v>34</v>
      </c>
      <c r="AG6" s="26" t="s">
        <v>35</v>
      </c>
      <c r="AH6" s="26" t="s">
        <v>36</v>
      </c>
      <c r="AI6" s="26" t="s">
        <v>37</v>
      </c>
      <c r="AJ6" s="26" t="s">
        <v>38</v>
      </c>
      <c r="AK6" s="26" t="s">
        <v>39</v>
      </c>
      <c r="AL6" s="26" t="s">
        <v>40</v>
      </c>
      <c r="AM6" s="26" t="s">
        <v>41</v>
      </c>
      <c r="AN6" s="26" t="s">
        <v>42</v>
      </c>
      <c r="AO6" s="26" t="s">
        <v>43</v>
      </c>
      <c r="AP6" s="26" t="s">
        <v>44</v>
      </c>
      <c r="AQ6" s="26" t="s">
        <v>45</v>
      </c>
      <c r="AR6" s="25" t="s">
        <v>46</v>
      </c>
      <c r="AS6" s="26" t="s">
        <v>47</v>
      </c>
      <c r="AT6" s="26" t="s">
        <v>48</v>
      </c>
      <c r="AU6" s="26" t="s">
        <v>49</v>
      </c>
      <c r="AV6" s="26" t="s">
        <v>50</v>
      </c>
      <c r="AW6" s="26" t="s">
        <v>51</v>
      </c>
      <c r="AX6" s="26" t="s">
        <v>52</v>
      </c>
      <c r="AY6" s="26" t="s">
        <v>53</v>
      </c>
      <c r="AZ6" s="26" t="s">
        <v>54</v>
      </c>
      <c r="BA6" s="26" t="s">
        <v>55</v>
      </c>
      <c r="BB6" s="26" t="s">
        <v>56</v>
      </c>
      <c r="BC6" s="26" t="s">
        <v>57</v>
      </c>
      <c r="BD6" s="26" t="s">
        <v>58</v>
      </c>
      <c r="BE6" s="26" t="s">
        <v>59</v>
      </c>
      <c r="BF6" s="25" t="s">
        <v>60</v>
      </c>
      <c r="BG6" s="25" t="s">
        <v>61</v>
      </c>
      <c r="BH6" s="323"/>
      <c r="BI6" s="326"/>
      <c r="BJ6" s="320"/>
      <c r="BK6" s="319"/>
      <c r="BL6" s="333"/>
      <c r="BM6" s="320"/>
      <c r="BN6" s="333"/>
      <c r="BO6" s="333"/>
      <c r="BP6" s="30">
        <v>310524</v>
      </c>
      <c r="BQ6" s="31"/>
      <c r="BS6" s="31"/>
    </row>
    <row r="7" spans="1:67" ht="22.5" customHeight="1">
      <c r="A7" s="33" t="s">
        <v>62</v>
      </c>
      <c r="B7" s="34" t="s">
        <v>63</v>
      </c>
      <c r="C7" s="35"/>
      <c r="D7" s="36"/>
      <c r="E7" s="37">
        <f aca="true" t="shared" si="0" ref="E7:E33">SUM(F7:G7)</f>
        <v>82.63000000000001</v>
      </c>
      <c r="F7" s="38">
        <f>SUM(F8:F18)</f>
        <v>0</v>
      </c>
      <c r="G7" s="39">
        <f>SUM(G8:G18)</f>
        <v>82.63000000000001</v>
      </c>
      <c r="H7" s="39">
        <f>SUM(H8:H18)</f>
        <v>0.11</v>
      </c>
      <c r="I7" s="39">
        <f aca="true" t="shared" si="1" ref="I7:BG7">SUM(I8:I18)</f>
        <v>0.23</v>
      </c>
      <c r="J7" s="39">
        <f t="shared" si="1"/>
        <v>0</v>
      </c>
      <c r="K7" s="39">
        <f t="shared" si="1"/>
        <v>0.79</v>
      </c>
      <c r="L7" s="39">
        <f t="shared" si="1"/>
        <v>0.5700000000000001</v>
      </c>
      <c r="M7" s="39">
        <f t="shared" si="1"/>
        <v>0</v>
      </c>
      <c r="N7" s="39">
        <f t="shared" si="1"/>
        <v>0</v>
      </c>
      <c r="O7" s="39">
        <f t="shared" si="1"/>
        <v>0</v>
      </c>
      <c r="P7" s="39">
        <f t="shared" si="1"/>
        <v>0</v>
      </c>
      <c r="Q7" s="39">
        <f t="shared" si="1"/>
        <v>0</v>
      </c>
      <c r="R7" s="39">
        <f t="shared" si="1"/>
        <v>0</v>
      </c>
      <c r="S7" s="39">
        <f t="shared" si="1"/>
        <v>0</v>
      </c>
      <c r="T7" s="39">
        <f t="shared" si="1"/>
        <v>0</v>
      </c>
      <c r="U7" s="39">
        <f t="shared" si="1"/>
        <v>79.05</v>
      </c>
      <c r="V7" s="39">
        <f t="shared" si="1"/>
        <v>59.69</v>
      </c>
      <c r="W7" s="39">
        <f t="shared" si="1"/>
        <v>12.120000000000001</v>
      </c>
      <c r="X7" s="39">
        <f t="shared" si="1"/>
        <v>7.24</v>
      </c>
      <c r="Y7" s="39">
        <f t="shared" si="1"/>
        <v>0</v>
      </c>
      <c r="Z7" s="39">
        <f t="shared" si="1"/>
        <v>0</v>
      </c>
      <c r="AA7" s="39">
        <f t="shared" si="1"/>
        <v>0</v>
      </c>
      <c r="AB7" s="39">
        <f t="shared" si="1"/>
        <v>0</v>
      </c>
      <c r="AC7" s="39">
        <f t="shared" si="1"/>
        <v>0</v>
      </c>
      <c r="AD7" s="39">
        <f t="shared" si="1"/>
        <v>0</v>
      </c>
      <c r="AE7" s="39">
        <f t="shared" si="1"/>
        <v>0</v>
      </c>
      <c r="AF7" s="39">
        <f t="shared" si="1"/>
        <v>1.12</v>
      </c>
      <c r="AG7" s="39">
        <f t="shared" si="1"/>
        <v>0</v>
      </c>
      <c r="AH7" s="39">
        <f t="shared" si="1"/>
        <v>0</v>
      </c>
      <c r="AI7" s="39">
        <f t="shared" si="1"/>
        <v>0</v>
      </c>
      <c r="AJ7" s="39">
        <f t="shared" si="1"/>
        <v>0</v>
      </c>
      <c r="AK7" s="39">
        <f t="shared" si="1"/>
        <v>0</v>
      </c>
      <c r="AL7" s="39">
        <f t="shared" si="1"/>
        <v>0</v>
      </c>
      <c r="AM7" s="39">
        <f t="shared" si="1"/>
        <v>0</v>
      </c>
      <c r="AN7" s="39">
        <f t="shared" si="1"/>
        <v>0</v>
      </c>
      <c r="AO7" s="39">
        <f t="shared" si="1"/>
        <v>0</v>
      </c>
      <c r="AP7" s="39">
        <f t="shared" si="1"/>
        <v>0</v>
      </c>
      <c r="AQ7" s="39">
        <f t="shared" si="1"/>
        <v>0</v>
      </c>
      <c r="AR7" s="39">
        <f t="shared" si="1"/>
        <v>0</v>
      </c>
      <c r="AS7" s="39">
        <f t="shared" si="1"/>
        <v>0</v>
      </c>
      <c r="AT7" s="39">
        <f t="shared" si="1"/>
        <v>0.01</v>
      </c>
      <c r="AU7" s="39">
        <f t="shared" si="1"/>
        <v>0</v>
      </c>
      <c r="AV7" s="39">
        <f t="shared" si="1"/>
        <v>0</v>
      </c>
      <c r="AW7" s="39">
        <f t="shared" si="1"/>
        <v>0</v>
      </c>
      <c r="AX7" s="39">
        <f t="shared" si="1"/>
        <v>0</v>
      </c>
      <c r="AY7" s="39">
        <f t="shared" si="1"/>
        <v>0</v>
      </c>
      <c r="AZ7" s="39">
        <f t="shared" si="1"/>
        <v>0</v>
      </c>
      <c r="BA7" s="39">
        <f t="shared" si="1"/>
        <v>0</v>
      </c>
      <c r="BB7" s="39">
        <f t="shared" si="1"/>
        <v>0</v>
      </c>
      <c r="BC7" s="39">
        <f t="shared" si="1"/>
        <v>0</v>
      </c>
      <c r="BD7" s="39">
        <f t="shared" si="1"/>
        <v>0</v>
      </c>
      <c r="BE7" s="39">
        <f t="shared" si="1"/>
        <v>0</v>
      </c>
      <c r="BF7" s="39">
        <f t="shared" si="1"/>
        <v>0</v>
      </c>
      <c r="BG7" s="39">
        <f t="shared" si="1"/>
        <v>0.75</v>
      </c>
      <c r="BH7" s="40"/>
      <c r="BI7" s="35"/>
      <c r="BJ7" s="35"/>
      <c r="BK7" s="35"/>
      <c r="BL7" s="41"/>
      <c r="BM7" s="41"/>
      <c r="BN7" s="13"/>
      <c r="BO7" s="15"/>
    </row>
    <row r="8" spans="1:69" ht="67.5" customHeight="1">
      <c r="A8" s="42">
        <v>1</v>
      </c>
      <c r="B8" s="43" t="s">
        <v>64</v>
      </c>
      <c r="C8" s="42" t="s">
        <v>65</v>
      </c>
      <c r="D8" s="4" t="s">
        <v>29</v>
      </c>
      <c r="E8" s="44">
        <f t="shared" si="0"/>
        <v>0.4</v>
      </c>
      <c r="F8" s="45"/>
      <c r="G8" s="5">
        <f aca="true" t="shared" si="2" ref="G8:G18">SUM(H8:M8,Q8,U8,Y8:BG8)</f>
        <v>0.4</v>
      </c>
      <c r="H8" s="10"/>
      <c r="I8" s="10"/>
      <c r="J8" s="10"/>
      <c r="K8" s="10">
        <v>0.4</v>
      </c>
      <c r="L8" s="10"/>
      <c r="M8" s="46">
        <f aca="true" t="shared" si="3" ref="M8:M18">SUM(N8:P8)</f>
        <v>0</v>
      </c>
      <c r="N8" s="46"/>
      <c r="O8" s="46"/>
      <c r="P8" s="46"/>
      <c r="Q8" s="46">
        <f aca="true" t="shared" si="4" ref="Q8:Q18">R8+S8+T8</f>
        <v>0</v>
      </c>
      <c r="R8" s="10"/>
      <c r="S8" s="10"/>
      <c r="T8" s="10"/>
      <c r="U8" s="6"/>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t="s">
        <v>66</v>
      </c>
      <c r="BI8" s="42" t="s">
        <v>65</v>
      </c>
      <c r="BJ8" s="14" t="s">
        <v>67</v>
      </c>
      <c r="BK8" s="12" t="s">
        <v>68</v>
      </c>
      <c r="BL8" s="310" t="s">
        <v>69</v>
      </c>
      <c r="BM8" s="14" t="s">
        <v>935</v>
      </c>
      <c r="BN8" s="13" t="s">
        <v>1025</v>
      </c>
      <c r="BO8" s="15" t="s">
        <v>1147</v>
      </c>
      <c r="BQ8" s="17"/>
    </row>
    <row r="9" spans="1:69" ht="46.5">
      <c r="A9" s="42">
        <f>A8+1</f>
        <v>2</v>
      </c>
      <c r="B9" s="47" t="s">
        <v>70</v>
      </c>
      <c r="C9" s="14" t="s">
        <v>71</v>
      </c>
      <c r="D9" s="4" t="s">
        <v>29</v>
      </c>
      <c r="E9" s="44">
        <f t="shared" si="0"/>
        <v>2.5</v>
      </c>
      <c r="F9" s="45"/>
      <c r="G9" s="5">
        <f t="shared" si="2"/>
        <v>2.5</v>
      </c>
      <c r="H9" s="10"/>
      <c r="I9" s="10">
        <v>0.03</v>
      </c>
      <c r="J9" s="10"/>
      <c r="K9" s="10">
        <v>0.03</v>
      </c>
      <c r="L9" s="10"/>
      <c r="M9" s="48">
        <f t="shared" si="3"/>
        <v>0</v>
      </c>
      <c r="N9" s="48"/>
      <c r="O9" s="48"/>
      <c r="P9" s="48"/>
      <c r="Q9" s="48">
        <f t="shared" si="4"/>
        <v>0</v>
      </c>
      <c r="R9" s="10"/>
      <c r="S9" s="10"/>
      <c r="T9" s="10"/>
      <c r="U9" s="6">
        <f>SUM(V9:X9)</f>
        <v>1.3299999999999998</v>
      </c>
      <c r="V9" s="49">
        <f>2.4-1.07</f>
        <v>1.3299999999999998</v>
      </c>
      <c r="W9" s="50"/>
      <c r="X9" s="10"/>
      <c r="Y9" s="10"/>
      <c r="Z9" s="10"/>
      <c r="AA9" s="10"/>
      <c r="AB9" s="10"/>
      <c r="AC9" s="10"/>
      <c r="AD9" s="10"/>
      <c r="AE9" s="10"/>
      <c r="AF9" s="10">
        <f>1.07+0.04</f>
        <v>1.11</v>
      </c>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51" t="s">
        <v>72</v>
      </c>
      <c r="BI9" s="14" t="s">
        <v>71</v>
      </c>
      <c r="BJ9" s="14" t="s">
        <v>73</v>
      </c>
      <c r="BK9" s="12" t="s">
        <v>74</v>
      </c>
      <c r="BL9" s="310"/>
      <c r="BM9" s="14" t="s">
        <v>935</v>
      </c>
      <c r="BN9" s="13" t="s">
        <v>1025</v>
      </c>
      <c r="BO9" s="15" t="s">
        <v>1147</v>
      </c>
      <c r="BQ9" s="17"/>
    </row>
    <row r="10" spans="1:69" ht="46.5">
      <c r="A10" s="42">
        <f aca="true" t="shared" si="5" ref="A10:A18">A9+1</f>
        <v>3</v>
      </c>
      <c r="B10" s="47" t="s">
        <v>75</v>
      </c>
      <c r="C10" s="14" t="s">
        <v>71</v>
      </c>
      <c r="D10" s="4" t="s">
        <v>29</v>
      </c>
      <c r="E10" s="44">
        <f t="shared" si="0"/>
        <v>3</v>
      </c>
      <c r="F10" s="45"/>
      <c r="G10" s="5">
        <f t="shared" si="2"/>
        <v>3</v>
      </c>
      <c r="H10" s="52"/>
      <c r="I10" s="52"/>
      <c r="J10" s="52"/>
      <c r="K10" s="52"/>
      <c r="L10" s="52"/>
      <c r="M10" s="48">
        <f t="shared" si="3"/>
        <v>0</v>
      </c>
      <c r="N10" s="53"/>
      <c r="O10" s="53"/>
      <c r="P10" s="53"/>
      <c r="Q10" s="48">
        <f t="shared" si="4"/>
        <v>0</v>
      </c>
      <c r="R10" s="52"/>
      <c r="S10" s="52"/>
      <c r="T10" s="52"/>
      <c r="U10" s="6">
        <f aca="true" t="shared" si="6" ref="U10:U18">SUM(V10:X10)</f>
        <v>2.25</v>
      </c>
      <c r="V10" s="54">
        <v>2.25</v>
      </c>
      <c r="W10" s="54"/>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v>0.75</v>
      </c>
      <c r="BH10" s="54" t="s">
        <v>76</v>
      </c>
      <c r="BI10" s="14" t="s">
        <v>71</v>
      </c>
      <c r="BJ10" s="55" t="s">
        <v>77</v>
      </c>
      <c r="BK10" s="12" t="s">
        <v>374</v>
      </c>
      <c r="BL10" s="310"/>
      <c r="BM10" s="14" t="s">
        <v>935</v>
      </c>
      <c r="BN10" s="13" t="s">
        <v>1025</v>
      </c>
      <c r="BO10" s="15" t="s">
        <v>1147</v>
      </c>
      <c r="BQ10" s="17"/>
    </row>
    <row r="11" spans="1:69" ht="46.5">
      <c r="A11" s="42">
        <f t="shared" si="5"/>
        <v>4</v>
      </c>
      <c r="B11" s="47" t="s">
        <v>78</v>
      </c>
      <c r="C11" s="14" t="s">
        <v>79</v>
      </c>
      <c r="D11" s="4" t="s">
        <v>29</v>
      </c>
      <c r="E11" s="44">
        <f t="shared" si="0"/>
        <v>2.5</v>
      </c>
      <c r="F11" s="45"/>
      <c r="G11" s="5">
        <f t="shared" si="2"/>
        <v>2.5</v>
      </c>
      <c r="H11" s="10"/>
      <c r="I11" s="10"/>
      <c r="J11" s="10"/>
      <c r="K11" s="10"/>
      <c r="L11" s="10"/>
      <c r="M11" s="46">
        <f t="shared" si="3"/>
        <v>0</v>
      </c>
      <c r="N11" s="46"/>
      <c r="O11" s="46"/>
      <c r="P11" s="46"/>
      <c r="Q11" s="46">
        <f t="shared" si="4"/>
        <v>0</v>
      </c>
      <c r="R11" s="10"/>
      <c r="S11" s="10"/>
      <c r="T11" s="10"/>
      <c r="U11" s="6">
        <f t="shared" si="6"/>
        <v>2.5</v>
      </c>
      <c r="V11" s="50"/>
      <c r="W11" s="10"/>
      <c r="X11" s="10">
        <v>2.5</v>
      </c>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51" t="s">
        <v>72</v>
      </c>
      <c r="BI11" s="14" t="s">
        <v>79</v>
      </c>
      <c r="BJ11" s="14" t="s">
        <v>80</v>
      </c>
      <c r="BK11" s="12" t="s">
        <v>374</v>
      </c>
      <c r="BL11" s="310"/>
      <c r="BM11" s="14" t="s">
        <v>935</v>
      </c>
      <c r="BN11" s="13" t="s">
        <v>1025</v>
      </c>
      <c r="BO11" s="15" t="s">
        <v>1147</v>
      </c>
      <c r="BQ11" s="17"/>
    </row>
    <row r="12" spans="1:69" ht="54.75" customHeight="1">
      <c r="A12" s="42">
        <f t="shared" si="5"/>
        <v>5</v>
      </c>
      <c r="B12" s="47" t="s">
        <v>81</v>
      </c>
      <c r="C12" s="56" t="s">
        <v>82</v>
      </c>
      <c r="D12" s="4" t="s">
        <v>29</v>
      </c>
      <c r="E12" s="44">
        <f t="shared" si="0"/>
        <v>1.72</v>
      </c>
      <c r="F12" s="5"/>
      <c r="G12" s="5">
        <f t="shared" si="2"/>
        <v>1.72</v>
      </c>
      <c r="H12" s="6"/>
      <c r="I12" s="7"/>
      <c r="J12" s="7"/>
      <c r="K12" s="7"/>
      <c r="L12" s="7">
        <v>0.28</v>
      </c>
      <c r="M12" s="46">
        <f t="shared" si="3"/>
        <v>0</v>
      </c>
      <c r="N12" s="46"/>
      <c r="O12" s="46"/>
      <c r="P12" s="46"/>
      <c r="Q12" s="46">
        <f t="shared" si="4"/>
        <v>0</v>
      </c>
      <c r="R12" s="6"/>
      <c r="S12" s="6"/>
      <c r="T12" s="6"/>
      <c r="U12" s="6">
        <f t="shared" si="6"/>
        <v>1.42</v>
      </c>
      <c r="V12" s="50">
        <v>1.42</v>
      </c>
      <c r="W12" s="54"/>
      <c r="X12" s="52"/>
      <c r="Y12" s="52"/>
      <c r="Z12" s="52"/>
      <c r="AA12" s="52"/>
      <c r="AB12" s="52"/>
      <c r="AC12" s="52"/>
      <c r="AD12" s="52"/>
      <c r="AE12" s="52"/>
      <c r="AF12" s="52">
        <v>0.01</v>
      </c>
      <c r="AG12" s="52"/>
      <c r="AH12" s="52"/>
      <c r="AI12" s="52"/>
      <c r="AJ12" s="52"/>
      <c r="AK12" s="52"/>
      <c r="AL12" s="52"/>
      <c r="AM12" s="52"/>
      <c r="AN12" s="52"/>
      <c r="AO12" s="52"/>
      <c r="AP12" s="52"/>
      <c r="AQ12" s="52"/>
      <c r="AR12" s="52"/>
      <c r="AS12" s="52"/>
      <c r="AT12" s="52">
        <v>0.01</v>
      </c>
      <c r="AU12" s="52"/>
      <c r="AV12" s="52"/>
      <c r="AW12" s="52"/>
      <c r="AX12" s="52"/>
      <c r="AY12" s="52"/>
      <c r="AZ12" s="52"/>
      <c r="BA12" s="52"/>
      <c r="BB12" s="52"/>
      <c r="BC12" s="52"/>
      <c r="BD12" s="52"/>
      <c r="BE12" s="52"/>
      <c r="BF12" s="52"/>
      <c r="BG12" s="57"/>
      <c r="BH12" s="58" t="s">
        <v>83</v>
      </c>
      <c r="BI12" s="56" t="s">
        <v>82</v>
      </c>
      <c r="BJ12" s="55" t="s">
        <v>84</v>
      </c>
      <c r="BK12" s="12" t="s">
        <v>68</v>
      </c>
      <c r="BL12" s="13" t="s">
        <v>85</v>
      </c>
      <c r="BM12" s="14" t="s">
        <v>935</v>
      </c>
      <c r="BN12" s="13" t="s">
        <v>1025</v>
      </c>
      <c r="BO12" s="15" t="s">
        <v>1147</v>
      </c>
      <c r="BQ12" s="17"/>
    </row>
    <row r="13" spans="1:69" ht="32.25" customHeight="1">
      <c r="A13" s="42">
        <f t="shared" si="5"/>
        <v>6</v>
      </c>
      <c r="B13" s="47" t="s">
        <v>86</v>
      </c>
      <c r="C13" s="14" t="s">
        <v>87</v>
      </c>
      <c r="D13" s="4" t="s">
        <v>29</v>
      </c>
      <c r="E13" s="44">
        <f t="shared" si="0"/>
        <v>15</v>
      </c>
      <c r="F13" s="45"/>
      <c r="G13" s="5">
        <f t="shared" si="2"/>
        <v>15</v>
      </c>
      <c r="H13" s="10"/>
      <c r="I13" s="10"/>
      <c r="J13" s="10"/>
      <c r="K13" s="10"/>
      <c r="L13" s="10"/>
      <c r="M13" s="46">
        <f t="shared" si="3"/>
        <v>0</v>
      </c>
      <c r="N13" s="48"/>
      <c r="O13" s="48"/>
      <c r="P13" s="48"/>
      <c r="Q13" s="46">
        <f t="shared" si="4"/>
        <v>0</v>
      </c>
      <c r="R13" s="10"/>
      <c r="S13" s="10"/>
      <c r="T13" s="10"/>
      <c r="U13" s="6">
        <f t="shared" si="6"/>
        <v>15</v>
      </c>
      <c r="V13" s="10">
        <v>15</v>
      </c>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t="s">
        <v>88</v>
      </c>
      <c r="BI13" s="14" t="s">
        <v>87</v>
      </c>
      <c r="BJ13" s="14" t="s">
        <v>89</v>
      </c>
      <c r="BK13" s="12" t="s">
        <v>374</v>
      </c>
      <c r="BL13" s="310" t="s">
        <v>69</v>
      </c>
      <c r="BM13" s="14" t="s">
        <v>935</v>
      </c>
      <c r="BN13" s="13" t="s">
        <v>1025</v>
      </c>
      <c r="BO13" s="15" t="s">
        <v>1147</v>
      </c>
      <c r="BQ13" s="17"/>
    </row>
    <row r="14" spans="1:69" ht="34.5" customHeight="1">
      <c r="A14" s="42">
        <f t="shared" si="5"/>
        <v>7</v>
      </c>
      <c r="B14" s="47" t="s">
        <v>90</v>
      </c>
      <c r="C14" s="59" t="s">
        <v>91</v>
      </c>
      <c r="D14" s="4" t="s">
        <v>29</v>
      </c>
      <c r="E14" s="44">
        <f t="shared" si="0"/>
        <v>15</v>
      </c>
      <c r="F14" s="45"/>
      <c r="G14" s="5">
        <f t="shared" si="2"/>
        <v>15</v>
      </c>
      <c r="H14" s="10"/>
      <c r="I14" s="10"/>
      <c r="J14" s="10"/>
      <c r="K14" s="10"/>
      <c r="L14" s="10"/>
      <c r="M14" s="46">
        <f t="shared" si="3"/>
        <v>0</v>
      </c>
      <c r="N14" s="46"/>
      <c r="O14" s="46"/>
      <c r="P14" s="46"/>
      <c r="Q14" s="46">
        <f t="shared" si="4"/>
        <v>0</v>
      </c>
      <c r="R14" s="10"/>
      <c r="S14" s="10"/>
      <c r="T14" s="10"/>
      <c r="U14" s="44">
        <f t="shared" si="6"/>
        <v>15</v>
      </c>
      <c r="V14" s="5">
        <v>15</v>
      </c>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60" t="s">
        <v>92</v>
      </c>
      <c r="BI14" s="59" t="s">
        <v>91</v>
      </c>
      <c r="BJ14" s="14" t="s">
        <v>93</v>
      </c>
      <c r="BK14" s="12" t="s">
        <v>374</v>
      </c>
      <c r="BL14" s="310"/>
      <c r="BM14" s="14" t="s">
        <v>935</v>
      </c>
      <c r="BN14" s="13" t="s">
        <v>1025</v>
      </c>
      <c r="BO14" s="15" t="s">
        <v>1147</v>
      </c>
      <c r="BQ14" s="17"/>
    </row>
    <row r="15" spans="1:69" ht="54" customHeight="1">
      <c r="A15" s="42">
        <f t="shared" si="5"/>
        <v>8</v>
      </c>
      <c r="B15" s="47" t="s">
        <v>94</v>
      </c>
      <c r="C15" s="59" t="s">
        <v>95</v>
      </c>
      <c r="D15" s="4" t="s">
        <v>29</v>
      </c>
      <c r="E15" s="44">
        <f t="shared" si="0"/>
        <v>15</v>
      </c>
      <c r="F15" s="45"/>
      <c r="G15" s="5">
        <f t="shared" si="2"/>
        <v>15</v>
      </c>
      <c r="H15" s="10"/>
      <c r="I15" s="10"/>
      <c r="J15" s="10"/>
      <c r="K15" s="10"/>
      <c r="L15" s="10"/>
      <c r="M15" s="46">
        <f t="shared" si="3"/>
        <v>0</v>
      </c>
      <c r="N15" s="46"/>
      <c r="O15" s="46"/>
      <c r="P15" s="46"/>
      <c r="Q15" s="46">
        <f t="shared" si="4"/>
        <v>0</v>
      </c>
      <c r="R15" s="10"/>
      <c r="S15" s="10"/>
      <c r="T15" s="10"/>
      <c r="U15" s="6">
        <f t="shared" si="6"/>
        <v>15</v>
      </c>
      <c r="V15" s="10"/>
      <c r="W15" s="10">
        <v>11</v>
      </c>
      <c r="X15" s="10">
        <v>4</v>
      </c>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60" t="s">
        <v>96</v>
      </c>
      <c r="BI15" s="59" t="s">
        <v>95</v>
      </c>
      <c r="BJ15" s="14" t="s">
        <v>97</v>
      </c>
      <c r="BK15" s="12" t="s">
        <v>68</v>
      </c>
      <c r="BL15" s="13" t="s">
        <v>85</v>
      </c>
      <c r="BM15" s="14" t="s">
        <v>935</v>
      </c>
      <c r="BN15" s="13" t="s">
        <v>1025</v>
      </c>
      <c r="BO15" s="15" t="s">
        <v>1147</v>
      </c>
      <c r="BQ15" s="17"/>
    </row>
    <row r="16" spans="1:69" ht="46.5">
      <c r="A16" s="42">
        <f t="shared" si="5"/>
        <v>9</v>
      </c>
      <c r="B16" s="47" t="s">
        <v>98</v>
      </c>
      <c r="C16" s="56" t="s">
        <v>99</v>
      </c>
      <c r="D16" s="4" t="s">
        <v>29</v>
      </c>
      <c r="E16" s="44">
        <f t="shared" si="0"/>
        <v>2.5</v>
      </c>
      <c r="F16" s="61"/>
      <c r="G16" s="5">
        <f t="shared" si="2"/>
        <v>2.5</v>
      </c>
      <c r="H16" s="10"/>
      <c r="I16" s="10"/>
      <c r="J16" s="10"/>
      <c r="K16" s="10"/>
      <c r="L16" s="10"/>
      <c r="M16" s="46">
        <f t="shared" si="3"/>
        <v>0</v>
      </c>
      <c r="N16" s="48"/>
      <c r="O16" s="48"/>
      <c r="P16" s="48"/>
      <c r="Q16" s="46">
        <f t="shared" si="4"/>
        <v>0</v>
      </c>
      <c r="R16" s="10"/>
      <c r="S16" s="10"/>
      <c r="T16" s="10"/>
      <c r="U16" s="6">
        <f t="shared" si="6"/>
        <v>2.5</v>
      </c>
      <c r="V16" s="10">
        <v>2.5</v>
      </c>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51" t="s">
        <v>100</v>
      </c>
      <c r="BI16" s="56" t="s">
        <v>99</v>
      </c>
      <c r="BJ16" s="14" t="s">
        <v>101</v>
      </c>
      <c r="BK16" s="12" t="s">
        <v>374</v>
      </c>
      <c r="BL16" s="310" t="s">
        <v>69</v>
      </c>
      <c r="BM16" s="14" t="s">
        <v>935</v>
      </c>
      <c r="BN16" s="13" t="s">
        <v>1025</v>
      </c>
      <c r="BO16" s="15" t="s">
        <v>1147</v>
      </c>
      <c r="BQ16" s="17"/>
    </row>
    <row r="17" spans="1:71" s="64" customFormat="1" ht="46.5">
      <c r="A17" s="42">
        <f t="shared" si="5"/>
        <v>10</v>
      </c>
      <c r="B17" s="47" t="s">
        <v>102</v>
      </c>
      <c r="C17" s="59" t="s">
        <v>99</v>
      </c>
      <c r="D17" s="4" t="s">
        <v>29</v>
      </c>
      <c r="E17" s="44">
        <f t="shared" si="0"/>
        <v>22.51</v>
      </c>
      <c r="F17" s="61"/>
      <c r="G17" s="5">
        <f t="shared" si="2"/>
        <v>22.51</v>
      </c>
      <c r="H17" s="49">
        <v>0.11</v>
      </c>
      <c r="I17" s="49">
        <v>0.2</v>
      </c>
      <c r="J17" s="49"/>
      <c r="K17" s="49">
        <v>0.36</v>
      </c>
      <c r="L17" s="49">
        <v>0.29</v>
      </c>
      <c r="M17" s="46">
        <f t="shared" si="3"/>
        <v>0</v>
      </c>
      <c r="N17" s="62"/>
      <c r="O17" s="62"/>
      <c r="P17" s="62"/>
      <c r="Q17" s="46">
        <f t="shared" si="4"/>
        <v>0</v>
      </c>
      <c r="R17" s="49"/>
      <c r="S17" s="49"/>
      <c r="T17" s="49"/>
      <c r="U17" s="6">
        <f t="shared" si="6"/>
        <v>21.55</v>
      </c>
      <c r="V17" s="49">
        <v>20.43</v>
      </c>
      <c r="W17" s="49">
        <v>1.12</v>
      </c>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60" t="s">
        <v>103</v>
      </c>
      <c r="BI17" s="59" t="s">
        <v>99</v>
      </c>
      <c r="BJ17" s="55" t="s">
        <v>104</v>
      </c>
      <c r="BK17" s="13" t="s">
        <v>968</v>
      </c>
      <c r="BL17" s="310"/>
      <c r="BM17" s="14" t="s">
        <v>935</v>
      </c>
      <c r="BN17" s="13" t="s">
        <v>1025</v>
      </c>
      <c r="BO17" s="15" t="s">
        <v>1147</v>
      </c>
      <c r="BP17" s="63"/>
      <c r="BS17" s="65"/>
    </row>
    <row r="18" spans="1:69" ht="46.5">
      <c r="A18" s="42">
        <f t="shared" si="5"/>
        <v>11</v>
      </c>
      <c r="B18" s="47" t="s">
        <v>105</v>
      </c>
      <c r="C18" s="56" t="s">
        <v>106</v>
      </c>
      <c r="D18" s="4" t="s">
        <v>29</v>
      </c>
      <c r="E18" s="44">
        <f t="shared" si="0"/>
        <v>2.5</v>
      </c>
      <c r="F18" s="45"/>
      <c r="G18" s="5">
        <f t="shared" si="2"/>
        <v>2.5</v>
      </c>
      <c r="H18" s="10"/>
      <c r="I18" s="10"/>
      <c r="J18" s="10"/>
      <c r="K18" s="10"/>
      <c r="L18" s="10"/>
      <c r="M18" s="46">
        <f t="shared" si="3"/>
        <v>0</v>
      </c>
      <c r="N18" s="48"/>
      <c r="O18" s="48"/>
      <c r="P18" s="48"/>
      <c r="Q18" s="46">
        <f t="shared" si="4"/>
        <v>0</v>
      </c>
      <c r="R18" s="10"/>
      <c r="S18" s="10"/>
      <c r="T18" s="10"/>
      <c r="U18" s="6">
        <f t="shared" si="6"/>
        <v>2.5</v>
      </c>
      <c r="V18" s="10">
        <v>1.76</v>
      </c>
      <c r="W18" s="10"/>
      <c r="X18" s="10">
        <v>0.74</v>
      </c>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3" t="s">
        <v>107</v>
      </c>
      <c r="BI18" s="56" t="s">
        <v>106</v>
      </c>
      <c r="BJ18" s="14" t="s">
        <v>108</v>
      </c>
      <c r="BK18" s="12" t="s">
        <v>74</v>
      </c>
      <c r="BL18" s="310"/>
      <c r="BM18" s="14" t="s">
        <v>935</v>
      </c>
      <c r="BN18" s="13" t="s">
        <v>1025</v>
      </c>
      <c r="BO18" s="15" t="s">
        <v>1147</v>
      </c>
      <c r="BQ18" s="17"/>
    </row>
    <row r="19" spans="1:69" ht="15">
      <c r="A19" s="66" t="s">
        <v>109</v>
      </c>
      <c r="B19" s="67" t="s">
        <v>110</v>
      </c>
      <c r="C19" s="68"/>
      <c r="D19" s="36"/>
      <c r="E19" s="37">
        <f t="shared" si="0"/>
        <v>9.41</v>
      </c>
      <c r="F19" s="69">
        <f aca="true" t="shared" si="7" ref="F19:AK19">SUM(F20:F33)</f>
        <v>0</v>
      </c>
      <c r="G19" s="69">
        <f t="shared" si="7"/>
        <v>9.41</v>
      </c>
      <c r="H19" s="69">
        <f t="shared" si="7"/>
        <v>0.31</v>
      </c>
      <c r="I19" s="69">
        <f t="shared" si="7"/>
        <v>0.09000000000000001</v>
      </c>
      <c r="J19" s="69">
        <f t="shared" si="7"/>
        <v>0</v>
      </c>
      <c r="K19" s="69">
        <f t="shared" si="7"/>
        <v>0.08</v>
      </c>
      <c r="L19" s="69">
        <f t="shared" si="7"/>
        <v>0.09</v>
      </c>
      <c r="M19" s="69">
        <f t="shared" si="7"/>
        <v>0</v>
      </c>
      <c r="N19" s="69">
        <f t="shared" si="7"/>
        <v>0</v>
      </c>
      <c r="O19" s="69">
        <f t="shared" si="7"/>
        <v>0</v>
      </c>
      <c r="P19" s="69">
        <f t="shared" si="7"/>
        <v>0</v>
      </c>
      <c r="Q19" s="69">
        <f t="shared" si="7"/>
        <v>0</v>
      </c>
      <c r="R19" s="69">
        <f t="shared" si="7"/>
        <v>0</v>
      </c>
      <c r="S19" s="69">
        <f t="shared" si="7"/>
        <v>0</v>
      </c>
      <c r="T19" s="69">
        <f t="shared" si="7"/>
        <v>0</v>
      </c>
      <c r="U19" s="69">
        <f t="shared" si="7"/>
        <v>4.569999999999999</v>
      </c>
      <c r="V19" s="69">
        <f t="shared" si="7"/>
        <v>1.09</v>
      </c>
      <c r="W19" s="69">
        <f t="shared" si="7"/>
        <v>0.12</v>
      </c>
      <c r="X19" s="69">
        <f t="shared" si="7"/>
        <v>3.36</v>
      </c>
      <c r="Y19" s="69">
        <f t="shared" si="7"/>
        <v>0</v>
      </c>
      <c r="Z19" s="69">
        <f t="shared" si="7"/>
        <v>0</v>
      </c>
      <c r="AA19" s="69">
        <f t="shared" si="7"/>
        <v>0</v>
      </c>
      <c r="AB19" s="69">
        <f t="shared" si="7"/>
        <v>0</v>
      </c>
      <c r="AC19" s="69">
        <f t="shared" si="7"/>
        <v>0</v>
      </c>
      <c r="AD19" s="69">
        <f t="shared" si="7"/>
        <v>0</v>
      </c>
      <c r="AE19" s="69">
        <f t="shared" si="7"/>
        <v>0</v>
      </c>
      <c r="AF19" s="69">
        <f t="shared" si="7"/>
        <v>0.04</v>
      </c>
      <c r="AG19" s="69">
        <f t="shared" si="7"/>
        <v>0</v>
      </c>
      <c r="AH19" s="69">
        <f t="shared" si="7"/>
        <v>0</v>
      </c>
      <c r="AI19" s="69">
        <f t="shared" si="7"/>
        <v>0</v>
      </c>
      <c r="AJ19" s="69">
        <f t="shared" si="7"/>
        <v>0</v>
      </c>
      <c r="AK19" s="69">
        <f t="shared" si="7"/>
        <v>0.09</v>
      </c>
      <c r="AL19" s="69">
        <f aca="true" t="shared" si="8" ref="AL19:BG19">SUM(AL20:AL33)</f>
        <v>0</v>
      </c>
      <c r="AM19" s="69">
        <f t="shared" si="8"/>
        <v>0</v>
      </c>
      <c r="AN19" s="69">
        <f t="shared" si="8"/>
        <v>0</v>
      </c>
      <c r="AO19" s="69">
        <f t="shared" si="8"/>
        <v>0</v>
      </c>
      <c r="AP19" s="69">
        <f t="shared" si="8"/>
        <v>0</v>
      </c>
      <c r="AQ19" s="69">
        <f t="shared" si="8"/>
        <v>0</v>
      </c>
      <c r="AR19" s="69">
        <f t="shared" si="8"/>
        <v>0</v>
      </c>
      <c r="AS19" s="69">
        <f t="shared" si="8"/>
        <v>0</v>
      </c>
      <c r="AT19" s="69">
        <f t="shared" si="8"/>
        <v>0</v>
      </c>
      <c r="AU19" s="69">
        <f t="shared" si="8"/>
        <v>0</v>
      </c>
      <c r="AV19" s="69">
        <f t="shared" si="8"/>
        <v>0.13</v>
      </c>
      <c r="AW19" s="69">
        <f t="shared" si="8"/>
        <v>0</v>
      </c>
      <c r="AX19" s="69">
        <f t="shared" si="8"/>
        <v>0</v>
      </c>
      <c r="AY19" s="69">
        <f t="shared" si="8"/>
        <v>0</v>
      </c>
      <c r="AZ19" s="69">
        <f t="shared" si="8"/>
        <v>0</v>
      </c>
      <c r="BA19" s="69">
        <f t="shared" si="8"/>
        <v>0</v>
      </c>
      <c r="BB19" s="69">
        <f t="shared" si="8"/>
        <v>0</v>
      </c>
      <c r="BC19" s="69">
        <f t="shared" si="8"/>
        <v>0</v>
      </c>
      <c r="BD19" s="69">
        <f t="shared" si="8"/>
        <v>0</v>
      </c>
      <c r="BE19" s="69">
        <f t="shared" si="8"/>
        <v>0</v>
      </c>
      <c r="BF19" s="69">
        <f t="shared" si="8"/>
        <v>0</v>
      </c>
      <c r="BG19" s="69">
        <f t="shared" si="8"/>
        <v>0.01</v>
      </c>
      <c r="BH19" s="70"/>
      <c r="BI19" s="68"/>
      <c r="BJ19" s="68"/>
      <c r="BK19" s="35"/>
      <c r="BL19" s="41"/>
      <c r="BM19" s="68"/>
      <c r="BN19" s="13"/>
      <c r="BO19" s="15"/>
      <c r="BQ19" s="17"/>
    </row>
    <row r="20" spans="1:69" ht="46.5">
      <c r="A20" s="71">
        <f>A18+1</f>
        <v>12</v>
      </c>
      <c r="B20" s="15" t="s">
        <v>111</v>
      </c>
      <c r="C20" s="42" t="s">
        <v>65</v>
      </c>
      <c r="D20" s="13" t="s">
        <v>30</v>
      </c>
      <c r="E20" s="44">
        <f t="shared" si="0"/>
        <v>3.4999999999999996</v>
      </c>
      <c r="F20" s="45"/>
      <c r="G20" s="5">
        <f>SUM(H20:BG20)-U20</f>
        <v>3.4999999999999996</v>
      </c>
      <c r="H20" s="10">
        <v>0.03</v>
      </c>
      <c r="I20" s="10"/>
      <c r="J20" s="10"/>
      <c r="K20" s="10">
        <v>0.02</v>
      </c>
      <c r="L20" s="10"/>
      <c r="M20" s="46">
        <f>SUM(N20:P20)</f>
        <v>0</v>
      </c>
      <c r="N20" s="46"/>
      <c r="O20" s="46"/>
      <c r="P20" s="46"/>
      <c r="Q20" s="46">
        <f>SUM(R20:T20)</f>
        <v>0</v>
      </c>
      <c r="R20" s="10"/>
      <c r="S20" s="10"/>
      <c r="T20" s="10"/>
      <c r="U20" s="6">
        <f>SUM(V20:X20)</f>
        <v>3.4499999999999997</v>
      </c>
      <c r="V20" s="8">
        <v>0.09</v>
      </c>
      <c r="W20" s="8"/>
      <c r="X20" s="8">
        <v>3.36</v>
      </c>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t="s">
        <v>112</v>
      </c>
      <c r="BI20" s="42" t="s">
        <v>65</v>
      </c>
      <c r="BJ20" s="4" t="s">
        <v>113</v>
      </c>
      <c r="BK20" s="12" t="s">
        <v>374</v>
      </c>
      <c r="BL20" s="310" t="s">
        <v>114</v>
      </c>
      <c r="BM20" s="293" t="s">
        <v>935</v>
      </c>
      <c r="BN20" s="13" t="s">
        <v>1025</v>
      </c>
      <c r="BO20" s="15" t="s">
        <v>1147</v>
      </c>
      <c r="BQ20" s="17"/>
    </row>
    <row r="21" spans="1:69" ht="46.5">
      <c r="A21" s="71">
        <f>A20+1</f>
        <v>13</v>
      </c>
      <c r="B21" s="15" t="s">
        <v>115</v>
      </c>
      <c r="C21" s="42" t="s">
        <v>65</v>
      </c>
      <c r="D21" s="13" t="s">
        <v>30</v>
      </c>
      <c r="E21" s="44">
        <f t="shared" si="0"/>
        <v>0.6</v>
      </c>
      <c r="F21" s="45" t="s">
        <v>116</v>
      </c>
      <c r="G21" s="5">
        <f aca="true" t="shared" si="9" ref="G21:G33">SUM(H21:BG21)-U21</f>
        <v>0.6</v>
      </c>
      <c r="H21" s="10"/>
      <c r="I21" s="10"/>
      <c r="J21" s="10"/>
      <c r="K21" s="10"/>
      <c r="L21" s="10"/>
      <c r="M21" s="46"/>
      <c r="N21" s="46"/>
      <c r="O21" s="46"/>
      <c r="P21" s="46"/>
      <c r="Q21" s="46"/>
      <c r="R21" s="10"/>
      <c r="S21" s="10"/>
      <c r="T21" s="10"/>
      <c r="U21" s="6">
        <f>SUM(V21:X21)</f>
        <v>0.6</v>
      </c>
      <c r="V21" s="8">
        <v>0.6</v>
      </c>
      <c r="W21" s="8"/>
      <c r="X21" s="8"/>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t="s">
        <v>112</v>
      </c>
      <c r="BI21" s="42" t="s">
        <v>65</v>
      </c>
      <c r="BJ21" s="4" t="s">
        <v>117</v>
      </c>
      <c r="BK21" s="12" t="s">
        <v>374</v>
      </c>
      <c r="BL21" s="310"/>
      <c r="BM21" s="293"/>
      <c r="BN21" s="13" t="s">
        <v>1025</v>
      </c>
      <c r="BO21" s="15" t="s">
        <v>1147</v>
      </c>
      <c r="BP21" s="16" t="s">
        <v>1026</v>
      </c>
      <c r="BQ21" s="17"/>
    </row>
    <row r="22" spans="1:71" ht="46.5">
      <c r="A22" s="71">
        <f>+A21+1</f>
        <v>14</v>
      </c>
      <c r="B22" s="72" t="s">
        <v>1142</v>
      </c>
      <c r="C22" s="56"/>
      <c r="D22" s="13" t="s">
        <v>30</v>
      </c>
      <c r="E22" s="44">
        <f>+F22+G22</f>
        <v>2.5</v>
      </c>
      <c r="F22" s="73"/>
      <c r="G22" s="5">
        <v>2.5</v>
      </c>
      <c r="H22" s="8"/>
      <c r="I22" s="74"/>
      <c r="J22" s="74"/>
      <c r="K22" s="75"/>
      <c r="L22" s="75"/>
      <c r="M22" s="48"/>
      <c r="N22" s="53"/>
      <c r="O22" s="53"/>
      <c r="P22" s="53"/>
      <c r="Q22" s="48"/>
      <c r="R22" s="10"/>
      <c r="S22" s="10"/>
      <c r="T22" s="10"/>
      <c r="U22" s="48"/>
      <c r="V22" s="8"/>
      <c r="W22" s="8"/>
      <c r="X22" s="8"/>
      <c r="Y22" s="10"/>
      <c r="Z22" s="10"/>
      <c r="AA22" s="10"/>
      <c r="AB22" s="10"/>
      <c r="AC22" s="10"/>
      <c r="AD22" s="10"/>
      <c r="AE22" s="10"/>
      <c r="AF22" s="10"/>
      <c r="AG22" s="10"/>
      <c r="AH22" s="10"/>
      <c r="AI22" s="10"/>
      <c r="AJ22" s="10"/>
      <c r="AK22" s="74"/>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56" t="s">
        <v>71</v>
      </c>
      <c r="BJ22" s="56"/>
      <c r="BK22" s="12"/>
      <c r="BL22" s="310"/>
      <c r="BM22" s="293"/>
      <c r="BN22" s="13"/>
      <c r="BO22" s="15" t="s">
        <v>194</v>
      </c>
      <c r="BP22" s="18" t="s">
        <v>1144</v>
      </c>
      <c r="BQ22" s="17"/>
      <c r="BS22" s="17"/>
    </row>
    <row r="23" spans="1:71" ht="62.25">
      <c r="A23" s="71">
        <f>+A22+1</f>
        <v>15</v>
      </c>
      <c r="B23" s="72" t="s">
        <v>1143</v>
      </c>
      <c r="C23" s="56"/>
      <c r="D23" s="13" t="s">
        <v>30</v>
      </c>
      <c r="E23" s="44">
        <f>+F23+G23</f>
        <v>1.5</v>
      </c>
      <c r="F23" s="73"/>
      <c r="G23" s="5">
        <v>1.5</v>
      </c>
      <c r="H23" s="8"/>
      <c r="I23" s="74"/>
      <c r="J23" s="74"/>
      <c r="K23" s="75"/>
      <c r="L23" s="75"/>
      <c r="M23" s="48"/>
      <c r="N23" s="53"/>
      <c r="O23" s="53"/>
      <c r="P23" s="53"/>
      <c r="Q23" s="48"/>
      <c r="R23" s="10"/>
      <c r="S23" s="10"/>
      <c r="T23" s="10"/>
      <c r="U23" s="48"/>
      <c r="V23" s="8"/>
      <c r="W23" s="8"/>
      <c r="X23" s="8"/>
      <c r="Y23" s="10"/>
      <c r="Z23" s="10"/>
      <c r="AA23" s="10"/>
      <c r="AB23" s="10"/>
      <c r="AC23" s="10"/>
      <c r="AD23" s="10"/>
      <c r="AE23" s="10"/>
      <c r="AF23" s="10"/>
      <c r="AG23" s="10"/>
      <c r="AH23" s="10"/>
      <c r="AI23" s="10"/>
      <c r="AJ23" s="10"/>
      <c r="AK23" s="74"/>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56" t="s">
        <v>82</v>
      </c>
      <c r="BJ23" s="56"/>
      <c r="BK23" s="12"/>
      <c r="BL23" s="310"/>
      <c r="BM23" s="293"/>
      <c r="BN23" s="13"/>
      <c r="BO23" s="15" t="s">
        <v>194</v>
      </c>
      <c r="BP23" s="18" t="s">
        <v>1144</v>
      </c>
      <c r="BQ23" s="17"/>
      <c r="BS23" s="17"/>
    </row>
    <row r="24" spans="1:68" ht="46.5">
      <c r="A24" s="71">
        <f>+A23+1</f>
        <v>16</v>
      </c>
      <c r="B24" s="72" t="s">
        <v>118</v>
      </c>
      <c r="C24" s="4" t="s">
        <v>988</v>
      </c>
      <c r="D24" s="13" t="s">
        <v>30</v>
      </c>
      <c r="E24" s="44">
        <f>SUM(F24:G24)</f>
        <v>0.08</v>
      </c>
      <c r="F24" s="45"/>
      <c r="G24" s="5">
        <f t="shared" si="9"/>
        <v>0.08</v>
      </c>
      <c r="H24" s="10"/>
      <c r="I24" s="10"/>
      <c r="J24" s="10"/>
      <c r="K24" s="10"/>
      <c r="L24" s="10"/>
      <c r="M24" s="46">
        <f>SUM(N24:P24)</f>
        <v>0</v>
      </c>
      <c r="N24" s="46"/>
      <c r="O24" s="46"/>
      <c r="P24" s="46"/>
      <c r="Q24" s="46">
        <f>SUM(R24:T24)</f>
        <v>0</v>
      </c>
      <c r="R24" s="10"/>
      <c r="S24" s="10"/>
      <c r="T24" s="10"/>
      <c r="U24" s="6"/>
      <c r="V24" s="8"/>
      <c r="W24" s="8"/>
      <c r="X24" s="8"/>
      <c r="Y24" s="10"/>
      <c r="Z24" s="10"/>
      <c r="AA24" s="10"/>
      <c r="AB24" s="10"/>
      <c r="AC24" s="10"/>
      <c r="AD24" s="10"/>
      <c r="AE24" s="10"/>
      <c r="AF24" s="10"/>
      <c r="AG24" s="10"/>
      <c r="AH24" s="10"/>
      <c r="AI24" s="10"/>
      <c r="AJ24" s="10"/>
      <c r="AK24" s="74"/>
      <c r="AL24" s="10"/>
      <c r="AM24" s="10"/>
      <c r="AN24" s="10"/>
      <c r="AO24" s="10"/>
      <c r="AP24" s="10"/>
      <c r="AQ24" s="10"/>
      <c r="AR24" s="10"/>
      <c r="AS24" s="10"/>
      <c r="AT24" s="10"/>
      <c r="AU24" s="10"/>
      <c r="AV24" s="10">
        <v>0.08</v>
      </c>
      <c r="AW24" s="10"/>
      <c r="AX24" s="10"/>
      <c r="AY24" s="10"/>
      <c r="AZ24" s="10"/>
      <c r="BA24" s="10"/>
      <c r="BB24" s="10"/>
      <c r="BC24" s="10"/>
      <c r="BD24" s="10"/>
      <c r="BE24" s="10"/>
      <c r="BF24" s="10"/>
      <c r="BG24" s="10"/>
      <c r="BH24" s="10" t="s">
        <v>66</v>
      </c>
      <c r="BI24" s="4" t="s">
        <v>988</v>
      </c>
      <c r="BJ24" s="4" t="s">
        <v>119</v>
      </c>
      <c r="BK24" s="12" t="s">
        <v>120</v>
      </c>
      <c r="BL24" s="310"/>
      <c r="BM24" s="293"/>
      <c r="BN24" s="13" t="s">
        <v>1025</v>
      </c>
      <c r="BO24" s="15" t="s">
        <v>1147</v>
      </c>
      <c r="BP24" s="23" t="s">
        <v>1038</v>
      </c>
    </row>
    <row r="25" spans="1:69" ht="46.5">
      <c r="A25" s="71">
        <f aca="true" t="shared" si="10" ref="A25:A33">A24+1</f>
        <v>17</v>
      </c>
      <c r="B25" s="72" t="s">
        <v>121</v>
      </c>
      <c r="C25" s="14" t="s">
        <v>122</v>
      </c>
      <c r="D25" s="13" t="s">
        <v>30</v>
      </c>
      <c r="E25" s="44">
        <f>SUM(F25:G25)</f>
        <v>0.19999999999999998</v>
      </c>
      <c r="F25" s="73"/>
      <c r="G25" s="5">
        <f t="shared" si="9"/>
        <v>0.19999999999999998</v>
      </c>
      <c r="H25" s="10">
        <v>0.11</v>
      </c>
      <c r="I25" s="76">
        <v>0.07</v>
      </c>
      <c r="J25" s="76"/>
      <c r="K25" s="10"/>
      <c r="L25" s="10"/>
      <c r="M25" s="10"/>
      <c r="N25" s="10"/>
      <c r="O25" s="10"/>
      <c r="P25" s="10"/>
      <c r="Q25" s="6"/>
      <c r="R25" s="10"/>
      <c r="S25" s="10"/>
      <c r="T25" s="10"/>
      <c r="U25" s="6"/>
      <c r="V25" s="10"/>
      <c r="W25" s="10"/>
      <c r="X25" s="10"/>
      <c r="Y25" s="10"/>
      <c r="Z25" s="10"/>
      <c r="AA25" s="10"/>
      <c r="AB25" s="10"/>
      <c r="AC25" s="10"/>
      <c r="AD25" s="10"/>
      <c r="AE25" s="10"/>
      <c r="AF25" s="10">
        <v>0.02</v>
      </c>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t="s">
        <v>123</v>
      </c>
      <c r="BI25" s="14" t="s">
        <v>122</v>
      </c>
      <c r="BJ25" s="14" t="s">
        <v>124</v>
      </c>
      <c r="BK25" s="12" t="s">
        <v>120</v>
      </c>
      <c r="BL25" s="310"/>
      <c r="BM25" s="14" t="s">
        <v>935</v>
      </c>
      <c r="BN25" s="13" t="s">
        <v>1025</v>
      </c>
      <c r="BO25" s="15" t="s">
        <v>1147</v>
      </c>
      <c r="BQ25" s="17"/>
    </row>
    <row r="26" spans="1:69" ht="46.5">
      <c r="A26" s="71">
        <f t="shared" si="10"/>
        <v>18</v>
      </c>
      <c r="B26" s="72" t="s">
        <v>126</v>
      </c>
      <c r="C26" s="14" t="s">
        <v>87</v>
      </c>
      <c r="D26" s="13" t="s">
        <v>30</v>
      </c>
      <c r="E26" s="44">
        <f t="shared" si="0"/>
        <v>0.15000000000000002</v>
      </c>
      <c r="F26" s="73"/>
      <c r="G26" s="5">
        <f t="shared" si="9"/>
        <v>0.15000000000000002</v>
      </c>
      <c r="H26" s="8"/>
      <c r="I26" s="49"/>
      <c r="J26" s="74"/>
      <c r="K26" s="10">
        <v>0.01</v>
      </c>
      <c r="L26" s="8"/>
      <c r="M26" s="48">
        <f>SUM(N26:P26)</f>
        <v>0</v>
      </c>
      <c r="N26" s="48"/>
      <c r="O26" s="48"/>
      <c r="P26" s="48"/>
      <c r="Q26" s="48">
        <f>R26+S26+T26</f>
        <v>0</v>
      </c>
      <c r="R26" s="10"/>
      <c r="S26" s="10"/>
      <c r="T26" s="10"/>
      <c r="U26" s="6">
        <f>SUM(V26:X26)</f>
        <v>0.14</v>
      </c>
      <c r="V26" s="8">
        <v>0.14</v>
      </c>
      <c r="W26" s="8"/>
      <c r="X26" s="8"/>
      <c r="Y26" s="10"/>
      <c r="Z26" s="10"/>
      <c r="AA26" s="10"/>
      <c r="AB26" s="10"/>
      <c r="AC26" s="10"/>
      <c r="AD26" s="10"/>
      <c r="AE26" s="10"/>
      <c r="AF26" s="10"/>
      <c r="AG26" s="10"/>
      <c r="AH26" s="10"/>
      <c r="AI26" s="10"/>
      <c r="AJ26" s="10"/>
      <c r="AK26" s="74"/>
      <c r="AL26" s="10"/>
      <c r="AM26" s="10"/>
      <c r="AN26" s="10"/>
      <c r="AO26" s="10"/>
      <c r="AP26" s="10"/>
      <c r="AQ26" s="10"/>
      <c r="AR26" s="10"/>
      <c r="AS26" s="10"/>
      <c r="AT26" s="10"/>
      <c r="AU26" s="10"/>
      <c r="AV26" s="10"/>
      <c r="AW26" s="10"/>
      <c r="AX26" s="10"/>
      <c r="AY26" s="10"/>
      <c r="AZ26" s="10"/>
      <c r="BA26" s="10"/>
      <c r="BB26" s="10"/>
      <c r="BC26" s="10"/>
      <c r="BD26" s="10"/>
      <c r="BE26" s="10"/>
      <c r="BF26" s="10"/>
      <c r="BG26" s="10"/>
      <c r="BH26" s="10" t="s">
        <v>127</v>
      </c>
      <c r="BI26" s="14" t="s">
        <v>87</v>
      </c>
      <c r="BJ26" s="14" t="s">
        <v>128</v>
      </c>
      <c r="BK26" s="12" t="s">
        <v>120</v>
      </c>
      <c r="BL26" s="310"/>
      <c r="BM26" s="14" t="s">
        <v>935</v>
      </c>
      <c r="BN26" s="13" t="s">
        <v>1024</v>
      </c>
      <c r="BO26" s="15" t="s">
        <v>1147</v>
      </c>
      <c r="BP26" s="16" t="s">
        <v>1041</v>
      </c>
      <c r="BQ26" s="17"/>
    </row>
    <row r="27" spans="1:69" ht="46.5">
      <c r="A27" s="71">
        <f t="shared" si="10"/>
        <v>19</v>
      </c>
      <c r="B27" s="72" t="s">
        <v>129</v>
      </c>
      <c r="C27" s="56" t="s">
        <v>130</v>
      </c>
      <c r="D27" s="13" t="s">
        <v>30</v>
      </c>
      <c r="E27" s="44">
        <f t="shared" si="0"/>
        <v>0.1</v>
      </c>
      <c r="F27" s="73"/>
      <c r="G27" s="5">
        <f t="shared" si="9"/>
        <v>0.1</v>
      </c>
      <c r="H27" s="8"/>
      <c r="I27" s="49"/>
      <c r="J27" s="49"/>
      <c r="K27" s="10"/>
      <c r="L27" s="8"/>
      <c r="M27" s="46"/>
      <c r="N27" s="46"/>
      <c r="O27" s="46"/>
      <c r="P27" s="46"/>
      <c r="Q27" s="46"/>
      <c r="R27" s="10"/>
      <c r="S27" s="10"/>
      <c r="T27" s="10"/>
      <c r="U27" s="6">
        <f>SUM(V27:X27)</f>
        <v>0.1</v>
      </c>
      <c r="V27" s="8">
        <v>0.1</v>
      </c>
      <c r="W27" s="8"/>
      <c r="X27" s="8"/>
      <c r="Y27" s="10"/>
      <c r="Z27" s="10"/>
      <c r="AA27" s="10"/>
      <c r="AB27" s="10"/>
      <c r="AC27" s="10"/>
      <c r="AD27" s="10"/>
      <c r="AE27" s="10"/>
      <c r="AF27" s="10"/>
      <c r="AG27" s="10"/>
      <c r="AH27" s="10"/>
      <c r="AI27" s="10"/>
      <c r="AJ27" s="10"/>
      <c r="AK27" s="74"/>
      <c r="AL27" s="10"/>
      <c r="AM27" s="10"/>
      <c r="AN27" s="10"/>
      <c r="AO27" s="10"/>
      <c r="AP27" s="10"/>
      <c r="AQ27" s="10"/>
      <c r="AR27" s="10"/>
      <c r="AS27" s="10"/>
      <c r="AT27" s="10"/>
      <c r="AU27" s="10"/>
      <c r="AV27" s="10"/>
      <c r="AW27" s="10"/>
      <c r="AX27" s="10"/>
      <c r="AY27" s="10"/>
      <c r="AZ27" s="10"/>
      <c r="BA27" s="10"/>
      <c r="BB27" s="10"/>
      <c r="BC27" s="10"/>
      <c r="BD27" s="10"/>
      <c r="BE27" s="10"/>
      <c r="BF27" s="10"/>
      <c r="BG27" s="10"/>
      <c r="BH27" s="10" t="s">
        <v>131</v>
      </c>
      <c r="BI27" s="56" t="s">
        <v>130</v>
      </c>
      <c r="BJ27" s="14" t="s">
        <v>132</v>
      </c>
      <c r="BK27" s="12" t="s">
        <v>120</v>
      </c>
      <c r="BL27" s="310"/>
      <c r="BM27" s="14" t="s">
        <v>935</v>
      </c>
      <c r="BN27" s="13" t="s">
        <v>1025</v>
      </c>
      <c r="BO27" s="15" t="s">
        <v>1147</v>
      </c>
      <c r="BQ27" s="17"/>
    </row>
    <row r="28" spans="1:69" ht="46.5">
      <c r="A28" s="71">
        <f t="shared" si="10"/>
        <v>20</v>
      </c>
      <c r="B28" s="72" t="s">
        <v>133</v>
      </c>
      <c r="C28" s="77" t="s">
        <v>134</v>
      </c>
      <c r="D28" s="13" t="s">
        <v>30</v>
      </c>
      <c r="E28" s="44">
        <f t="shared" si="0"/>
        <v>0.14</v>
      </c>
      <c r="F28" s="73"/>
      <c r="G28" s="5">
        <f t="shared" si="9"/>
        <v>0.14</v>
      </c>
      <c r="H28" s="8">
        <v>0.12</v>
      </c>
      <c r="I28" s="74"/>
      <c r="J28" s="10"/>
      <c r="K28" s="10"/>
      <c r="L28" s="10">
        <v>0.01</v>
      </c>
      <c r="M28" s="46">
        <f aca="true" t="shared" si="11" ref="M28:M33">SUM(N28:P28)</f>
        <v>0</v>
      </c>
      <c r="N28" s="78"/>
      <c r="O28" s="78"/>
      <c r="P28" s="78"/>
      <c r="Q28" s="46">
        <f aca="true" t="shared" si="12" ref="Q28:Q33">R28+S28+T28</f>
        <v>0</v>
      </c>
      <c r="R28" s="10"/>
      <c r="S28" s="10"/>
      <c r="T28" s="10"/>
      <c r="U28" s="6"/>
      <c r="V28" s="8"/>
      <c r="W28" s="8"/>
      <c r="X28" s="8"/>
      <c r="Y28" s="10"/>
      <c r="Z28" s="10"/>
      <c r="AA28" s="10"/>
      <c r="AB28" s="10"/>
      <c r="AC28" s="10"/>
      <c r="AD28" s="10"/>
      <c r="AE28" s="10"/>
      <c r="AF28" s="10">
        <v>0.01</v>
      </c>
      <c r="AG28" s="10"/>
      <c r="AH28" s="10"/>
      <c r="AI28" s="10"/>
      <c r="AJ28" s="10"/>
      <c r="AK28" s="74"/>
      <c r="AL28" s="10"/>
      <c r="AM28" s="10"/>
      <c r="AN28" s="10"/>
      <c r="AO28" s="10"/>
      <c r="AP28" s="10"/>
      <c r="AQ28" s="10"/>
      <c r="AR28" s="10"/>
      <c r="AS28" s="10"/>
      <c r="AT28" s="10"/>
      <c r="AU28" s="10"/>
      <c r="AV28" s="10"/>
      <c r="AW28" s="10"/>
      <c r="AX28" s="10"/>
      <c r="AY28" s="10"/>
      <c r="AZ28" s="10"/>
      <c r="BA28" s="10"/>
      <c r="BB28" s="10"/>
      <c r="BC28" s="10"/>
      <c r="BD28" s="10"/>
      <c r="BE28" s="10"/>
      <c r="BF28" s="10"/>
      <c r="BG28" s="10"/>
      <c r="BH28" s="10" t="s">
        <v>135</v>
      </c>
      <c r="BI28" s="77" t="s">
        <v>134</v>
      </c>
      <c r="BJ28" s="14" t="s">
        <v>136</v>
      </c>
      <c r="BK28" s="12" t="s">
        <v>68</v>
      </c>
      <c r="BL28" s="310"/>
      <c r="BM28" s="14" t="s">
        <v>935</v>
      </c>
      <c r="BN28" s="13" t="s">
        <v>1024</v>
      </c>
      <c r="BO28" s="15" t="s">
        <v>1147</v>
      </c>
      <c r="BP28" s="16" t="s">
        <v>1063</v>
      </c>
      <c r="BQ28" s="17"/>
    </row>
    <row r="29" spans="1:67" ht="46.5">
      <c r="A29" s="71">
        <f t="shared" si="10"/>
        <v>21</v>
      </c>
      <c r="B29" s="72" t="s">
        <v>137</v>
      </c>
      <c r="C29" s="14" t="s">
        <v>138</v>
      </c>
      <c r="D29" s="13" t="s">
        <v>30</v>
      </c>
      <c r="E29" s="44">
        <f t="shared" si="0"/>
        <v>0.15000000000000002</v>
      </c>
      <c r="F29" s="73"/>
      <c r="G29" s="5">
        <f t="shared" si="9"/>
        <v>0.15000000000000002</v>
      </c>
      <c r="H29" s="8">
        <v>0.05</v>
      </c>
      <c r="I29" s="74"/>
      <c r="J29" s="74"/>
      <c r="K29" s="10"/>
      <c r="L29" s="8"/>
      <c r="M29" s="46">
        <f t="shared" si="11"/>
        <v>0</v>
      </c>
      <c r="N29" s="78"/>
      <c r="O29" s="78"/>
      <c r="P29" s="78"/>
      <c r="Q29" s="46">
        <f t="shared" si="12"/>
        <v>0</v>
      </c>
      <c r="R29" s="10"/>
      <c r="S29" s="10"/>
      <c r="T29" s="10"/>
      <c r="U29" s="46">
        <f>SUM(V29:X29)</f>
        <v>0.09</v>
      </c>
      <c r="V29" s="8">
        <v>0.09</v>
      </c>
      <c r="W29" s="8"/>
      <c r="X29" s="8"/>
      <c r="Y29" s="10"/>
      <c r="Z29" s="10"/>
      <c r="AA29" s="10"/>
      <c r="AB29" s="10"/>
      <c r="AC29" s="10"/>
      <c r="AD29" s="10"/>
      <c r="AE29" s="10"/>
      <c r="AF29" s="10"/>
      <c r="AG29" s="10"/>
      <c r="AH29" s="10"/>
      <c r="AI29" s="10"/>
      <c r="AJ29" s="10"/>
      <c r="AK29" s="74"/>
      <c r="AL29" s="10"/>
      <c r="AM29" s="10"/>
      <c r="AN29" s="10"/>
      <c r="AO29" s="10"/>
      <c r="AP29" s="10"/>
      <c r="AQ29" s="10"/>
      <c r="AR29" s="10"/>
      <c r="AS29" s="10"/>
      <c r="AT29" s="10"/>
      <c r="AU29" s="10"/>
      <c r="AV29" s="10"/>
      <c r="AW29" s="10"/>
      <c r="AX29" s="10"/>
      <c r="AY29" s="10"/>
      <c r="AZ29" s="10"/>
      <c r="BA29" s="10"/>
      <c r="BB29" s="10"/>
      <c r="BC29" s="10"/>
      <c r="BD29" s="10"/>
      <c r="BE29" s="10"/>
      <c r="BF29" s="10"/>
      <c r="BG29" s="10">
        <v>0.01</v>
      </c>
      <c r="BH29" s="60" t="s">
        <v>139</v>
      </c>
      <c r="BI29" s="14" t="s">
        <v>138</v>
      </c>
      <c r="BJ29" s="14" t="s">
        <v>140</v>
      </c>
      <c r="BK29" s="12" t="s">
        <v>120</v>
      </c>
      <c r="BL29" s="310" t="s">
        <v>114</v>
      </c>
      <c r="BM29" s="14" t="s">
        <v>935</v>
      </c>
      <c r="BN29" s="13" t="s">
        <v>1025</v>
      </c>
      <c r="BO29" s="15" t="s">
        <v>1147</v>
      </c>
    </row>
    <row r="30" spans="1:69" ht="46.5">
      <c r="A30" s="71">
        <f t="shared" si="10"/>
        <v>22</v>
      </c>
      <c r="B30" s="72" t="s">
        <v>141</v>
      </c>
      <c r="C30" s="59" t="s">
        <v>91</v>
      </c>
      <c r="D30" s="13" t="s">
        <v>30</v>
      </c>
      <c r="E30" s="44">
        <f t="shared" si="0"/>
        <v>0.1</v>
      </c>
      <c r="F30" s="73"/>
      <c r="G30" s="5">
        <f t="shared" si="9"/>
        <v>0.1</v>
      </c>
      <c r="H30" s="8"/>
      <c r="I30" s="74"/>
      <c r="J30" s="74"/>
      <c r="K30" s="10"/>
      <c r="L30" s="8"/>
      <c r="M30" s="46">
        <f t="shared" si="11"/>
        <v>0</v>
      </c>
      <c r="N30" s="78"/>
      <c r="O30" s="78"/>
      <c r="P30" s="78"/>
      <c r="Q30" s="46">
        <f t="shared" si="12"/>
        <v>0</v>
      </c>
      <c r="R30" s="10"/>
      <c r="S30" s="10"/>
      <c r="T30" s="10"/>
      <c r="U30" s="6">
        <f>SUM(V30:X30)</f>
        <v>0.07</v>
      </c>
      <c r="V30" s="8">
        <v>0.07</v>
      </c>
      <c r="W30" s="8"/>
      <c r="X30" s="8"/>
      <c r="Y30" s="10"/>
      <c r="Z30" s="10"/>
      <c r="AA30" s="10"/>
      <c r="AB30" s="10"/>
      <c r="AC30" s="10"/>
      <c r="AD30" s="10"/>
      <c r="AE30" s="10"/>
      <c r="AF30" s="10"/>
      <c r="AG30" s="10"/>
      <c r="AH30" s="10"/>
      <c r="AI30" s="10"/>
      <c r="AJ30" s="10"/>
      <c r="AK30" s="74">
        <v>0.03</v>
      </c>
      <c r="AL30" s="10"/>
      <c r="AM30" s="10"/>
      <c r="AN30" s="10"/>
      <c r="AO30" s="10"/>
      <c r="AP30" s="10"/>
      <c r="AQ30" s="10"/>
      <c r="AR30" s="10"/>
      <c r="AS30" s="10"/>
      <c r="AT30" s="10"/>
      <c r="AU30" s="10"/>
      <c r="AV30" s="10"/>
      <c r="AW30" s="10"/>
      <c r="AX30" s="10"/>
      <c r="AY30" s="10"/>
      <c r="AZ30" s="10"/>
      <c r="BA30" s="10"/>
      <c r="BB30" s="10"/>
      <c r="BC30" s="10"/>
      <c r="BD30" s="10"/>
      <c r="BE30" s="10"/>
      <c r="BF30" s="10"/>
      <c r="BG30" s="10"/>
      <c r="BH30" s="60" t="s">
        <v>92</v>
      </c>
      <c r="BI30" s="59" t="s">
        <v>91</v>
      </c>
      <c r="BJ30" s="59" t="s">
        <v>142</v>
      </c>
      <c r="BK30" s="12" t="s">
        <v>120</v>
      </c>
      <c r="BL30" s="310"/>
      <c r="BM30" s="14" t="s">
        <v>935</v>
      </c>
      <c r="BN30" s="13" t="s">
        <v>1025</v>
      </c>
      <c r="BO30" s="15" t="s">
        <v>1147</v>
      </c>
      <c r="BQ30" s="17"/>
    </row>
    <row r="31" spans="1:69" ht="46.5">
      <c r="A31" s="71">
        <f t="shared" si="10"/>
        <v>23</v>
      </c>
      <c r="B31" s="72" t="s">
        <v>143</v>
      </c>
      <c r="C31" s="59" t="s">
        <v>95</v>
      </c>
      <c r="D31" s="13" t="s">
        <v>30</v>
      </c>
      <c r="E31" s="44">
        <f t="shared" si="0"/>
        <v>0.1</v>
      </c>
      <c r="F31" s="73"/>
      <c r="G31" s="5">
        <f t="shared" si="9"/>
        <v>0.1</v>
      </c>
      <c r="H31" s="8"/>
      <c r="I31" s="74"/>
      <c r="J31" s="74"/>
      <c r="K31" s="10">
        <v>0.05</v>
      </c>
      <c r="L31" s="8"/>
      <c r="M31" s="46">
        <f t="shared" si="11"/>
        <v>0</v>
      </c>
      <c r="N31" s="78"/>
      <c r="O31" s="78"/>
      <c r="P31" s="78"/>
      <c r="Q31" s="46">
        <f t="shared" si="12"/>
        <v>0</v>
      </c>
      <c r="R31" s="10"/>
      <c r="S31" s="10"/>
      <c r="T31" s="10"/>
      <c r="U31" s="6"/>
      <c r="V31" s="8"/>
      <c r="W31" s="8"/>
      <c r="X31" s="8"/>
      <c r="Y31" s="10"/>
      <c r="Z31" s="10"/>
      <c r="AA31" s="10"/>
      <c r="AB31" s="10"/>
      <c r="AC31" s="10"/>
      <c r="AD31" s="10"/>
      <c r="AE31" s="10"/>
      <c r="AF31" s="10"/>
      <c r="AG31" s="10"/>
      <c r="AH31" s="10"/>
      <c r="AI31" s="10"/>
      <c r="AJ31" s="10"/>
      <c r="AK31" s="74"/>
      <c r="AL31" s="10"/>
      <c r="AM31" s="10"/>
      <c r="AN31" s="10"/>
      <c r="AO31" s="10"/>
      <c r="AP31" s="10"/>
      <c r="AQ31" s="10"/>
      <c r="AR31" s="10"/>
      <c r="AS31" s="10"/>
      <c r="AT31" s="10"/>
      <c r="AU31" s="10"/>
      <c r="AV31" s="10">
        <v>0.05</v>
      </c>
      <c r="AW31" s="10"/>
      <c r="AX31" s="10"/>
      <c r="AY31" s="10"/>
      <c r="AZ31" s="10"/>
      <c r="BA31" s="10"/>
      <c r="BB31" s="10"/>
      <c r="BC31" s="10"/>
      <c r="BD31" s="10"/>
      <c r="BE31" s="10"/>
      <c r="BF31" s="10"/>
      <c r="BG31" s="10"/>
      <c r="BH31" s="60" t="s">
        <v>96</v>
      </c>
      <c r="BI31" s="59" t="s">
        <v>95</v>
      </c>
      <c r="BJ31" s="14" t="s">
        <v>144</v>
      </c>
      <c r="BK31" s="12" t="s">
        <v>120</v>
      </c>
      <c r="BL31" s="310"/>
      <c r="BM31" s="14" t="s">
        <v>935</v>
      </c>
      <c r="BN31" s="13" t="s">
        <v>1024</v>
      </c>
      <c r="BO31" s="15" t="s">
        <v>1147</v>
      </c>
      <c r="BP31" s="16" t="s">
        <v>1062</v>
      </c>
      <c r="BQ31" s="17"/>
    </row>
    <row r="32" spans="1:69" ht="46.5">
      <c r="A32" s="71">
        <f t="shared" si="10"/>
        <v>24</v>
      </c>
      <c r="B32" s="72" t="s">
        <v>146</v>
      </c>
      <c r="C32" s="79" t="s">
        <v>147</v>
      </c>
      <c r="D32" s="13" t="s">
        <v>30</v>
      </c>
      <c r="E32" s="44">
        <f t="shared" si="0"/>
        <v>0.15</v>
      </c>
      <c r="F32" s="73"/>
      <c r="G32" s="5">
        <f t="shared" si="9"/>
        <v>0.15</v>
      </c>
      <c r="H32" s="61"/>
      <c r="I32" s="45"/>
      <c r="J32" s="45"/>
      <c r="K32" s="5"/>
      <c r="L32" s="61">
        <v>0.08</v>
      </c>
      <c r="M32" s="80">
        <f t="shared" si="11"/>
        <v>0</v>
      </c>
      <c r="N32" s="80"/>
      <c r="O32" s="80"/>
      <c r="P32" s="80"/>
      <c r="Q32" s="80">
        <f t="shared" si="12"/>
        <v>0</v>
      </c>
      <c r="R32" s="5"/>
      <c r="S32" s="5"/>
      <c r="T32" s="5"/>
      <c r="U32" s="44"/>
      <c r="V32" s="61"/>
      <c r="W32" s="61"/>
      <c r="X32" s="61"/>
      <c r="Y32" s="5"/>
      <c r="Z32" s="5"/>
      <c r="AA32" s="5"/>
      <c r="AB32" s="5"/>
      <c r="AC32" s="5"/>
      <c r="AD32" s="5"/>
      <c r="AE32" s="5"/>
      <c r="AF32" s="5">
        <v>0.01</v>
      </c>
      <c r="AG32" s="5"/>
      <c r="AH32" s="5"/>
      <c r="AI32" s="5"/>
      <c r="AJ32" s="5"/>
      <c r="AK32" s="45">
        <v>0.06</v>
      </c>
      <c r="AL32" s="5"/>
      <c r="AM32" s="5"/>
      <c r="AN32" s="5"/>
      <c r="AO32" s="5"/>
      <c r="AP32" s="5"/>
      <c r="AQ32" s="5"/>
      <c r="AR32" s="5"/>
      <c r="AS32" s="5"/>
      <c r="AT32" s="5"/>
      <c r="AU32" s="5"/>
      <c r="AV32" s="5"/>
      <c r="AW32" s="5"/>
      <c r="AX32" s="5"/>
      <c r="AY32" s="5"/>
      <c r="AZ32" s="5"/>
      <c r="BA32" s="5"/>
      <c r="BB32" s="5"/>
      <c r="BC32" s="5"/>
      <c r="BD32" s="5"/>
      <c r="BE32" s="5"/>
      <c r="BF32" s="5"/>
      <c r="BG32" s="5"/>
      <c r="BH32" s="10" t="s">
        <v>148</v>
      </c>
      <c r="BI32" s="79" t="s">
        <v>147</v>
      </c>
      <c r="BJ32" s="14" t="s">
        <v>149</v>
      </c>
      <c r="BK32" s="12" t="s">
        <v>120</v>
      </c>
      <c r="BL32" s="310"/>
      <c r="BM32" s="14" t="s">
        <v>935</v>
      </c>
      <c r="BN32" s="13" t="s">
        <v>1025</v>
      </c>
      <c r="BO32" s="15" t="s">
        <v>1147</v>
      </c>
      <c r="BQ32" s="17"/>
    </row>
    <row r="33" spans="1:69" ht="46.5">
      <c r="A33" s="71">
        <f t="shared" si="10"/>
        <v>25</v>
      </c>
      <c r="B33" s="72" t="s">
        <v>153</v>
      </c>
      <c r="C33" s="56" t="s">
        <v>154</v>
      </c>
      <c r="D33" s="13" t="s">
        <v>30</v>
      </c>
      <c r="E33" s="44">
        <f t="shared" si="0"/>
        <v>0.14</v>
      </c>
      <c r="F33" s="73"/>
      <c r="G33" s="5">
        <f t="shared" si="9"/>
        <v>0.14</v>
      </c>
      <c r="H33" s="8"/>
      <c r="I33" s="74">
        <v>0.02</v>
      </c>
      <c r="J33" s="74"/>
      <c r="K33" s="75"/>
      <c r="L33" s="75"/>
      <c r="M33" s="48">
        <f t="shared" si="11"/>
        <v>0</v>
      </c>
      <c r="N33" s="53"/>
      <c r="O33" s="53"/>
      <c r="P33" s="53"/>
      <c r="Q33" s="48">
        <f t="shared" si="12"/>
        <v>0</v>
      </c>
      <c r="R33" s="10"/>
      <c r="S33" s="10"/>
      <c r="T33" s="10"/>
      <c r="U33" s="48">
        <f>SUM(V33:X33)</f>
        <v>0.12</v>
      </c>
      <c r="V33" s="8"/>
      <c r="W33" s="8">
        <v>0.12</v>
      </c>
      <c r="X33" s="8"/>
      <c r="Y33" s="10"/>
      <c r="Z33" s="10"/>
      <c r="AA33" s="10"/>
      <c r="AB33" s="10"/>
      <c r="AC33" s="10"/>
      <c r="AD33" s="10"/>
      <c r="AE33" s="10"/>
      <c r="AF33" s="10"/>
      <c r="AG33" s="10"/>
      <c r="AH33" s="10"/>
      <c r="AI33" s="10"/>
      <c r="AJ33" s="10"/>
      <c r="AK33" s="74"/>
      <c r="AL33" s="10"/>
      <c r="AM33" s="10"/>
      <c r="AN33" s="10"/>
      <c r="AO33" s="10"/>
      <c r="AP33" s="10"/>
      <c r="AQ33" s="10"/>
      <c r="AR33" s="10"/>
      <c r="AS33" s="10"/>
      <c r="AT33" s="10"/>
      <c r="AU33" s="10"/>
      <c r="AV33" s="10"/>
      <c r="AW33" s="10"/>
      <c r="AX33" s="10"/>
      <c r="AY33" s="10"/>
      <c r="AZ33" s="10"/>
      <c r="BA33" s="10"/>
      <c r="BB33" s="10"/>
      <c r="BC33" s="10"/>
      <c r="BD33" s="10"/>
      <c r="BE33" s="10"/>
      <c r="BF33" s="10"/>
      <c r="BG33" s="10"/>
      <c r="BH33" s="10" t="s">
        <v>155</v>
      </c>
      <c r="BI33" s="56" t="s">
        <v>154</v>
      </c>
      <c r="BJ33" s="56" t="s">
        <v>156</v>
      </c>
      <c r="BK33" s="12" t="s">
        <v>68</v>
      </c>
      <c r="BL33" s="310"/>
      <c r="BM33" s="14" t="s">
        <v>935</v>
      </c>
      <c r="BN33" s="13" t="s">
        <v>1025</v>
      </c>
      <c r="BO33" s="15" t="s">
        <v>1147</v>
      </c>
      <c r="BP33" s="16" t="s">
        <v>1039</v>
      </c>
      <c r="BQ33" s="17"/>
    </row>
    <row r="34" spans="1:69" ht="19.5" customHeight="1">
      <c r="A34" s="66" t="s">
        <v>157</v>
      </c>
      <c r="B34" s="34" t="s">
        <v>158</v>
      </c>
      <c r="C34" s="42"/>
      <c r="D34" s="36"/>
      <c r="E34" s="81">
        <f>F34+G34</f>
        <v>87.37</v>
      </c>
      <c r="F34" s="38">
        <f>SUM(F35:F36)</f>
        <v>0</v>
      </c>
      <c r="G34" s="38">
        <f>SUM(G35:G36)</f>
        <v>87.37</v>
      </c>
      <c r="H34" s="38">
        <f>SUM(H35:H36)</f>
        <v>9.469999999999999</v>
      </c>
      <c r="I34" s="38">
        <f aca="true" t="shared" si="13" ref="I34:BG34">SUM(I35:I36)</f>
        <v>4.37</v>
      </c>
      <c r="J34" s="38">
        <f t="shared" si="13"/>
        <v>0</v>
      </c>
      <c r="K34" s="38">
        <f t="shared" si="13"/>
        <v>6.540000000000001</v>
      </c>
      <c r="L34" s="38">
        <f t="shared" si="13"/>
        <v>1.3199999999999998</v>
      </c>
      <c r="M34" s="38">
        <f t="shared" si="13"/>
        <v>0</v>
      </c>
      <c r="N34" s="38">
        <f t="shared" si="13"/>
        <v>0</v>
      </c>
      <c r="O34" s="38">
        <f t="shared" si="13"/>
        <v>0</v>
      </c>
      <c r="P34" s="38">
        <f t="shared" si="13"/>
        <v>0</v>
      </c>
      <c r="Q34" s="38">
        <f t="shared" si="13"/>
        <v>0</v>
      </c>
      <c r="R34" s="38">
        <f t="shared" si="13"/>
        <v>0</v>
      </c>
      <c r="S34" s="38">
        <f t="shared" si="13"/>
        <v>0</v>
      </c>
      <c r="T34" s="38">
        <f t="shared" si="13"/>
        <v>0</v>
      </c>
      <c r="U34" s="38">
        <f t="shared" si="13"/>
        <v>62.5</v>
      </c>
      <c r="V34" s="38">
        <f t="shared" si="13"/>
        <v>38.13</v>
      </c>
      <c r="W34" s="38">
        <f t="shared" si="13"/>
        <v>16.03</v>
      </c>
      <c r="X34" s="38">
        <f t="shared" si="13"/>
        <v>8.34</v>
      </c>
      <c r="Y34" s="38">
        <f t="shared" si="13"/>
        <v>0.32</v>
      </c>
      <c r="Z34" s="38">
        <f t="shared" si="13"/>
        <v>0</v>
      </c>
      <c r="AA34" s="38">
        <f t="shared" si="13"/>
        <v>0</v>
      </c>
      <c r="AB34" s="38">
        <f t="shared" si="13"/>
        <v>0</v>
      </c>
      <c r="AC34" s="38">
        <f t="shared" si="13"/>
        <v>0</v>
      </c>
      <c r="AD34" s="38">
        <f t="shared" si="13"/>
        <v>0</v>
      </c>
      <c r="AE34" s="38">
        <f t="shared" si="13"/>
        <v>0</v>
      </c>
      <c r="AF34" s="38">
        <f t="shared" si="13"/>
        <v>1.62</v>
      </c>
      <c r="AG34" s="38">
        <f t="shared" si="13"/>
        <v>0.18</v>
      </c>
      <c r="AH34" s="38">
        <f t="shared" si="13"/>
        <v>0</v>
      </c>
      <c r="AI34" s="38">
        <f t="shared" si="13"/>
        <v>0</v>
      </c>
      <c r="AJ34" s="38">
        <f t="shared" si="13"/>
        <v>0</v>
      </c>
      <c r="AK34" s="38">
        <f t="shared" si="13"/>
        <v>0</v>
      </c>
      <c r="AL34" s="38">
        <f t="shared" si="13"/>
        <v>0</v>
      </c>
      <c r="AM34" s="38">
        <f t="shared" si="13"/>
        <v>0</v>
      </c>
      <c r="AN34" s="38">
        <f t="shared" si="13"/>
        <v>0</v>
      </c>
      <c r="AO34" s="38">
        <f t="shared" si="13"/>
        <v>0</v>
      </c>
      <c r="AP34" s="38">
        <f t="shared" si="13"/>
        <v>0</v>
      </c>
      <c r="AQ34" s="38">
        <f t="shared" si="13"/>
        <v>0</v>
      </c>
      <c r="AR34" s="38">
        <f t="shared" si="13"/>
        <v>0</v>
      </c>
      <c r="AS34" s="38">
        <f t="shared" si="13"/>
        <v>0</v>
      </c>
      <c r="AT34" s="38">
        <f t="shared" si="13"/>
        <v>0.19</v>
      </c>
      <c r="AU34" s="38">
        <f t="shared" si="13"/>
        <v>0</v>
      </c>
      <c r="AV34" s="38">
        <f t="shared" si="13"/>
        <v>0</v>
      </c>
      <c r="AW34" s="38">
        <f t="shared" si="13"/>
        <v>0</v>
      </c>
      <c r="AX34" s="38">
        <f t="shared" si="13"/>
        <v>0</v>
      </c>
      <c r="AY34" s="38">
        <f t="shared" si="13"/>
        <v>0</v>
      </c>
      <c r="AZ34" s="38">
        <f t="shared" si="13"/>
        <v>0</v>
      </c>
      <c r="BA34" s="38">
        <f t="shared" si="13"/>
        <v>0</v>
      </c>
      <c r="BB34" s="38">
        <f t="shared" si="13"/>
        <v>0</v>
      </c>
      <c r="BC34" s="38">
        <f t="shared" si="13"/>
        <v>0.02</v>
      </c>
      <c r="BD34" s="38">
        <f t="shared" si="13"/>
        <v>0.48</v>
      </c>
      <c r="BE34" s="38">
        <f t="shared" si="13"/>
        <v>0</v>
      </c>
      <c r="BF34" s="38">
        <f t="shared" si="13"/>
        <v>0</v>
      </c>
      <c r="BG34" s="38">
        <f t="shared" si="13"/>
        <v>0.36</v>
      </c>
      <c r="BH34" s="10"/>
      <c r="BI34" s="42"/>
      <c r="BJ34" s="4"/>
      <c r="BK34" s="82"/>
      <c r="BL34" s="13"/>
      <c r="BM34" s="13"/>
      <c r="BN34" s="13"/>
      <c r="BO34" s="15"/>
      <c r="BQ34" s="17"/>
    </row>
    <row r="35" spans="1:69" ht="46.5">
      <c r="A35" s="1">
        <f>A33+1</f>
        <v>26</v>
      </c>
      <c r="B35" s="83" t="s">
        <v>159</v>
      </c>
      <c r="C35" s="56" t="s">
        <v>82</v>
      </c>
      <c r="D35" s="13" t="s">
        <v>160</v>
      </c>
      <c r="E35" s="5">
        <f>F35+G35</f>
        <v>47.870000000000005</v>
      </c>
      <c r="F35" s="5"/>
      <c r="G35" s="5">
        <f>SUM(H35:M35,Q35,U35,Y35:BG35)</f>
        <v>47.870000000000005</v>
      </c>
      <c r="H35" s="46">
        <v>7.64</v>
      </c>
      <c r="I35" s="84">
        <v>2.27</v>
      </c>
      <c r="J35" s="46"/>
      <c r="K35" s="46">
        <v>4.19</v>
      </c>
      <c r="L35" s="46">
        <v>0.84</v>
      </c>
      <c r="M35" s="46">
        <f>SUM(N35:P35)</f>
        <v>0</v>
      </c>
      <c r="N35" s="46"/>
      <c r="O35" s="46"/>
      <c r="P35" s="46"/>
      <c r="Q35" s="46">
        <f>R35+S35+T35</f>
        <v>0</v>
      </c>
      <c r="R35" s="46"/>
      <c r="S35" s="46"/>
      <c r="T35" s="46"/>
      <c r="U35" s="46">
        <f>SUM(V35:X35)</f>
        <v>30.839999999999996</v>
      </c>
      <c r="V35" s="84">
        <v>15.51</v>
      </c>
      <c r="W35" s="46">
        <v>10.79</v>
      </c>
      <c r="X35" s="46">
        <v>4.54</v>
      </c>
      <c r="Y35" s="46">
        <v>0.27</v>
      </c>
      <c r="Z35" s="46"/>
      <c r="AA35" s="46"/>
      <c r="AB35" s="46"/>
      <c r="AC35" s="46"/>
      <c r="AD35" s="46"/>
      <c r="AE35" s="46"/>
      <c r="AF35" s="46">
        <v>1.26</v>
      </c>
      <c r="AG35" s="46">
        <v>0.18</v>
      </c>
      <c r="AH35" s="46"/>
      <c r="AI35" s="46"/>
      <c r="AJ35" s="46"/>
      <c r="AK35" s="46"/>
      <c r="AL35" s="46"/>
      <c r="AM35" s="46"/>
      <c r="AN35" s="46"/>
      <c r="AO35" s="46"/>
      <c r="AP35" s="46"/>
      <c r="AQ35" s="46"/>
      <c r="AR35" s="46"/>
      <c r="AS35" s="46"/>
      <c r="AT35" s="84">
        <v>0.06</v>
      </c>
      <c r="AU35" s="46"/>
      <c r="AV35" s="46"/>
      <c r="AW35" s="46"/>
      <c r="AX35" s="46"/>
      <c r="AY35" s="46"/>
      <c r="AZ35" s="46"/>
      <c r="BA35" s="46"/>
      <c r="BB35" s="46"/>
      <c r="BC35" s="46">
        <v>0.02</v>
      </c>
      <c r="BD35" s="46"/>
      <c r="BE35" s="46"/>
      <c r="BF35" s="46"/>
      <c r="BG35" s="46">
        <v>0.3</v>
      </c>
      <c r="BH35" s="56" t="s">
        <v>161</v>
      </c>
      <c r="BI35" s="56" t="s">
        <v>82</v>
      </c>
      <c r="BJ35" s="4" t="s">
        <v>162</v>
      </c>
      <c r="BK35" s="12" t="s">
        <v>120</v>
      </c>
      <c r="BL35" s="310" t="s">
        <v>163</v>
      </c>
      <c r="BM35" s="14" t="s">
        <v>935</v>
      </c>
      <c r="BN35" s="13" t="s">
        <v>1025</v>
      </c>
      <c r="BO35" s="15" t="s">
        <v>1147</v>
      </c>
      <c r="BQ35" s="17"/>
    </row>
    <row r="36" spans="1:69" ht="46.5">
      <c r="A36" s="1">
        <f>A35+1</f>
        <v>27</v>
      </c>
      <c r="B36" s="83" t="s">
        <v>164</v>
      </c>
      <c r="C36" s="56" t="s">
        <v>82</v>
      </c>
      <c r="D36" s="13" t="s">
        <v>160</v>
      </c>
      <c r="E36" s="5">
        <f>F36+G36</f>
        <v>39.5</v>
      </c>
      <c r="F36" s="5"/>
      <c r="G36" s="5">
        <f>SUM(H36:M36,Q36,U36,Y36:BG36)</f>
        <v>39.5</v>
      </c>
      <c r="H36" s="46">
        <v>1.83</v>
      </c>
      <c r="I36" s="84">
        <v>2.1</v>
      </c>
      <c r="J36" s="46"/>
      <c r="K36" s="46">
        <v>2.35</v>
      </c>
      <c r="L36" s="46">
        <v>0.48</v>
      </c>
      <c r="M36" s="46"/>
      <c r="N36" s="46"/>
      <c r="O36" s="46"/>
      <c r="P36" s="46"/>
      <c r="Q36" s="46"/>
      <c r="R36" s="46"/>
      <c r="S36" s="46"/>
      <c r="T36" s="46"/>
      <c r="U36" s="46">
        <f>SUM(V36:X36)</f>
        <v>31.66</v>
      </c>
      <c r="V36" s="84">
        <v>22.62</v>
      </c>
      <c r="W36" s="46">
        <v>5.24</v>
      </c>
      <c r="X36" s="46">
        <v>3.8</v>
      </c>
      <c r="Y36" s="46">
        <v>0.05</v>
      </c>
      <c r="Z36" s="46"/>
      <c r="AA36" s="46"/>
      <c r="AB36" s="46"/>
      <c r="AC36" s="46"/>
      <c r="AD36" s="46"/>
      <c r="AE36" s="46"/>
      <c r="AF36" s="46">
        <v>0.36</v>
      </c>
      <c r="AG36" s="46"/>
      <c r="AH36" s="46"/>
      <c r="AI36" s="46"/>
      <c r="AJ36" s="46"/>
      <c r="AK36" s="46"/>
      <c r="AL36" s="46"/>
      <c r="AM36" s="46"/>
      <c r="AN36" s="46"/>
      <c r="AO36" s="46"/>
      <c r="AP36" s="46"/>
      <c r="AQ36" s="46"/>
      <c r="AR36" s="46"/>
      <c r="AS36" s="46"/>
      <c r="AT36" s="84">
        <v>0.13</v>
      </c>
      <c r="AU36" s="46"/>
      <c r="AV36" s="46"/>
      <c r="AW36" s="46"/>
      <c r="AX36" s="46"/>
      <c r="AY36" s="46"/>
      <c r="AZ36" s="46"/>
      <c r="BA36" s="46"/>
      <c r="BB36" s="46"/>
      <c r="BC36" s="46"/>
      <c r="BD36" s="46">
        <v>0.48</v>
      </c>
      <c r="BE36" s="46"/>
      <c r="BF36" s="46"/>
      <c r="BG36" s="46">
        <v>0.06</v>
      </c>
      <c r="BH36" s="56" t="s">
        <v>161</v>
      </c>
      <c r="BI36" s="56" t="s">
        <v>82</v>
      </c>
      <c r="BJ36" s="4" t="s">
        <v>165</v>
      </c>
      <c r="BK36" s="12" t="s">
        <v>120</v>
      </c>
      <c r="BL36" s="310"/>
      <c r="BM36" s="14" t="s">
        <v>935</v>
      </c>
      <c r="BN36" s="13" t="s">
        <v>1025</v>
      </c>
      <c r="BO36" s="15" t="s">
        <v>1147</v>
      </c>
      <c r="BQ36" s="17"/>
    </row>
    <row r="37" spans="1:69" ht="21.75" customHeight="1">
      <c r="A37" s="66" t="s">
        <v>166</v>
      </c>
      <c r="B37" s="85" t="s">
        <v>167</v>
      </c>
      <c r="C37" s="86"/>
      <c r="D37" s="36"/>
      <c r="E37" s="69">
        <f>F37+G37</f>
        <v>32.56</v>
      </c>
      <c r="F37" s="87">
        <f aca="true" t="shared" si="14" ref="F37:AK37">F43+F48+F53+F122+F60+F61+F54+F55+F56+F57+F58+F59</f>
        <v>0</v>
      </c>
      <c r="G37" s="87">
        <f t="shared" si="14"/>
        <v>32.56</v>
      </c>
      <c r="H37" s="87">
        <f t="shared" si="14"/>
        <v>1.23</v>
      </c>
      <c r="I37" s="87">
        <f t="shared" si="14"/>
        <v>1.24</v>
      </c>
      <c r="J37" s="87">
        <f t="shared" si="14"/>
        <v>0</v>
      </c>
      <c r="K37" s="87">
        <f t="shared" si="14"/>
        <v>6.079999999999999</v>
      </c>
      <c r="L37" s="87">
        <f t="shared" si="14"/>
        <v>2.57</v>
      </c>
      <c r="M37" s="87">
        <f t="shared" si="14"/>
        <v>1.3</v>
      </c>
      <c r="N37" s="87">
        <f t="shared" si="14"/>
        <v>1.3</v>
      </c>
      <c r="O37" s="87">
        <f t="shared" si="14"/>
        <v>0</v>
      </c>
      <c r="P37" s="87">
        <f t="shared" si="14"/>
        <v>0</v>
      </c>
      <c r="Q37" s="87">
        <f t="shared" si="14"/>
        <v>0</v>
      </c>
      <c r="R37" s="87">
        <f t="shared" si="14"/>
        <v>0</v>
      </c>
      <c r="S37" s="87">
        <f t="shared" si="14"/>
        <v>0</v>
      </c>
      <c r="T37" s="87">
        <f t="shared" si="14"/>
        <v>0</v>
      </c>
      <c r="U37" s="87">
        <f t="shared" si="14"/>
        <v>16.29</v>
      </c>
      <c r="V37" s="87">
        <f t="shared" si="14"/>
        <v>14.37</v>
      </c>
      <c r="W37" s="87">
        <f t="shared" si="14"/>
        <v>1.57</v>
      </c>
      <c r="X37" s="87">
        <f t="shared" si="14"/>
        <v>0.35</v>
      </c>
      <c r="Y37" s="87">
        <f t="shared" si="14"/>
        <v>0.1</v>
      </c>
      <c r="Z37" s="87">
        <f t="shared" si="14"/>
        <v>0</v>
      </c>
      <c r="AA37" s="87">
        <f t="shared" si="14"/>
        <v>0</v>
      </c>
      <c r="AB37" s="87">
        <f t="shared" si="14"/>
        <v>0</v>
      </c>
      <c r="AC37" s="87">
        <f t="shared" si="14"/>
        <v>0</v>
      </c>
      <c r="AD37" s="87">
        <f t="shared" si="14"/>
        <v>0</v>
      </c>
      <c r="AE37" s="87">
        <f t="shared" si="14"/>
        <v>0</v>
      </c>
      <c r="AF37" s="87">
        <f t="shared" si="14"/>
        <v>3.16</v>
      </c>
      <c r="AG37" s="87">
        <f t="shared" si="14"/>
        <v>0.18</v>
      </c>
      <c r="AH37" s="87">
        <f t="shared" si="14"/>
        <v>0</v>
      </c>
      <c r="AI37" s="87">
        <f t="shared" si="14"/>
        <v>0</v>
      </c>
      <c r="AJ37" s="87">
        <f t="shared" si="14"/>
        <v>0</v>
      </c>
      <c r="AK37" s="87">
        <f t="shared" si="14"/>
        <v>0</v>
      </c>
      <c r="AL37" s="87">
        <f aca="true" t="shared" si="15" ref="AL37:BG37">AL43+AL48+AL53+AL122+AL60+AL61+AL54+AL55+AL56+AL57+AL58+AL59</f>
        <v>0</v>
      </c>
      <c r="AM37" s="87">
        <f t="shared" si="15"/>
        <v>0</v>
      </c>
      <c r="AN37" s="87">
        <f t="shared" si="15"/>
        <v>0</v>
      </c>
      <c r="AO37" s="87">
        <f t="shared" si="15"/>
        <v>0</v>
      </c>
      <c r="AP37" s="87">
        <f t="shared" si="15"/>
        <v>0</v>
      </c>
      <c r="AQ37" s="87">
        <f t="shared" si="15"/>
        <v>0</v>
      </c>
      <c r="AR37" s="87">
        <f t="shared" si="15"/>
        <v>0</v>
      </c>
      <c r="AS37" s="87">
        <f t="shared" si="15"/>
        <v>0</v>
      </c>
      <c r="AT37" s="87">
        <f t="shared" si="15"/>
        <v>0.24</v>
      </c>
      <c r="AU37" s="87">
        <f t="shared" si="15"/>
        <v>0</v>
      </c>
      <c r="AV37" s="87">
        <f t="shared" si="15"/>
        <v>0.02</v>
      </c>
      <c r="AW37" s="87">
        <f t="shared" si="15"/>
        <v>0</v>
      </c>
      <c r="AX37" s="87">
        <f t="shared" si="15"/>
        <v>0</v>
      </c>
      <c r="AY37" s="87">
        <f t="shared" si="15"/>
        <v>0</v>
      </c>
      <c r="AZ37" s="87">
        <f t="shared" si="15"/>
        <v>0</v>
      </c>
      <c r="BA37" s="87">
        <f t="shared" si="15"/>
        <v>0</v>
      </c>
      <c r="BB37" s="87">
        <f t="shared" si="15"/>
        <v>0</v>
      </c>
      <c r="BC37" s="87">
        <f t="shared" si="15"/>
        <v>0</v>
      </c>
      <c r="BD37" s="87">
        <f t="shared" si="15"/>
        <v>0.15</v>
      </c>
      <c r="BE37" s="87">
        <f t="shared" si="15"/>
        <v>0</v>
      </c>
      <c r="BF37" s="87">
        <f t="shared" si="15"/>
        <v>0</v>
      </c>
      <c r="BG37" s="87">
        <f t="shared" si="15"/>
        <v>0</v>
      </c>
      <c r="BH37" s="86"/>
      <c r="BI37" s="86"/>
      <c r="BJ37" s="39"/>
      <c r="BK37" s="39"/>
      <c r="BL37" s="39"/>
      <c r="BM37" s="39"/>
      <c r="BN37" s="13"/>
      <c r="BO37" s="15"/>
      <c r="BQ37" s="17"/>
    </row>
    <row r="38" spans="1:69" ht="39.75" customHeight="1">
      <c r="A38" s="284">
        <f>A36+1</f>
        <v>28</v>
      </c>
      <c r="B38" s="15" t="s">
        <v>911</v>
      </c>
      <c r="C38" s="310" t="s">
        <v>168</v>
      </c>
      <c r="D38" s="4"/>
      <c r="E38" s="45">
        <f>F38+G38</f>
        <v>22.14</v>
      </c>
      <c r="F38" s="73"/>
      <c r="G38" s="5">
        <f>SUM(H38:M38,Q38,U38,Y38:BG38)</f>
        <v>22.14</v>
      </c>
      <c r="H38" s="88">
        <f>SUM(H40:H43)</f>
        <v>1.1</v>
      </c>
      <c r="I38" s="88">
        <f>SUM(I40:I43)</f>
        <v>0.5</v>
      </c>
      <c r="J38" s="88"/>
      <c r="K38" s="74">
        <v>3.85</v>
      </c>
      <c r="L38" s="88">
        <f aca="true" t="shared" si="16" ref="L38:BG38">SUM(L40:L43)</f>
        <v>6.49</v>
      </c>
      <c r="M38" s="88">
        <f t="shared" si="16"/>
        <v>0</v>
      </c>
      <c r="N38" s="88">
        <f t="shared" si="16"/>
        <v>0</v>
      </c>
      <c r="O38" s="88">
        <f t="shared" si="16"/>
        <v>0</v>
      </c>
      <c r="P38" s="88">
        <f t="shared" si="16"/>
        <v>0</v>
      </c>
      <c r="Q38" s="88">
        <f t="shared" si="16"/>
        <v>0</v>
      </c>
      <c r="R38" s="88">
        <f t="shared" si="16"/>
        <v>0</v>
      </c>
      <c r="S38" s="88">
        <f t="shared" si="16"/>
        <v>0</v>
      </c>
      <c r="T38" s="88">
        <f t="shared" si="16"/>
        <v>0</v>
      </c>
      <c r="U38" s="88">
        <f t="shared" si="16"/>
        <v>8.2</v>
      </c>
      <c r="V38" s="88">
        <f t="shared" si="16"/>
        <v>8.2</v>
      </c>
      <c r="W38" s="88">
        <f t="shared" si="16"/>
        <v>0</v>
      </c>
      <c r="X38" s="88">
        <f t="shared" si="16"/>
        <v>0</v>
      </c>
      <c r="Y38" s="88">
        <f t="shared" si="16"/>
        <v>0</v>
      </c>
      <c r="Z38" s="88">
        <f t="shared" si="16"/>
        <v>0</v>
      </c>
      <c r="AA38" s="88">
        <f t="shared" si="16"/>
        <v>0</v>
      </c>
      <c r="AB38" s="88">
        <f t="shared" si="16"/>
        <v>0</v>
      </c>
      <c r="AC38" s="88">
        <f t="shared" si="16"/>
        <v>0</v>
      </c>
      <c r="AD38" s="88">
        <f t="shared" si="16"/>
        <v>0</v>
      </c>
      <c r="AE38" s="88">
        <f t="shared" si="16"/>
        <v>0</v>
      </c>
      <c r="AF38" s="88">
        <f t="shared" si="16"/>
        <v>2</v>
      </c>
      <c r="AG38" s="88">
        <f t="shared" si="16"/>
        <v>0</v>
      </c>
      <c r="AH38" s="88">
        <f t="shared" si="16"/>
        <v>0</v>
      </c>
      <c r="AI38" s="88">
        <f t="shared" si="16"/>
        <v>0</v>
      </c>
      <c r="AJ38" s="88">
        <f t="shared" si="16"/>
        <v>0</v>
      </c>
      <c r="AK38" s="88">
        <f t="shared" si="16"/>
        <v>0</v>
      </c>
      <c r="AL38" s="88">
        <f t="shared" si="16"/>
        <v>0</v>
      </c>
      <c r="AM38" s="88">
        <f t="shared" si="16"/>
        <v>0</v>
      </c>
      <c r="AN38" s="88">
        <f t="shared" si="16"/>
        <v>0</v>
      </c>
      <c r="AO38" s="88">
        <f t="shared" si="16"/>
        <v>0</v>
      </c>
      <c r="AP38" s="88">
        <f t="shared" si="16"/>
        <v>0</v>
      </c>
      <c r="AQ38" s="88">
        <f t="shared" si="16"/>
        <v>0</v>
      </c>
      <c r="AR38" s="88">
        <f t="shared" si="16"/>
        <v>0</v>
      </c>
      <c r="AS38" s="88">
        <f t="shared" si="16"/>
        <v>0</v>
      </c>
      <c r="AT38" s="88">
        <f t="shared" si="16"/>
        <v>0</v>
      </c>
      <c r="AU38" s="88">
        <f t="shared" si="16"/>
        <v>0</v>
      </c>
      <c r="AV38" s="88">
        <f t="shared" si="16"/>
        <v>0</v>
      </c>
      <c r="AW38" s="88">
        <f t="shared" si="16"/>
        <v>0</v>
      </c>
      <c r="AX38" s="88">
        <f t="shared" si="16"/>
        <v>0</v>
      </c>
      <c r="AY38" s="88">
        <f t="shared" si="16"/>
        <v>0</v>
      </c>
      <c r="AZ38" s="88">
        <f t="shared" si="16"/>
        <v>0</v>
      </c>
      <c r="BA38" s="88">
        <f t="shared" si="16"/>
        <v>0</v>
      </c>
      <c r="BB38" s="88">
        <f t="shared" si="16"/>
        <v>0</v>
      </c>
      <c r="BC38" s="88">
        <f t="shared" si="16"/>
        <v>0</v>
      </c>
      <c r="BD38" s="88">
        <f t="shared" si="16"/>
        <v>0</v>
      </c>
      <c r="BE38" s="88">
        <f t="shared" si="16"/>
        <v>0</v>
      </c>
      <c r="BF38" s="88">
        <f t="shared" si="16"/>
        <v>0</v>
      </c>
      <c r="BG38" s="88">
        <f t="shared" si="16"/>
        <v>0</v>
      </c>
      <c r="BH38" s="60"/>
      <c r="BI38" s="310" t="s">
        <v>168</v>
      </c>
      <c r="BJ38" s="310" t="s">
        <v>169</v>
      </c>
      <c r="BK38" s="313" t="s">
        <v>120</v>
      </c>
      <c r="BL38" s="310" t="s">
        <v>163</v>
      </c>
      <c r="BM38" s="293" t="s">
        <v>935</v>
      </c>
      <c r="BN38" s="13" t="s">
        <v>1025</v>
      </c>
      <c r="BO38" s="15" t="s">
        <v>1147</v>
      </c>
      <c r="BQ38" s="17"/>
    </row>
    <row r="39" spans="1:69" ht="15">
      <c r="A39" s="284"/>
      <c r="B39" s="15" t="s">
        <v>170</v>
      </c>
      <c r="C39" s="310"/>
      <c r="D39" s="4"/>
      <c r="E39" s="45"/>
      <c r="F39" s="73"/>
      <c r="G39" s="5"/>
      <c r="H39" s="10"/>
      <c r="I39" s="10"/>
      <c r="J39" s="10"/>
      <c r="K39" s="10"/>
      <c r="L39" s="10"/>
      <c r="M39" s="10"/>
      <c r="N39" s="10"/>
      <c r="O39" s="10"/>
      <c r="P39" s="10"/>
      <c r="Q39" s="10"/>
      <c r="R39" s="10"/>
      <c r="S39" s="10"/>
      <c r="T39" s="10"/>
      <c r="U39" s="6"/>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60"/>
      <c r="BI39" s="310"/>
      <c r="BJ39" s="310"/>
      <c r="BK39" s="313"/>
      <c r="BL39" s="310"/>
      <c r="BM39" s="293"/>
      <c r="BN39" s="13"/>
      <c r="BO39" s="15"/>
      <c r="BQ39" s="17"/>
    </row>
    <row r="40" spans="1:69" ht="20.25" customHeight="1">
      <c r="A40" s="284"/>
      <c r="B40" s="327" t="s">
        <v>171</v>
      </c>
      <c r="C40" s="310"/>
      <c r="D40" s="4" t="s">
        <v>48</v>
      </c>
      <c r="E40" s="45">
        <f>F40+G40</f>
        <v>4.090000000000001</v>
      </c>
      <c r="F40" s="73"/>
      <c r="G40" s="5">
        <f>SUM(H40:M40,Q40,U40,Y40:BG40)</f>
        <v>4.090000000000001</v>
      </c>
      <c r="H40" s="10"/>
      <c r="I40" s="10"/>
      <c r="J40" s="10"/>
      <c r="K40" s="10">
        <v>1.05</v>
      </c>
      <c r="L40" s="10">
        <f>1.75-0.56</f>
        <v>1.19</v>
      </c>
      <c r="M40" s="10"/>
      <c r="N40" s="10"/>
      <c r="O40" s="10"/>
      <c r="P40" s="10"/>
      <c r="Q40" s="10"/>
      <c r="R40" s="10"/>
      <c r="S40" s="10"/>
      <c r="T40" s="10"/>
      <c r="U40" s="6">
        <f>SUM(V40:X40)</f>
        <v>1.2</v>
      </c>
      <c r="V40" s="6">
        <v>1.2</v>
      </c>
      <c r="W40" s="10"/>
      <c r="X40" s="10"/>
      <c r="Y40" s="10"/>
      <c r="Z40" s="10"/>
      <c r="AA40" s="10"/>
      <c r="AB40" s="10"/>
      <c r="AC40" s="10"/>
      <c r="AD40" s="10"/>
      <c r="AE40" s="10"/>
      <c r="AF40" s="10">
        <v>0.65</v>
      </c>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60"/>
      <c r="BI40" s="310"/>
      <c r="BJ40" s="310"/>
      <c r="BK40" s="313"/>
      <c r="BL40" s="310"/>
      <c r="BM40" s="293"/>
      <c r="BN40" s="13"/>
      <c r="BO40" s="15"/>
      <c r="BQ40" s="17"/>
    </row>
    <row r="41" spans="1:69" ht="20.25" customHeight="1">
      <c r="A41" s="284"/>
      <c r="B41" s="327"/>
      <c r="C41" s="310"/>
      <c r="D41" s="4" t="s">
        <v>49</v>
      </c>
      <c r="E41" s="45">
        <f>F41+G41</f>
        <v>3.35</v>
      </c>
      <c r="F41" s="73"/>
      <c r="G41" s="5">
        <f>SUM(H41:M41,Q41,U41,Y41:BG41)</f>
        <v>3.35</v>
      </c>
      <c r="H41" s="10"/>
      <c r="I41" s="10"/>
      <c r="J41" s="10"/>
      <c r="K41" s="10">
        <v>0.55</v>
      </c>
      <c r="L41" s="10">
        <v>0.85</v>
      </c>
      <c r="M41" s="10"/>
      <c r="N41" s="10"/>
      <c r="O41" s="10"/>
      <c r="P41" s="10"/>
      <c r="Q41" s="10"/>
      <c r="R41" s="10"/>
      <c r="S41" s="10"/>
      <c r="T41" s="10"/>
      <c r="U41" s="6">
        <f>SUM(V41:X41)</f>
        <v>1.6</v>
      </c>
      <c r="V41" s="6">
        <v>1.6</v>
      </c>
      <c r="W41" s="10"/>
      <c r="X41" s="10"/>
      <c r="Y41" s="10"/>
      <c r="Z41" s="10"/>
      <c r="AA41" s="10"/>
      <c r="AB41" s="10"/>
      <c r="AC41" s="10"/>
      <c r="AD41" s="10"/>
      <c r="AE41" s="10"/>
      <c r="AF41" s="10">
        <v>0.35</v>
      </c>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60"/>
      <c r="BI41" s="310"/>
      <c r="BJ41" s="310"/>
      <c r="BK41" s="313"/>
      <c r="BL41" s="310"/>
      <c r="BM41" s="293"/>
      <c r="BN41" s="13"/>
      <c r="BO41" s="15"/>
      <c r="BQ41" s="17"/>
    </row>
    <row r="42" spans="1:69" ht="20.25" customHeight="1">
      <c r="A42" s="284"/>
      <c r="B42" s="15" t="s">
        <v>172</v>
      </c>
      <c r="C42" s="310"/>
      <c r="D42" s="4" t="s">
        <v>34</v>
      </c>
      <c r="E42" s="45">
        <f>F42+G42</f>
        <v>9.7</v>
      </c>
      <c r="F42" s="73"/>
      <c r="G42" s="89">
        <f>SUM(H42:BG42)-M42-Q42-U42</f>
        <v>9.7</v>
      </c>
      <c r="H42" s="10">
        <v>1.1</v>
      </c>
      <c r="I42" s="10">
        <v>0.5</v>
      </c>
      <c r="J42" s="10"/>
      <c r="K42" s="10">
        <v>1.5</v>
      </c>
      <c r="L42" s="10">
        <f>3.4-0.3</f>
        <v>3.1</v>
      </c>
      <c r="M42" s="10"/>
      <c r="N42" s="10"/>
      <c r="O42" s="10"/>
      <c r="P42" s="10"/>
      <c r="Q42" s="10"/>
      <c r="R42" s="10"/>
      <c r="S42" s="10"/>
      <c r="T42" s="10"/>
      <c r="U42" s="6">
        <f>SUM(V42:X42)</f>
        <v>3.5</v>
      </c>
      <c r="V42" s="6">
        <v>3.5</v>
      </c>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60"/>
      <c r="BI42" s="310"/>
      <c r="BJ42" s="310"/>
      <c r="BK42" s="313"/>
      <c r="BL42" s="310"/>
      <c r="BM42" s="293"/>
      <c r="BN42" s="13"/>
      <c r="BO42" s="15"/>
      <c r="BQ42" s="17"/>
    </row>
    <row r="43" spans="1:69" ht="20.25" customHeight="1">
      <c r="A43" s="284"/>
      <c r="B43" s="15" t="s">
        <v>173</v>
      </c>
      <c r="C43" s="310"/>
      <c r="D43" s="4" t="s">
        <v>31</v>
      </c>
      <c r="E43" s="45">
        <f>F43+G43</f>
        <v>5</v>
      </c>
      <c r="F43" s="73"/>
      <c r="G43" s="5">
        <f>SUM(H43:M43,Q43,U43,Y43:BG43)</f>
        <v>5</v>
      </c>
      <c r="H43" s="10"/>
      <c r="I43" s="10"/>
      <c r="J43" s="10"/>
      <c r="K43" s="10">
        <v>0.75</v>
      </c>
      <c r="L43" s="10">
        <v>1.35</v>
      </c>
      <c r="M43" s="10"/>
      <c r="N43" s="10"/>
      <c r="O43" s="10"/>
      <c r="P43" s="10"/>
      <c r="Q43" s="10"/>
      <c r="R43" s="10"/>
      <c r="S43" s="10"/>
      <c r="T43" s="10"/>
      <c r="U43" s="6">
        <f>SUM(V43:X43)</f>
        <v>1.9</v>
      </c>
      <c r="V43" s="6">
        <v>1.9</v>
      </c>
      <c r="W43" s="10"/>
      <c r="X43" s="10"/>
      <c r="Y43" s="10"/>
      <c r="Z43" s="10"/>
      <c r="AA43" s="10"/>
      <c r="AB43" s="10"/>
      <c r="AC43" s="10"/>
      <c r="AD43" s="10"/>
      <c r="AE43" s="10"/>
      <c r="AF43" s="10">
        <v>1</v>
      </c>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60"/>
      <c r="BI43" s="310"/>
      <c r="BJ43" s="310"/>
      <c r="BK43" s="313"/>
      <c r="BL43" s="310"/>
      <c r="BM43" s="293"/>
      <c r="BN43" s="13"/>
      <c r="BO43" s="15"/>
      <c r="BQ43" s="17"/>
    </row>
    <row r="44" spans="1:69" ht="34.5" customHeight="1">
      <c r="A44" s="284">
        <f>A38+1</f>
        <v>29</v>
      </c>
      <c r="B44" s="15" t="s">
        <v>174</v>
      </c>
      <c r="C44" s="310" t="s">
        <v>154</v>
      </c>
      <c r="D44" s="4"/>
      <c r="E44" s="45">
        <f>F44+G44</f>
        <v>22.000000000000004</v>
      </c>
      <c r="F44" s="73"/>
      <c r="G44" s="80">
        <f>SUM(G46:G48)</f>
        <v>22.000000000000004</v>
      </c>
      <c r="H44" s="80">
        <f aca="true" t="shared" si="17" ref="H44:BG44">SUM(H46:H48)</f>
        <v>1</v>
      </c>
      <c r="I44" s="80">
        <f t="shared" si="17"/>
        <v>0</v>
      </c>
      <c r="J44" s="80">
        <f t="shared" si="17"/>
        <v>0</v>
      </c>
      <c r="K44" s="80">
        <f t="shared" si="17"/>
        <v>1</v>
      </c>
      <c r="L44" s="80">
        <f t="shared" si="17"/>
        <v>0</v>
      </c>
      <c r="M44" s="80">
        <f t="shared" si="17"/>
        <v>3.35</v>
      </c>
      <c r="N44" s="80">
        <f t="shared" si="17"/>
        <v>3.35</v>
      </c>
      <c r="O44" s="80">
        <f t="shared" si="17"/>
        <v>0</v>
      </c>
      <c r="P44" s="80">
        <f t="shared" si="17"/>
        <v>0</v>
      </c>
      <c r="Q44" s="80">
        <f t="shared" si="17"/>
        <v>0</v>
      </c>
      <c r="R44" s="80">
        <f t="shared" si="17"/>
        <v>0</v>
      </c>
      <c r="S44" s="80">
        <f t="shared" si="17"/>
        <v>0</v>
      </c>
      <c r="T44" s="80">
        <f t="shared" si="17"/>
        <v>0</v>
      </c>
      <c r="U44" s="80">
        <f t="shared" si="17"/>
        <v>13.75</v>
      </c>
      <c r="V44" s="80">
        <f t="shared" si="17"/>
        <v>13.75</v>
      </c>
      <c r="W44" s="80">
        <f t="shared" si="17"/>
        <v>0</v>
      </c>
      <c r="X44" s="80">
        <f t="shared" si="17"/>
        <v>0</v>
      </c>
      <c r="Y44" s="80">
        <f t="shared" si="17"/>
        <v>0.4</v>
      </c>
      <c r="Z44" s="80">
        <f t="shared" si="17"/>
        <v>0</v>
      </c>
      <c r="AA44" s="80">
        <f t="shared" si="17"/>
        <v>0</v>
      </c>
      <c r="AB44" s="80">
        <f t="shared" si="17"/>
        <v>0</v>
      </c>
      <c r="AC44" s="80">
        <f t="shared" si="17"/>
        <v>0</v>
      </c>
      <c r="AD44" s="80">
        <f t="shared" si="17"/>
        <v>0</v>
      </c>
      <c r="AE44" s="80">
        <f t="shared" si="17"/>
        <v>0</v>
      </c>
      <c r="AF44" s="80">
        <f t="shared" si="17"/>
        <v>2.5</v>
      </c>
      <c r="AG44" s="80">
        <f t="shared" si="17"/>
        <v>0</v>
      </c>
      <c r="AH44" s="80">
        <f t="shared" si="17"/>
        <v>0</v>
      </c>
      <c r="AI44" s="80">
        <f t="shared" si="17"/>
        <v>0</v>
      </c>
      <c r="AJ44" s="80">
        <f t="shared" si="17"/>
        <v>0</v>
      </c>
      <c r="AK44" s="80">
        <f t="shared" si="17"/>
        <v>0</v>
      </c>
      <c r="AL44" s="80">
        <f t="shared" si="17"/>
        <v>0</v>
      </c>
      <c r="AM44" s="80">
        <f t="shared" si="17"/>
        <v>0</v>
      </c>
      <c r="AN44" s="80">
        <f t="shared" si="17"/>
        <v>0</v>
      </c>
      <c r="AO44" s="80">
        <f t="shared" si="17"/>
        <v>0</v>
      </c>
      <c r="AP44" s="80">
        <f t="shared" si="17"/>
        <v>0</v>
      </c>
      <c r="AQ44" s="80">
        <f t="shared" si="17"/>
        <v>0</v>
      </c>
      <c r="AR44" s="80">
        <f t="shared" si="17"/>
        <v>0</v>
      </c>
      <c r="AS44" s="80">
        <f t="shared" si="17"/>
        <v>0</v>
      </c>
      <c r="AT44" s="80">
        <f t="shared" si="17"/>
        <v>0</v>
      </c>
      <c r="AU44" s="80">
        <f t="shared" si="17"/>
        <v>0</v>
      </c>
      <c r="AV44" s="80">
        <f t="shared" si="17"/>
        <v>0</v>
      </c>
      <c r="AW44" s="80">
        <f t="shared" si="17"/>
        <v>0</v>
      </c>
      <c r="AX44" s="80">
        <f t="shared" si="17"/>
        <v>0</v>
      </c>
      <c r="AY44" s="80">
        <f t="shared" si="17"/>
        <v>0</v>
      </c>
      <c r="AZ44" s="80">
        <f t="shared" si="17"/>
        <v>0</v>
      </c>
      <c r="BA44" s="80">
        <f t="shared" si="17"/>
        <v>0</v>
      </c>
      <c r="BB44" s="80">
        <f t="shared" si="17"/>
        <v>0</v>
      </c>
      <c r="BC44" s="80">
        <f t="shared" si="17"/>
        <v>0</v>
      </c>
      <c r="BD44" s="80">
        <f t="shared" si="17"/>
        <v>0</v>
      </c>
      <c r="BE44" s="80">
        <f t="shared" si="17"/>
        <v>0</v>
      </c>
      <c r="BF44" s="80">
        <f t="shared" si="17"/>
        <v>0</v>
      </c>
      <c r="BG44" s="80">
        <f t="shared" si="17"/>
        <v>0</v>
      </c>
      <c r="BH44" s="60"/>
      <c r="BI44" s="310" t="s">
        <v>154</v>
      </c>
      <c r="BJ44" s="310" t="s">
        <v>175</v>
      </c>
      <c r="BK44" s="313" t="s">
        <v>120</v>
      </c>
      <c r="BL44" s="310" t="s">
        <v>163</v>
      </c>
      <c r="BM44" s="293" t="s">
        <v>935</v>
      </c>
      <c r="BN44" s="13" t="s">
        <v>1025</v>
      </c>
      <c r="BO44" s="15" t="s">
        <v>1147</v>
      </c>
      <c r="BQ44" s="17"/>
    </row>
    <row r="45" spans="1:69" ht="18.75" customHeight="1">
      <c r="A45" s="284"/>
      <c r="B45" s="15" t="s">
        <v>170</v>
      </c>
      <c r="C45" s="310"/>
      <c r="D45" s="4"/>
      <c r="E45" s="45"/>
      <c r="F45" s="73"/>
      <c r="G45" s="5"/>
      <c r="H45" s="10"/>
      <c r="I45" s="10"/>
      <c r="J45" s="10"/>
      <c r="K45" s="10"/>
      <c r="L45" s="10"/>
      <c r="M45" s="10"/>
      <c r="N45" s="10"/>
      <c r="O45" s="10"/>
      <c r="P45" s="10"/>
      <c r="Q45" s="10"/>
      <c r="R45" s="10"/>
      <c r="S45" s="10"/>
      <c r="T45" s="10"/>
      <c r="U45" s="6"/>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60"/>
      <c r="BI45" s="310"/>
      <c r="BJ45" s="310"/>
      <c r="BK45" s="313"/>
      <c r="BL45" s="310"/>
      <c r="BM45" s="293"/>
      <c r="BN45" s="13"/>
      <c r="BO45" s="15"/>
      <c r="BQ45" s="17"/>
    </row>
    <row r="46" spans="1:69" ht="18.75" customHeight="1">
      <c r="A46" s="284"/>
      <c r="B46" s="15" t="s">
        <v>171</v>
      </c>
      <c r="C46" s="310"/>
      <c r="D46" s="4" t="s">
        <v>48</v>
      </c>
      <c r="E46" s="45">
        <f>F46+G46</f>
        <v>7</v>
      </c>
      <c r="F46" s="73"/>
      <c r="G46" s="5">
        <f>SUM(H46:M46,Q46,U46,Y46:BG46)</f>
        <v>7</v>
      </c>
      <c r="H46" s="48"/>
      <c r="I46" s="48"/>
      <c r="J46" s="48"/>
      <c r="K46" s="48">
        <v>0.5</v>
      </c>
      <c r="L46" s="48"/>
      <c r="M46" s="48">
        <v>1</v>
      </c>
      <c r="N46" s="48">
        <v>1</v>
      </c>
      <c r="O46" s="48"/>
      <c r="P46" s="48"/>
      <c r="Q46" s="48"/>
      <c r="R46" s="48"/>
      <c r="S46" s="48"/>
      <c r="T46" s="48"/>
      <c r="U46" s="48">
        <f>SUM(V46:X46)</f>
        <v>3.8</v>
      </c>
      <c r="V46" s="48">
        <v>3.8</v>
      </c>
      <c r="W46" s="48"/>
      <c r="X46" s="48"/>
      <c r="Y46" s="48">
        <v>0.2</v>
      </c>
      <c r="Z46" s="48"/>
      <c r="AA46" s="48"/>
      <c r="AB46" s="48"/>
      <c r="AC46" s="48"/>
      <c r="AD46" s="48"/>
      <c r="AE46" s="48"/>
      <c r="AF46" s="48">
        <v>1.5</v>
      </c>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60"/>
      <c r="BI46" s="310"/>
      <c r="BJ46" s="310"/>
      <c r="BK46" s="313"/>
      <c r="BL46" s="310"/>
      <c r="BM46" s="293"/>
      <c r="BN46" s="13"/>
      <c r="BO46" s="15"/>
      <c r="BQ46" s="17"/>
    </row>
    <row r="47" spans="1:69" ht="18.75" customHeight="1">
      <c r="A47" s="284"/>
      <c r="B47" s="15" t="s">
        <v>172</v>
      </c>
      <c r="C47" s="310"/>
      <c r="D47" s="4" t="s">
        <v>34</v>
      </c>
      <c r="E47" s="45">
        <f>F47+G47</f>
        <v>10.000000000000004</v>
      </c>
      <c r="F47" s="73"/>
      <c r="G47" s="89">
        <f>SUM(H47:BG47)-M47-Q47-U47</f>
        <v>10.000000000000004</v>
      </c>
      <c r="H47" s="48">
        <v>1</v>
      </c>
      <c r="I47" s="48"/>
      <c r="J47" s="48"/>
      <c r="K47" s="48">
        <v>0.2</v>
      </c>
      <c r="L47" s="48"/>
      <c r="M47" s="48">
        <v>1.7</v>
      </c>
      <c r="N47" s="48">
        <v>1.7</v>
      </c>
      <c r="O47" s="48"/>
      <c r="P47" s="48"/>
      <c r="Q47" s="48"/>
      <c r="R47" s="48"/>
      <c r="S47" s="48"/>
      <c r="T47" s="48"/>
      <c r="U47" s="6">
        <f>SUM(V47:X47)</f>
        <v>7</v>
      </c>
      <c r="V47" s="48">
        <v>7</v>
      </c>
      <c r="W47" s="48"/>
      <c r="X47" s="48"/>
      <c r="Y47" s="48">
        <v>0.1</v>
      </c>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60"/>
      <c r="BI47" s="310"/>
      <c r="BJ47" s="310"/>
      <c r="BK47" s="313"/>
      <c r="BL47" s="310"/>
      <c r="BM47" s="293"/>
      <c r="BN47" s="13"/>
      <c r="BO47" s="15"/>
      <c r="BQ47" s="17"/>
    </row>
    <row r="48" spans="1:69" ht="18.75" customHeight="1">
      <c r="A48" s="284"/>
      <c r="B48" s="15" t="s">
        <v>173</v>
      </c>
      <c r="C48" s="310"/>
      <c r="D48" s="4" t="s">
        <v>31</v>
      </c>
      <c r="E48" s="45">
        <f>F48+G48</f>
        <v>5</v>
      </c>
      <c r="F48" s="73"/>
      <c r="G48" s="5">
        <f>SUM(H48:M48,Q48,U48,Y48:BG48)</f>
        <v>5</v>
      </c>
      <c r="H48" s="48"/>
      <c r="I48" s="48"/>
      <c r="J48" s="48"/>
      <c r="K48" s="48">
        <v>0.3</v>
      </c>
      <c r="L48" s="48"/>
      <c r="M48" s="48">
        <v>0.65</v>
      </c>
      <c r="N48" s="48">
        <v>0.65</v>
      </c>
      <c r="O48" s="48"/>
      <c r="P48" s="48"/>
      <c r="Q48" s="48"/>
      <c r="R48" s="48"/>
      <c r="S48" s="48"/>
      <c r="T48" s="48"/>
      <c r="U48" s="48">
        <f>SUM(V48:X48)</f>
        <v>2.95</v>
      </c>
      <c r="V48" s="48">
        <v>2.95</v>
      </c>
      <c r="W48" s="48"/>
      <c r="X48" s="48"/>
      <c r="Y48" s="48">
        <v>0.1</v>
      </c>
      <c r="Z48" s="48"/>
      <c r="AA48" s="48"/>
      <c r="AB48" s="48"/>
      <c r="AC48" s="48"/>
      <c r="AD48" s="48"/>
      <c r="AE48" s="48"/>
      <c r="AF48" s="48">
        <v>1</v>
      </c>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60"/>
      <c r="BI48" s="310"/>
      <c r="BJ48" s="310"/>
      <c r="BK48" s="313"/>
      <c r="BL48" s="310"/>
      <c r="BM48" s="293"/>
      <c r="BN48" s="13"/>
      <c r="BO48" s="15"/>
      <c r="BQ48" s="17"/>
    </row>
    <row r="49" spans="1:69" ht="69" customHeight="1">
      <c r="A49" s="284">
        <f>A44+1</f>
        <v>30</v>
      </c>
      <c r="B49" s="15" t="s">
        <v>176</v>
      </c>
      <c r="C49" s="310" t="s">
        <v>177</v>
      </c>
      <c r="D49" s="4"/>
      <c r="E49" s="45">
        <f>F49+G49</f>
        <v>22</v>
      </c>
      <c r="F49" s="88">
        <f>SUM(F51:F53)</f>
        <v>0</v>
      </c>
      <c r="G49" s="88">
        <f>SUM(G51:G53)</f>
        <v>22</v>
      </c>
      <c r="H49" s="88">
        <f aca="true" t="shared" si="18" ref="H49:BG49">SUM(H51:H53)</f>
        <v>1.2</v>
      </c>
      <c r="I49" s="88">
        <f t="shared" si="18"/>
        <v>0</v>
      </c>
      <c r="J49" s="88">
        <f t="shared" si="18"/>
        <v>0</v>
      </c>
      <c r="K49" s="88">
        <f t="shared" si="18"/>
        <v>1.5</v>
      </c>
      <c r="L49" s="88">
        <f t="shared" si="18"/>
        <v>0</v>
      </c>
      <c r="M49" s="88">
        <f t="shared" si="18"/>
        <v>3.5500000000000003</v>
      </c>
      <c r="N49" s="88">
        <f t="shared" si="18"/>
        <v>3.5500000000000003</v>
      </c>
      <c r="O49" s="88">
        <f t="shared" si="18"/>
        <v>0</v>
      </c>
      <c r="P49" s="88">
        <f t="shared" si="18"/>
        <v>0</v>
      </c>
      <c r="Q49" s="88">
        <f t="shared" si="18"/>
        <v>0</v>
      </c>
      <c r="R49" s="88">
        <f t="shared" si="18"/>
        <v>0</v>
      </c>
      <c r="S49" s="88">
        <f t="shared" si="18"/>
        <v>0</v>
      </c>
      <c r="T49" s="88">
        <f t="shared" si="18"/>
        <v>0</v>
      </c>
      <c r="U49" s="88">
        <f t="shared" si="18"/>
        <v>13.75</v>
      </c>
      <c r="V49" s="88">
        <f t="shared" si="18"/>
        <v>13.75</v>
      </c>
      <c r="W49" s="88">
        <f t="shared" si="18"/>
        <v>0</v>
      </c>
      <c r="X49" s="88">
        <f t="shared" si="18"/>
        <v>0</v>
      </c>
      <c r="Y49" s="88">
        <f t="shared" si="18"/>
        <v>0</v>
      </c>
      <c r="Z49" s="88">
        <f t="shared" si="18"/>
        <v>0</v>
      </c>
      <c r="AA49" s="88">
        <f t="shared" si="18"/>
        <v>0</v>
      </c>
      <c r="AB49" s="88">
        <f t="shared" si="18"/>
        <v>0</v>
      </c>
      <c r="AC49" s="88">
        <f t="shared" si="18"/>
        <v>0</v>
      </c>
      <c r="AD49" s="88">
        <f t="shared" si="18"/>
        <v>0</v>
      </c>
      <c r="AE49" s="88">
        <f t="shared" si="18"/>
        <v>0</v>
      </c>
      <c r="AF49" s="88">
        <f t="shared" si="18"/>
        <v>2</v>
      </c>
      <c r="AG49" s="88">
        <f t="shared" si="18"/>
        <v>0</v>
      </c>
      <c r="AH49" s="88">
        <f t="shared" si="18"/>
        <v>0</v>
      </c>
      <c r="AI49" s="88">
        <f t="shared" si="18"/>
        <v>0</v>
      </c>
      <c r="AJ49" s="88">
        <f t="shared" si="18"/>
        <v>0</v>
      </c>
      <c r="AK49" s="88">
        <f t="shared" si="18"/>
        <v>0</v>
      </c>
      <c r="AL49" s="88">
        <f t="shared" si="18"/>
        <v>0</v>
      </c>
      <c r="AM49" s="88">
        <f t="shared" si="18"/>
        <v>0</v>
      </c>
      <c r="AN49" s="88">
        <f t="shared" si="18"/>
        <v>0</v>
      </c>
      <c r="AO49" s="88">
        <f t="shared" si="18"/>
        <v>0</v>
      </c>
      <c r="AP49" s="88">
        <f t="shared" si="18"/>
        <v>0</v>
      </c>
      <c r="AQ49" s="88">
        <f t="shared" si="18"/>
        <v>0</v>
      </c>
      <c r="AR49" s="88">
        <f t="shared" si="18"/>
        <v>0</v>
      </c>
      <c r="AS49" s="88">
        <f t="shared" si="18"/>
        <v>0</v>
      </c>
      <c r="AT49" s="88">
        <f t="shared" si="18"/>
        <v>0</v>
      </c>
      <c r="AU49" s="88">
        <f t="shared" si="18"/>
        <v>0</v>
      </c>
      <c r="AV49" s="88">
        <f t="shared" si="18"/>
        <v>0</v>
      </c>
      <c r="AW49" s="88">
        <f t="shared" si="18"/>
        <v>0</v>
      </c>
      <c r="AX49" s="88">
        <f t="shared" si="18"/>
        <v>0</v>
      </c>
      <c r="AY49" s="88">
        <f t="shared" si="18"/>
        <v>0</v>
      </c>
      <c r="AZ49" s="88">
        <f t="shared" si="18"/>
        <v>0</v>
      </c>
      <c r="BA49" s="88">
        <f t="shared" si="18"/>
        <v>0</v>
      </c>
      <c r="BB49" s="88">
        <f t="shared" si="18"/>
        <v>0</v>
      </c>
      <c r="BC49" s="88">
        <f t="shared" si="18"/>
        <v>0</v>
      </c>
      <c r="BD49" s="88">
        <f t="shared" si="18"/>
        <v>0</v>
      </c>
      <c r="BE49" s="88">
        <f t="shared" si="18"/>
        <v>0</v>
      </c>
      <c r="BF49" s="88">
        <f t="shared" si="18"/>
        <v>0</v>
      </c>
      <c r="BG49" s="88">
        <f t="shared" si="18"/>
        <v>0</v>
      </c>
      <c r="BH49" s="60"/>
      <c r="BI49" s="310" t="s">
        <v>177</v>
      </c>
      <c r="BJ49" s="310" t="s">
        <v>178</v>
      </c>
      <c r="BK49" s="313" t="s">
        <v>120</v>
      </c>
      <c r="BL49" s="310" t="s">
        <v>163</v>
      </c>
      <c r="BM49" s="293" t="s">
        <v>935</v>
      </c>
      <c r="BN49" s="13" t="s">
        <v>1025</v>
      </c>
      <c r="BO49" s="15" t="s">
        <v>1147</v>
      </c>
      <c r="BQ49" s="17"/>
    </row>
    <row r="50" spans="1:69" ht="27" customHeight="1">
      <c r="A50" s="284"/>
      <c r="B50" s="15" t="s">
        <v>170</v>
      </c>
      <c r="C50" s="310"/>
      <c r="D50" s="4"/>
      <c r="E50" s="45"/>
      <c r="F50" s="73"/>
      <c r="G50" s="5"/>
      <c r="H50" s="10"/>
      <c r="I50" s="10"/>
      <c r="J50" s="10"/>
      <c r="K50" s="10"/>
      <c r="L50" s="10"/>
      <c r="M50" s="10"/>
      <c r="N50" s="10"/>
      <c r="O50" s="10"/>
      <c r="P50" s="10"/>
      <c r="Q50" s="10"/>
      <c r="R50" s="10"/>
      <c r="S50" s="10"/>
      <c r="T50" s="10"/>
      <c r="U50" s="6"/>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60"/>
      <c r="BI50" s="310"/>
      <c r="BJ50" s="310"/>
      <c r="BK50" s="313"/>
      <c r="BL50" s="310"/>
      <c r="BM50" s="293"/>
      <c r="BN50" s="13"/>
      <c r="BO50" s="15"/>
      <c r="BQ50" s="17"/>
    </row>
    <row r="51" spans="1:69" ht="27" customHeight="1">
      <c r="A51" s="284"/>
      <c r="B51" s="15" t="s">
        <v>171</v>
      </c>
      <c r="C51" s="310"/>
      <c r="D51" s="4" t="s">
        <v>48</v>
      </c>
      <c r="E51" s="45">
        <f>F51+G51</f>
        <v>7</v>
      </c>
      <c r="F51" s="73"/>
      <c r="G51" s="5">
        <f>SUM(H51:M51,Q51,U51,Y51:BG51)</f>
        <v>7</v>
      </c>
      <c r="H51" s="10"/>
      <c r="I51" s="10"/>
      <c r="J51" s="10"/>
      <c r="K51" s="10">
        <v>0.6</v>
      </c>
      <c r="L51" s="10"/>
      <c r="M51" s="10">
        <v>1.6</v>
      </c>
      <c r="N51" s="10">
        <v>1.6</v>
      </c>
      <c r="O51" s="10"/>
      <c r="P51" s="10"/>
      <c r="Q51" s="10"/>
      <c r="R51" s="10"/>
      <c r="S51" s="10"/>
      <c r="T51" s="10"/>
      <c r="U51" s="6">
        <f>SUM(V51:X51)</f>
        <v>3.8</v>
      </c>
      <c r="V51" s="6">
        <v>3.8</v>
      </c>
      <c r="W51" s="10"/>
      <c r="X51" s="10"/>
      <c r="Y51" s="10"/>
      <c r="Z51" s="10"/>
      <c r="AA51" s="10"/>
      <c r="AB51" s="10"/>
      <c r="AC51" s="10"/>
      <c r="AD51" s="10"/>
      <c r="AE51" s="10"/>
      <c r="AF51" s="10">
        <v>1</v>
      </c>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60"/>
      <c r="BI51" s="310"/>
      <c r="BJ51" s="310"/>
      <c r="BK51" s="313"/>
      <c r="BL51" s="310"/>
      <c r="BM51" s="293"/>
      <c r="BN51" s="13"/>
      <c r="BO51" s="15"/>
      <c r="BQ51" s="17"/>
    </row>
    <row r="52" spans="1:69" ht="27" customHeight="1">
      <c r="A52" s="284"/>
      <c r="B52" s="15" t="s">
        <v>172</v>
      </c>
      <c r="C52" s="310"/>
      <c r="D52" s="4" t="s">
        <v>34</v>
      </c>
      <c r="E52" s="45">
        <f>F52+G52</f>
        <v>10</v>
      </c>
      <c r="F52" s="73"/>
      <c r="G52" s="89">
        <f>SUM(H52:BG52)-M52-Q52-U52</f>
        <v>10</v>
      </c>
      <c r="H52" s="10">
        <v>1.2</v>
      </c>
      <c r="I52" s="10"/>
      <c r="J52" s="10"/>
      <c r="K52" s="10">
        <v>0.5</v>
      </c>
      <c r="L52" s="10"/>
      <c r="M52" s="10">
        <v>1.3</v>
      </c>
      <c r="N52" s="10">
        <v>1.3</v>
      </c>
      <c r="O52" s="10"/>
      <c r="P52" s="10"/>
      <c r="Q52" s="10"/>
      <c r="R52" s="10"/>
      <c r="S52" s="10"/>
      <c r="T52" s="10"/>
      <c r="U52" s="6">
        <f>SUM(V52:X52)</f>
        <v>7</v>
      </c>
      <c r="V52" s="6">
        <v>7</v>
      </c>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60"/>
      <c r="BI52" s="310"/>
      <c r="BJ52" s="310"/>
      <c r="BK52" s="313"/>
      <c r="BL52" s="310"/>
      <c r="BM52" s="293"/>
      <c r="BN52" s="13"/>
      <c r="BO52" s="15"/>
      <c r="BQ52" s="17"/>
    </row>
    <row r="53" spans="1:69" ht="27" customHeight="1">
      <c r="A53" s="284"/>
      <c r="B53" s="15" t="s">
        <v>173</v>
      </c>
      <c r="C53" s="310"/>
      <c r="D53" s="4" t="s">
        <v>31</v>
      </c>
      <c r="E53" s="45">
        <f>F53+G53</f>
        <v>5</v>
      </c>
      <c r="F53" s="73"/>
      <c r="G53" s="5">
        <f>SUM(H53:M53,Q53,U53,Y53:BG53)</f>
        <v>5</v>
      </c>
      <c r="H53" s="10"/>
      <c r="I53" s="10"/>
      <c r="J53" s="10"/>
      <c r="K53" s="10">
        <v>0.4</v>
      </c>
      <c r="L53" s="10"/>
      <c r="M53" s="10">
        <v>0.65</v>
      </c>
      <c r="N53" s="10">
        <v>0.65</v>
      </c>
      <c r="O53" s="10"/>
      <c r="P53" s="10"/>
      <c r="Q53" s="10"/>
      <c r="R53" s="10"/>
      <c r="S53" s="10"/>
      <c r="T53" s="10"/>
      <c r="U53" s="6">
        <f>SUM(V53:X53)</f>
        <v>2.95</v>
      </c>
      <c r="V53" s="6">
        <v>2.95</v>
      </c>
      <c r="W53" s="10"/>
      <c r="X53" s="10"/>
      <c r="Y53" s="10"/>
      <c r="Z53" s="10"/>
      <c r="AA53" s="10"/>
      <c r="AB53" s="10"/>
      <c r="AC53" s="10"/>
      <c r="AD53" s="10"/>
      <c r="AE53" s="10"/>
      <c r="AF53" s="10">
        <v>1</v>
      </c>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60"/>
      <c r="BI53" s="310"/>
      <c r="BJ53" s="310"/>
      <c r="BK53" s="313"/>
      <c r="BL53" s="310"/>
      <c r="BM53" s="293"/>
      <c r="BN53" s="13"/>
      <c r="BO53" s="15"/>
      <c r="BQ53" s="17"/>
    </row>
    <row r="54" spans="1:69" ht="46.5">
      <c r="A54" s="1">
        <f>A49+1</f>
        <v>31</v>
      </c>
      <c r="B54" s="90" t="s">
        <v>187</v>
      </c>
      <c r="C54" s="60" t="s">
        <v>82</v>
      </c>
      <c r="D54" s="4" t="s">
        <v>31</v>
      </c>
      <c r="E54" s="45">
        <f>F54+G54</f>
        <v>7.72</v>
      </c>
      <c r="F54" s="45"/>
      <c r="G54" s="5">
        <f>SUM(H54:M54,Q54,U54,Y54:BG54)</f>
        <v>7.72</v>
      </c>
      <c r="H54" s="49"/>
      <c r="I54" s="49">
        <f>1.38-0.23</f>
        <v>1.15</v>
      </c>
      <c r="J54" s="7"/>
      <c r="K54" s="8">
        <v>3.02</v>
      </c>
      <c r="L54" s="9">
        <v>1.21</v>
      </c>
      <c r="M54" s="10"/>
      <c r="N54" s="6"/>
      <c r="O54" s="6"/>
      <c r="P54" s="6"/>
      <c r="Q54" s="6"/>
      <c r="R54" s="6"/>
      <c r="S54" s="6"/>
      <c r="T54" s="6"/>
      <c r="U54" s="6">
        <f>SUM(V54:X54)</f>
        <v>1.8399999999999999</v>
      </c>
      <c r="V54" s="10">
        <f>1.26+0.23</f>
        <v>1.49</v>
      </c>
      <c r="W54" s="49"/>
      <c r="X54" s="10">
        <v>0.35</v>
      </c>
      <c r="Y54" s="10"/>
      <c r="Z54" s="10"/>
      <c r="AA54" s="10"/>
      <c r="AB54" s="10"/>
      <c r="AC54" s="10"/>
      <c r="AD54" s="9"/>
      <c r="AE54" s="10"/>
      <c r="AF54" s="9">
        <v>0.08</v>
      </c>
      <c r="AG54" s="9">
        <v>0.18</v>
      </c>
      <c r="AH54" s="10"/>
      <c r="AI54" s="10"/>
      <c r="AJ54" s="10"/>
      <c r="AK54" s="10"/>
      <c r="AL54" s="10"/>
      <c r="AM54" s="10"/>
      <c r="AN54" s="10"/>
      <c r="AO54" s="10"/>
      <c r="AP54" s="10"/>
      <c r="AQ54" s="10"/>
      <c r="AR54" s="10"/>
      <c r="AS54" s="10"/>
      <c r="AT54" s="9">
        <v>0.24</v>
      </c>
      <c r="AU54" s="10"/>
      <c r="AV54" s="10"/>
      <c r="AW54" s="10"/>
      <c r="AX54" s="10"/>
      <c r="AY54" s="10"/>
      <c r="AZ54" s="10"/>
      <c r="BA54" s="10"/>
      <c r="BB54" s="10"/>
      <c r="BC54" s="9"/>
      <c r="BD54" s="10"/>
      <c r="BE54" s="10"/>
      <c r="BF54" s="10"/>
      <c r="BG54" s="9"/>
      <c r="BH54" s="60" t="s">
        <v>188</v>
      </c>
      <c r="BI54" s="60" t="s">
        <v>82</v>
      </c>
      <c r="BJ54" s="14" t="s">
        <v>189</v>
      </c>
      <c r="BK54" s="91" t="s">
        <v>120</v>
      </c>
      <c r="BL54" s="60" t="s">
        <v>190</v>
      </c>
      <c r="BM54" s="14" t="s">
        <v>935</v>
      </c>
      <c r="BN54" s="13" t="s">
        <v>1025</v>
      </c>
      <c r="BO54" s="15" t="s">
        <v>1147</v>
      </c>
      <c r="BQ54" s="17"/>
    </row>
    <row r="55" spans="1:69" ht="100.5" customHeight="1">
      <c r="A55" s="1">
        <f>A54+1</f>
        <v>32</v>
      </c>
      <c r="B55" s="47" t="s">
        <v>191</v>
      </c>
      <c r="C55" s="42" t="s">
        <v>65</v>
      </c>
      <c r="D55" s="4" t="s">
        <v>31</v>
      </c>
      <c r="E55" s="45">
        <f>F55+G55</f>
        <v>0.02</v>
      </c>
      <c r="F55" s="45"/>
      <c r="G55" s="5">
        <f>SUM(H55:M55,Q55,U55,Y55:BG55)</f>
        <v>0.02</v>
      </c>
      <c r="H55" s="10"/>
      <c r="I55" s="10"/>
      <c r="J55" s="10"/>
      <c r="K55" s="10"/>
      <c r="L55" s="10"/>
      <c r="M55" s="10"/>
      <c r="N55" s="10"/>
      <c r="O55" s="10"/>
      <c r="P55" s="10"/>
      <c r="Q55" s="10"/>
      <c r="R55" s="10"/>
      <c r="S55" s="10"/>
      <c r="T55" s="10"/>
      <c r="U55" s="6"/>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v>0.02</v>
      </c>
      <c r="AW55" s="10"/>
      <c r="AX55" s="10"/>
      <c r="AY55" s="10"/>
      <c r="AZ55" s="10"/>
      <c r="BA55" s="10"/>
      <c r="BB55" s="10"/>
      <c r="BC55" s="10"/>
      <c r="BD55" s="10"/>
      <c r="BE55" s="10"/>
      <c r="BF55" s="10"/>
      <c r="BG55" s="10"/>
      <c r="BH55" s="10" t="s">
        <v>185</v>
      </c>
      <c r="BI55" s="42" t="s">
        <v>65</v>
      </c>
      <c r="BJ55" s="4" t="s">
        <v>192</v>
      </c>
      <c r="BK55" s="91" t="s">
        <v>68</v>
      </c>
      <c r="BL55" s="60" t="s">
        <v>193</v>
      </c>
      <c r="BM55" s="14" t="s">
        <v>194</v>
      </c>
      <c r="BN55" s="13" t="s">
        <v>1024</v>
      </c>
      <c r="BO55" s="15" t="s">
        <v>1147</v>
      </c>
      <c r="BQ55" s="17"/>
    </row>
    <row r="56" spans="1:71" s="93" customFormat="1" ht="54" customHeight="1">
      <c r="A56" s="1">
        <f>A55+1</f>
        <v>33</v>
      </c>
      <c r="B56" s="47" t="s">
        <v>195</v>
      </c>
      <c r="C56" s="60" t="s">
        <v>122</v>
      </c>
      <c r="D56" s="4" t="s">
        <v>31</v>
      </c>
      <c r="E56" s="45">
        <v>0.19</v>
      </c>
      <c r="F56" s="5"/>
      <c r="G56" s="5">
        <v>0.19</v>
      </c>
      <c r="H56" s="44">
        <v>0.1</v>
      </c>
      <c r="I56" s="7">
        <v>0.07</v>
      </c>
      <c r="J56" s="7"/>
      <c r="K56" s="7">
        <v>0.02</v>
      </c>
      <c r="L56" s="7"/>
      <c r="M56" s="10"/>
      <c r="N56" s="6"/>
      <c r="O56" s="6"/>
      <c r="P56" s="6"/>
      <c r="Q56" s="6"/>
      <c r="R56" s="6"/>
      <c r="S56" s="6"/>
      <c r="T56" s="6"/>
      <c r="U56" s="6"/>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11" t="s">
        <v>123</v>
      </c>
      <c r="BI56" s="60" t="s">
        <v>122</v>
      </c>
      <c r="BJ56" s="14" t="s">
        <v>196</v>
      </c>
      <c r="BK56" s="91" t="s">
        <v>74</v>
      </c>
      <c r="BL56" s="60" t="s">
        <v>190</v>
      </c>
      <c r="BM56" s="14" t="s">
        <v>935</v>
      </c>
      <c r="BN56" s="46" t="s">
        <v>1025</v>
      </c>
      <c r="BO56" s="15" t="s">
        <v>1147</v>
      </c>
      <c r="BP56" s="92"/>
      <c r="BS56" s="94"/>
    </row>
    <row r="57" spans="1:69" ht="37.5" customHeight="1">
      <c r="A57" s="1">
        <f>A56+1</f>
        <v>34</v>
      </c>
      <c r="B57" s="95" t="s">
        <v>197</v>
      </c>
      <c r="C57" s="59" t="s">
        <v>95</v>
      </c>
      <c r="D57" s="4" t="s">
        <v>31</v>
      </c>
      <c r="E57" s="45">
        <f aca="true" t="shared" si="19" ref="E57:E90">F57+G57</f>
        <v>0.11</v>
      </c>
      <c r="F57" s="73"/>
      <c r="G57" s="5">
        <f aca="true" t="shared" si="20" ref="G57:G62">SUM(H57:M57,Q57,U57,Y57:BG57)</f>
        <v>0.11</v>
      </c>
      <c r="H57" s="8"/>
      <c r="I57" s="74"/>
      <c r="J57" s="74"/>
      <c r="K57" s="10">
        <v>0.11</v>
      </c>
      <c r="L57" s="8"/>
      <c r="M57" s="10"/>
      <c r="N57" s="96"/>
      <c r="O57" s="96"/>
      <c r="P57" s="96"/>
      <c r="Q57" s="10"/>
      <c r="R57" s="10"/>
      <c r="S57" s="10"/>
      <c r="T57" s="10"/>
      <c r="U57" s="6"/>
      <c r="V57" s="8"/>
      <c r="W57" s="8"/>
      <c r="X57" s="8"/>
      <c r="Y57" s="10"/>
      <c r="Z57" s="10"/>
      <c r="AA57" s="10"/>
      <c r="AB57" s="10"/>
      <c r="AC57" s="10"/>
      <c r="AD57" s="10"/>
      <c r="AE57" s="10"/>
      <c r="AF57" s="10"/>
      <c r="AG57" s="10"/>
      <c r="AH57" s="10"/>
      <c r="AI57" s="10"/>
      <c r="AJ57" s="10"/>
      <c r="AK57" s="74"/>
      <c r="AL57" s="10"/>
      <c r="AM57" s="10"/>
      <c r="AN57" s="10"/>
      <c r="AO57" s="10"/>
      <c r="AP57" s="10"/>
      <c r="AQ57" s="10"/>
      <c r="AR57" s="10"/>
      <c r="AS57" s="10"/>
      <c r="AT57" s="10"/>
      <c r="AU57" s="10"/>
      <c r="AV57" s="10"/>
      <c r="AW57" s="10"/>
      <c r="AX57" s="10"/>
      <c r="AY57" s="10"/>
      <c r="AZ57" s="10"/>
      <c r="BA57" s="10"/>
      <c r="BB57" s="10"/>
      <c r="BC57" s="10"/>
      <c r="BD57" s="10"/>
      <c r="BE57" s="10"/>
      <c r="BF57" s="10"/>
      <c r="BG57" s="10"/>
      <c r="BH57" s="60" t="s">
        <v>96</v>
      </c>
      <c r="BI57" s="59" t="s">
        <v>95</v>
      </c>
      <c r="BJ57" s="14" t="s">
        <v>198</v>
      </c>
      <c r="BK57" s="91" t="s">
        <v>74</v>
      </c>
      <c r="BL57" s="60" t="s">
        <v>190</v>
      </c>
      <c r="BM57" s="14" t="s">
        <v>935</v>
      </c>
      <c r="BN57" s="13" t="s">
        <v>1025</v>
      </c>
      <c r="BO57" s="15" t="s">
        <v>1147</v>
      </c>
      <c r="BQ57" s="17"/>
    </row>
    <row r="58" spans="1:240" s="93" customFormat="1" ht="35.25" customHeight="1">
      <c r="A58" s="1">
        <f>A57+1</f>
        <v>35</v>
      </c>
      <c r="B58" s="15" t="s">
        <v>199</v>
      </c>
      <c r="C58" s="13" t="s">
        <v>145</v>
      </c>
      <c r="D58" s="13" t="s">
        <v>31</v>
      </c>
      <c r="E58" s="45">
        <f t="shared" si="19"/>
        <v>2</v>
      </c>
      <c r="F58" s="73"/>
      <c r="G58" s="5">
        <f t="shared" si="20"/>
        <v>2</v>
      </c>
      <c r="H58" s="10"/>
      <c r="I58" s="10"/>
      <c r="J58" s="10"/>
      <c r="K58" s="10"/>
      <c r="L58" s="10"/>
      <c r="M58" s="10"/>
      <c r="N58" s="10"/>
      <c r="O58" s="10"/>
      <c r="P58" s="10"/>
      <c r="Q58" s="10"/>
      <c r="R58" s="10"/>
      <c r="S58" s="10"/>
      <c r="T58" s="10"/>
      <c r="U58" s="6">
        <f>SUM(V58:X58)</f>
        <v>2</v>
      </c>
      <c r="V58" s="10">
        <v>2</v>
      </c>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t="s">
        <v>200</v>
      </c>
      <c r="BI58" s="13" t="s">
        <v>145</v>
      </c>
      <c r="BJ58" s="55" t="s">
        <v>201</v>
      </c>
      <c r="BK58" s="91" t="s">
        <v>374</v>
      </c>
      <c r="BL58" s="60" t="s">
        <v>190</v>
      </c>
      <c r="BM58" s="14" t="s">
        <v>935</v>
      </c>
      <c r="BN58" s="13" t="s">
        <v>1025</v>
      </c>
      <c r="BO58" s="15" t="s">
        <v>1147</v>
      </c>
      <c r="BP58" s="63"/>
      <c r="BQ58" s="64"/>
      <c r="BR58" s="64"/>
      <c r="BS58" s="65"/>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c r="HZ58" s="64"/>
      <c r="IA58" s="64"/>
      <c r="IB58" s="64"/>
      <c r="IC58" s="64"/>
      <c r="ID58" s="64"/>
      <c r="IE58" s="64"/>
      <c r="IF58" s="64"/>
    </row>
    <row r="59" spans="1:240" s="93" customFormat="1" ht="46.5">
      <c r="A59" s="284">
        <f>A58+1</f>
        <v>36</v>
      </c>
      <c r="B59" s="334" t="s">
        <v>202</v>
      </c>
      <c r="C59" s="13" t="s">
        <v>138</v>
      </c>
      <c r="D59" s="13" t="s">
        <v>31</v>
      </c>
      <c r="E59" s="45">
        <f t="shared" si="19"/>
        <v>1</v>
      </c>
      <c r="F59" s="73"/>
      <c r="G59" s="5">
        <f t="shared" si="20"/>
        <v>1</v>
      </c>
      <c r="H59" s="10">
        <v>0.93</v>
      </c>
      <c r="I59" s="10"/>
      <c r="J59" s="10"/>
      <c r="K59" s="10"/>
      <c r="L59" s="10">
        <v>0.01</v>
      </c>
      <c r="M59" s="10"/>
      <c r="N59" s="10"/>
      <c r="O59" s="10"/>
      <c r="P59" s="10"/>
      <c r="Q59" s="10"/>
      <c r="R59" s="10"/>
      <c r="S59" s="10"/>
      <c r="T59" s="10"/>
      <c r="U59" s="6"/>
      <c r="V59" s="10"/>
      <c r="W59" s="10"/>
      <c r="X59" s="10"/>
      <c r="Y59" s="10"/>
      <c r="Z59" s="10"/>
      <c r="AA59" s="10"/>
      <c r="AB59" s="10"/>
      <c r="AC59" s="10"/>
      <c r="AD59" s="10"/>
      <c r="AE59" s="10"/>
      <c r="AF59" s="10">
        <v>0.06</v>
      </c>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t="s">
        <v>203</v>
      </c>
      <c r="BI59" s="13" t="s">
        <v>138</v>
      </c>
      <c r="BJ59" s="55" t="s">
        <v>204</v>
      </c>
      <c r="BK59" s="91" t="s">
        <v>120</v>
      </c>
      <c r="BL59" s="60" t="s">
        <v>190</v>
      </c>
      <c r="BM59" s="14" t="s">
        <v>194</v>
      </c>
      <c r="BN59" s="13" t="s">
        <v>1025</v>
      </c>
      <c r="BO59" s="15" t="s">
        <v>1147</v>
      </c>
      <c r="BP59" s="16"/>
      <c r="BQ59" s="18"/>
      <c r="BR59" s="17"/>
      <c r="BS59" s="18"/>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row>
    <row r="60" spans="1:69" ht="62.25">
      <c r="A60" s="284"/>
      <c r="B60" s="334"/>
      <c r="C60" s="60" t="s">
        <v>82</v>
      </c>
      <c r="D60" s="4" t="s">
        <v>31</v>
      </c>
      <c r="E60" s="45">
        <f>F60+G60</f>
        <v>3.5</v>
      </c>
      <c r="F60" s="45"/>
      <c r="G60" s="5">
        <f t="shared" si="20"/>
        <v>3.5</v>
      </c>
      <c r="H60" s="49">
        <v>0.2</v>
      </c>
      <c r="I60" s="49">
        <v>0.02</v>
      </c>
      <c r="J60" s="49"/>
      <c r="K60" s="49">
        <v>0.76</v>
      </c>
      <c r="L60" s="49"/>
      <c r="M60" s="49"/>
      <c r="N60" s="49"/>
      <c r="O60" s="49"/>
      <c r="P60" s="49"/>
      <c r="Q60" s="49"/>
      <c r="R60" s="49"/>
      <c r="S60" s="49"/>
      <c r="T60" s="49"/>
      <c r="U60" s="6">
        <f>SUM(V60:X60)</f>
        <v>2.35</v>
      </c>
      <c r="V60" s="10">
        <v>0.78</v>
      </c>
      <c r="W60" s="49">
        <v>1.57</v>
      </c>
      <c r="X60" s="49"/>
      <c r="Y60" s="49"/>
      <c r="Z60" s="49"/>
      <c r="AA60" s="49"/>
      <c r="AB60" s="49"/>
      <c r="AC60" s="49"/>
      <c r="AD60" s="49"/>
      <c r="AE60" s="49"/>
      <c r="AF60" s="49">
        <v>0.02</v>
      </c>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v>0.15</v>
      </c>
      <c r="BE60" s="49"/>
      <c r="BF60" s="49"/>
      <c r="BG60" s="49"/>
      <c r="BH60" s="60" t="s">
        <v>205</v>
      </c>
      <c r="BI60" s="60" t="s">
        <v>82</v>
      </c>
      <c r="BJ60" s="14" t="s">
        <v>206</v>
      </c>
      <c r="BK60" s="91" t="s">
        <v>120</v>
      </c>
      <c r="BL60" s="60" t="s">
        <v>190</v>
      </c>
      <c r="BM60" s="14" t="s">
        <v>194</v>
      </c>
      <c r="BN60" s="13" t="s">
        <v>1025</v>
      </c>
      <c r="BO60" s="15" t="s">
        <v>1147</v>
      </c>
      <c r="BQ60" s="17"/>
    </row>
    <row r="61" spans="1:69" ht="39" customHeight="1">
      <c r="A61" s="284"/>
      <c r="B61" s="334"/>
      <c r="C61" s="42" t="s">
        <v>65</v>
      </c>
      <c r="D61" s="4" t="s">
        <v>31</v>
      </c>
      <c r="E61" s="45">
        <f>F61+G61</f>
        <v>0.72</v>
      </c>
      <c r="F61" s="45"/>
      <c r="G61" s="5">
        <f t="shared" si="20"/>
        <v>0.72</v>
      </c>
      <c r="H61" s="10"/>
      <c r="I61" s="10"/>
      <c r="J61" s="10"/>
      <c r="K61" s="10">
        <v>0.72</v>
      </c>
      <c r="L61" s="10"/>
      <c r="M61" s="10"/>
      <c r="N61" s="10"/>
      <c r="O61" s="10"/>
      <c r="P61" s="10"/>
      <c r="Q61" s="10">
        <f>SUM(R61:T61)</f>
        <v>0</v>
      </c>
      <c r="R61" s="10"/>
      <c r="S61" s="10"/>
      <c r="T61" s="10"/>
      <c r="U61" s="6"/>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t="s">
        <v>185</v>
      </c>
      <c r="BI61" s="42" t="s">
        <v>65</v>
      </c>
      <c r="BJ61" s="4" t="s">
        <v>959</v>
      </c>
      <c r="BK61" s="91" t="s">
        <v>120</v>
      </c>
      <c r="BL61" s="60" t="s">
        <v>186</v>
      </c>
      <c r="BM61" s="14" t="s">
        <v>935</v>
      </c>
      <c r="BN61" s="13" t="s">
        <v>1025</v>
      </c>
      <c r="BO61" s="15" t="s">
        <v>1147</v>
      </c>
      <c r="BQ61" s="17"/>
    </row>
    <row r="62" spans="1:71" s="100" customFormat="1" ht="108" customHeight="1">
      <c r="A62" s="284"/>
      <c r="B62" s="334"/>
      <c r="C62" s="14" t="s">
        <v>71</v>
      </c>
      <c r="D62" s="4" t="s">
        <v>48</v>
      </c>
      <c r="E62" s="45">
        <f>F62+G62</f>
        <v>0.02</v>
      </c>
      <c r="F62" s="45"/>
      <c r="G62" s="5">
        <f t="shared" si="20"/>
        <v>0.02</v>
      </c>
      <c r="H62" s="97">
        <v>0</v>
      </c>
      <c r="I62" s="97">
        <v>0</v>
      </c>
      <c r="J62" s="97">
        <v>0</v>
      </c>
      <c r="K62" s="97">
        <v>0</v>
      </c>
      <c r="L62" s="97">
        <v>0</v>
      </c>
      <c r="M62" s="97">
        <v>0</v>
      </c>
      <c r="N62" s="97">
        <v>0</v>
      </c>
      <c r="O62" s="97">
        <v>0</v>
      </c>
      <c r="P62" s="97">
        <v>0</v>
      </c>
      <c r="Q62" s="97">
        <v>0</v>
      </c>
      <c r="R62" s="97">
        <v>0</v>
      </c>
      <c r="S62" s="97">
        <v>0</v>
      </c>
      <c r="T62" s="97">
        <v>0</v>
      </c>
      <c r="U62" s="97">
        <v>0</v>
      </c>
      <c r="V62" s="97">
        <v>0</v>
      </c>
      <c r="W62" s="97">
        <v>0</v>
      </c>
      <c r="X62" s="97">
        <v>0</v>
      </c>
      <c r="Y62" s="97">
        <v>0</v>
      </c>
      <c r="Z62" s="97">
        <v>0</v>
      </c>
      <c r="AA62" s="97">
        <v>0</v>
      </c>
      <c r="AB62" s="97">
        <v>0</v>
      </c>
      <c r="AC62" s="97">
        <v>0.02</v>
      </c>
      <c r="AD62" s="97">
        <v>0</v>
      </c>
      <c r="AE62" s="97">
        <v>0</v>
      </c>
      <c r="AF62" s="97"/>
      <c r="AG62" s="97">
        <v>0</v>
      </c>
      <c r="AH62" s="97">
        <v>0</v>
      </c>
      <c r="AI62" s="97">
        <v>0</v>
      </c>
      <c r="AJ62" s="97">
        <v>0</v>
      </c>
      <c r="AK62" s="97">
        <v>0</v>
      </c>
      <c r="AL62" s="97">
        <v>0</v>
      </c>
      <c r="AM62" s="97">
        <v>0</v>
      </c>
      <c r="AN62" s="97">
        <v>0</v>
      </c>
      <c r="AO62" s="97">
        <v>0</v>
      </c>
      <c r="AP62" s="97">
        <v>0</v>
      </c>
      <c r="AQ62" s="97">
        <v>0</v>
      </c>
      <c r="AR62" s="97">
        <v>0</v>
      </c>
      <c r="AS62" s="97">
        <v>0</v>
      </c>
      <c r="AT62" s="97">
        <v>0</v>
      </c>
      <c r="AU62" s="97">
        <v>0</v>
      </c>
      <c r="AV62" s="97">
        <v>0</v>
      </c>
      <c r="AW62" s="97">
        <v>0</v>
      </c>
      <c r="AX62" s="97">
        <v>0</v>
      </c>
      <c r="AY62" s="97">
        <v>0</v>
      </c>
      <c r="AZ62" s="97">
        <v>0</v>
      </c>
      <c r="BA62" s="97">
        <v>0</v>
      </c>
      <c r="BB62" s="97">
        <v>0</v>
      </c>
      <c r="BC62" s="97">
        <v>0</v>
      </c>
      <c r="BD62" s="97">
        <v>0</v>
      </c>
      <c r="BE62" s="97">
        <v>0</v>
      </c>
      <c r="BF62" s="97">
        <v>0</v>
      </c>
      <c r="BG62" s="97">
        <v>0</v>
      </c>
      <c r="BH62" s="10" t="s">
        <v>797</v>
      </c>
      <c r="BI62" s="14" t="s">
        <v>71</v>
      </c>
      <c r="BJ62" s="14" t="s">
        <v>1017</v>
      </c>
      <c r="BK62" s="98" t="s">
        <v>120</v>
      </c>
      <c r="BL62" s="99" t="s">
        <v>193</v>
      </c>
      <c r="BM62" s="14" t="s">
        <v>194</v>
      </c>
      <c r="BN62" s="13" t="s">
        <v>1025</v>
      </c>
      <c r="BO62" s="15" t="s">
        <v>1147</v>
      </c>
      <c r="BP62" s="20"/>
      <c r="BS62" s="19"/>
    </row>
    <row r="63" spans="1:69" ht="20.25" customHeight="1">
      <c r="A63" s="66" t="s">
        <v>207</v>
      </c>
      <c r="B63" s="34" t="s">
        <v>208</v>
      </c>
      <c r="C63" s="101"/>
      <c r="D63" s="36"/>
      <c r="E63" s="69">
        <f t="shared" si="19"/>
        <v>100.66640000000001</v>
      </c>
      <c r="F63" s="69">
        <f aca="true" t="shared" si="21" ref="F63:AK63">F65+SUM(F70:F90)</f>
        <v>14.32</v>
      </c>
      <c r="G63" s="69">
        <f t="shared" si="21"/>
        <v>86.3464</v>
      </c>
      <c r="H63" s="69">
        <f t="shared" si="21"/>
        <v>4.6556999999999995</v>
      </c>
      <c r="I63" s="69">
        <f t="shared" si="21"/>
        <v>3.5</v>
      </c>
      <c r="J63" s="69">
        <f t="shared" si="21"/>
        <v>0</v>
      </c>
      <c r="K63" s="69">
        <f t="shared" si="21"/>
        <v>26.56069999999999</v>
      </c>
      <c r="L63" s="69">
        <f t="shared" si="21"/>
        <v>13.709999999999999</v>
      </c>
      <c r="M63" s="69">
        <f t="shared" si="21"/>
        <v>1</v>
      </c>
      <c r="N63" s="69">
        <f t="shared" si="21"/>
        <v>0</v>
      </c>
      <c r="O63" s="69">
        <f t="shared" si="21"/>
        <v>1</v>
      </c>
      <c r="P63" s="69">
        <f t="shared" si="21"/>
        <v>0</v>
      </c>
      <c r="Q63" s="69">
        <f t="shared" si="21"/>
        <v>0</v>
      </c>
      <c r="R63" s="69">
        <f t="shared" si="21"/>
        <v>0</v>
      </c>
      <c r="S63" s="69">
        <f t="shared" si="21"/>
        <v>0</v>
      </c>
      <c r="T63" s="69">
        <f t="shared" si="21"/>
        <v>0</v>
      </c>
      <c r="U63" s="69">
        <f t="shared" si="21"/>
        <v>28.040000000000003</v>
      </c>
      <c r="V63" s="69">
        <f t="shared" si="21"/>
        <v>23.9</v>
      </c>
      <c r="W63" s="69">
        <f t="shared" si="21"/>
        <v>3.98</v>
      </c>
      <c r="X63" s="69">
        <f t="shared" si="21"/>
        <v>0.16</v>
      </c>
      <c r="Y63" s="69">
        <f t="shared" si="21"/>
        <v>0.08</v>
      </c>
      <c r="Z63" s="69">
        <f t="shared" si="21"/>
        <v>0</v>
      </c>
      <c r="AA63" s="69">
        <f t="shared" si="21"/>
        <v>0</v>
      </c>
      <c r="AB63" s="69">
        <f t="shared" si="21"/>
        <v>0</v>
      </c>
      <c r="AC63" s="69">
        <f t="shared" si="21"/>
        <v>6.06</v>
      </c>
      <c r="AD63" s="69">
        <f t="shared" si="21"/>
        <v>0.01</v>
      </c>
      <c r="AE63" s="69">
        <f t="shared" si="21"/>
        <v>0</v>
      </c>
      <c r="AF63" s="69">
        <f t="shared" si="21"/>
        <v>0.28</v>
      </c>
      <c r="AG63" s="69">
        <f t="shared" si="21"/>
        <v>0.12</v>
      </c>
      <c r="AH63" s="69">
        <f t="shared" si="21"/>
        <v>0</v>
      </c>
      <c r="AI63" s="69">
        <f t="shared" si="21"/>
        <v>0</v>
      </c>
      <c r="AJ63" s="69">
        <f t="shared" si="21"/>
        <v>0</v>
      </c>
      <c r="AK63" s="69">
        <f t="shared" si="21"/>
        <v>0</v>
      </c>
      <c r="AL63" s="69">
        <f aca="true" t="shared" si="22" ref="AL63:BG63">AL65+SUM(AL70:AL90)</f>
        <v>0</v>
      </c>
      <c r="AM63" s="69">
        <f t="shared" si="22"/>
        <v>0</v>
      </c>
      <c r="AN63" s="69">
        <f t="shared" si="22"/>
        <v>0</v>
      </c>
      <c r="AO63" s="69">
        <f t="shared" si="22"/>
        <v>0</v>
      </c>
      <c r="AP63" s="69">
        <f t="shared" si="22"/>
        <v>0</v>
      </c>
      <c r="AQ63" s="69">
        <f t="shared" si="22"/>
        <v>0</v>
      </c>
      <c r="AR63" s="69">
        <f t="shared" si="22"/>
        <v>0</v>
      </c>
      <c r="AS63" s="69">
        <f t="shared" si="22"/>
        <v>0</v>
      </c>
      <c r="AT63" s="69">
        <f t="shared" si="22"/>
        <v>1.04</v>
      </c>
      <c r="AU63" s="69">
        <f t="shared" si="22"/>
        <v>0</v>
      </c>
      <c r="AV63" s="69">
        <f t="shared" si="22"/>
        <v>0.08</v>
      </c>
      <c r="AW63" s="69">
        <f t="shared" si="22"/>
        <v>0</v>
      </c>
      <c r="AX63" s="69">
        <f t="shared" si="22"/>
        <v>0</v>
      </c>
      <c r="AY63" s="69">
        <f t="shared" si="22"/>
        <v>0</v>
      </c>
      <c r="AZ63" s="69">
        <f t="shared" si="22"/>
        <v>0</v>
      </c>
      <c r="BA63" s="69">
        <f t="shared" si="22"/>
        <v>0</v>
      </c>
      <c r="BB63" s="69">
        <f t="shared" si="22"/>
        <v>0</v>
      </c>
      <c r="BC63" s="69">
        <f t="shared" si="22"/>
        <v>0</v>
      </c>
      <c r="BD63" s="69">
        <f t="shared" si="22"/>
        <v>0.15</v>
      </c>
      <c r="BE63" s="69">
        <f t="shared" si="22"/>
        <v>0</v>
      </c>
      <c r="BF63" s="69">
        <f t="shared" si="22"/>
        <v>0</v>
      </c>
      <c r="BG63" s="69">
        <f t="shared" si="22"/>
        <v>1.06</v>
      </c>
      <c r="BH63" s="86"/>
      <c r="BI63" s="101"/>
      <c r="BJ63" s="55"/>
      <c r="BK63" s="91"/>
      <c r="BL63" s="13"/>
      <c r="BM63" s="55"/>
      <c r="BN63" s="13"/>
      <c r="BO63" s="15"/>
      <c r="BQ63" s="17"/>
    </row>
    <row r="64" spans="1:69" ht="78">
      <c r="A64" s="284">
        <f>A59+1</f>
        <v>37</v>
      </c>
      <c r="B64" s="47" t="s">
        <v>209</v>
      </c>
      <c r="C64" s="314" t="s">
        <v>82</v>
      </c>
      <c r="D64" s="4"/>
      <c r="E64" s="5">
        <f t="shared" si="19"/>
        <v>42.269999999999996</v>
      </c>
      <c r="F64" s="5"/>
      <c r="G64" s="5">
        <f>SUM(H64:M64,Q64,U64,Y64:BG64)</f>
        <v>42.269999999999996</v>
      </c>
      <c r="H64" s="48">
        <f>SUM(H65:H69)</f>
        <v>4.26</v>
      </c>
      <c r="I64" s="48">
        <f aca="true" t="shared" si="23" ref="I64:AM64">SUM(I65:I69)</f>
        <v>2.02</v>
      </c>
      <c r="J64" s="48">
        <f t="shared" si="23"/>
        <v>0</v>
      </c>
      <c r="K64" s="48">
        <f t="shared" si="23"/>
        <v>11.86</v>
      </c>
      <c r="L64" s="48">
        <f t="shared" si="23"/>
        <v>12.67</v>
      </c>
      <c r="M64" s="48">
        <f t="shared" si="23"/>
        <v>0</v>
      </c>
      <c r="N64" s="48">
        <f t="shared" si="23"/>
        <v>0</v>
      </c>
      <c r="O64" s="48">
        <f t="shared" si="23"/>
        <v>0</v>
      </c>
      <c r="P64" s="48">
        <f t="shared" si="23"/>
        <v>0</v>
      </c>
      <c r="Q64" s="48">
        <f t="shared" si="23"/>
        <v>0</v>
      </c>
      <c r="R64" s="48">
        <f t="shared" si="23"/>
        <v>0</v>
      </c>
      <c r="S64" s="48">
        <f t="shared" si="23"/>
        <v>0</v>
      </c>
      <c r="T64" s="48">
        <f t="shared" si="23"/>
        <v>0</v>
      </c>
      <c r="U64" s="48">
        <f t="shared" si="23"/>
        <v>3.26</v>
      </c>
      <c r="V64" s="48">
        <f t="shared" si="23"/>
        <v>1.47</v>
      </c>
      <c r="W64" s="48">
        <f t="shared" si="23"/>
        <v>1.79</v>
      </c>
      <c r="X64" s="48">
        <f t="shared" si="23"/>
        <v>0</v>
      </c>
      <c r="Y64" s="48">
        <f t="shared" si="23"/>
        <v>0</v>
      </c>
      <c r="Z64" s="48">
        <f t="shared" si="23"/>
        <v>0</v>
      </c>
      <c r="AA64" s="48">
        <f t="shared" si="23"/>
        <v>0</v>
      </c>
      <c r="AB64" s="48">
        <f t="shared" si="23"/>
        <v>0</v>
      </c>
      <c r="AC64" s="48">
        <f t="shared" si="23"/>
        <v>6.819999999999999</v>
      </c>
      <c r="AD64" s="48">
        <f t="shared" si="23"/>
        <v>0.01</v>
      </c>
      <c r="AE64" s="48">
        <f t="shared" si="23"/>
        <v>0</v>
      </c>
      <c r="AF64" s="48">
        <f t="shared" si="23"/>
        <v>0.49</v>
      </c>
      <c r="AG64" s="48">
        <f t="shared" si="23"/>
        <v>0</v>
      </c>
      <c r="AH64" s="48">
        <f t="shared" si="23"/>
        <v>0</v>
      </c>
      <c r="AI64" s="48">
        <f t="shared" si="23"/>
        <v>0</v>
      </c>
      <c r="AJ64" s="48">
        <f t="shared" si="23"/>
        <v>0</v>
      </c>
      <c r="AK64" s="48">
        <f t="shared" si="23"/>
        <v>0</v>
      </c>
      <c r="AL64" s="48">
        <f t="shared" si="23"/>
        <v>0</v>
      </c>
      <c r="AM64" s="48">
        <f t="shared" si="23"/>
        <v>0</v>
      </c>
      <c r="AN64" s="48">
        <f aca="true" t="shared" si="24" ref="AN64:BG64">SUM(AN65:AN69)</f>
        <v>0</v>
      </c>
      <c r="AO64" s="48">
        <f t="shared" si="24"/>
        <v>0</v>
      </c>
      <c r="AP64" s="48">
        <f t="shared" si="24"/>
        <v>0</v>
      </c>
      <c r="AQ64" s="48">
        <f t="shared" si="24"/>
        <v>0</v>
      </c>
      <c r="AR64" s="48">
        <f t="shared" si="24"/>
        <v>0</v>
      </c>
      <c r="AS64" s="48">
        <f t="shared" si="24"/>
        <v>0</v>
      </c>
      <c r="AT64" s="48">
        <f t="shared" si="24"/>
        <v>0.58</v>
      </c>
      <c r="AU64" s="48">
        <f t="shared" si="24"/>
        <v>0</v>
      </c>
      <c r="AV64" s="48">
        <f t="shared" si="24"/>
        <v>0</v>
      </c>
      <c r="AW64" s="48">
        <f t="shared" si="24"/>
        <v>0</v>
      </c>
      <c r="AX64" s="48">
        <f t="shared" si="24"/>
        <v>0</v>
      </c>
      <c r="AY64" s="48">
        <f t="shared" si="24"/>
        <v>0</v>
      </c>
      <c r="AZ64" s="48">
        <f t="shared" si="24"/>
        <v>0</v>
      </c>
      <c r="BA64" s="48">
        <f t="shared" si="24"/>
        <v>0</v>
      </c>
      <c r="BB64" s="48">
        <f t="shared" si="24"/>
        <v>0</v>
      </c>
      <c r="BC64" s="48">
        <f t="shared" si="24"/>
        <v>0</v>
      </c>
      <c r="BD64" s="48">
        <f t="shared" si="24"/>
        <v>0.3</v>
      </c>
      <c r="BE64" s="48">
        <f t="shared" si="24"/>
        <v>0</v>
      </c>
      <c r="BF64" s="48">
        <f t="shared" si="24"/>
        <v>0</v>
      </c>
      <c r="BG64" s="48">
        <f t="shared" si="24"/>
        <v>0</v>
      </c>
      <c r="BH64" s="283" t="s">
        <v>210</v>
      </c>
      <c r="BI64" s="314" t="s">
        <v>82</v>
      </c>
      <c r="BJ64" s="291" t="s">
        <v>211</v>
      </c>
      <c r="BK64" s="315" t="s">
        <v>120</v>
      </c>
      <c r="BL64" s="310" t="s">
        <v>212</v>
      </c>
      <c r="BM64" s="293" t="s">
        <v>935</v>
      </c>
      <c r="BN64" s="13" t="s">
        <v>1024</v>
      </c>
      <c r="BO64" s="15" t="s">
        <v>1147</v>
      </c>
      <c r="BP64" s="16" t="s">
        <v>1027</v>
      </c>
      <c r="BQ64" s="17"/>
    </row>
    <row r="65" spans="1:71" s="114" customFormat="1" ht="23.25" customHeight="1">
      <c r="A65" s="284"/>
      <c r="B65" s="102" t="s">
        <v>208</v>
      </c>
      <c r="C65" s="314"/>
      <c r="D65" s="103" t="s">
        <v>32</v>
      </c>
      <c r="E65" s="104">
        <f t="shared" si="19"/>
        <v>31.499999999999996</v>
      </c>
      <c r="F65" s="104"/>
      <c r="G65" s="5">
        <f>SUM(H65:M65,Q65,U65,Y65:BG65)</f>
        <v>31.499999999999996</v>
      </c>
      <c r="H65" s="105">
        <v>4.26</v>
      </c>
      <c r="I65" s="106">
        <v>2.02</v>
      </c>
      <c r="J65" s="106"/>
      <c r="K65" s="107">
        <v>7.93</v>
      </c>
      <c r="L65" s="107">
        <v>9.45</v>
      </c>
      <c r="M65" s="108"/>
      <c r="N65" s="105"/>
      <c r="O65" s="105"/>
      <c r="P65" s="105"/>
      <c r="Q65" s="105"/>
      <c r="R65" s="105"/>
      <c r="S65" s="105"/>
      <c r="T65" s="105"/>
      <c r="U65" s="80">
        <f aca="true" t="shared" si="25" ref="U65:U70">SUM(V65:X65)</f>
        <v>1.62</v>
      </c>
      <c r="V65" s="109">
        <v>1.06</v>
      </c>
      <c r="W65" s="110">
        <v>0.56</v>
      </c>
      <c r="X65" s="110"/>
      <c r="Y65" s="110"/>
      <c r="Z65" s="110"/>
      <c r="AA65" s="110"/>
      <c r="AB65" s="110"/>
      <c r="AC65" s="110">
        <v>5.56</v>
      </c>
      <c r="AD65" s="110">
        <v>0.01</v>
      </c>
      <c r="AE65" s="110"/>
      <c r="AF65" s="107"/>
      <c r="AG65" s="110"/>
      <c r="AH65" s="110"/>
      <c r="AI65" s="110"/>
      <c r="AJ65" s="110"/>
      <c r="AK65" s="110"/>
      <c r="AL65" s="110"/>
      <c r="AM65" s="110"/>
      <c r="AN65" s="110"/>
      <c r="AO65" s="110"/>
      <c r="AP65" s="110"/>
      <c r="AQ65" s="110"/>
      <c r="AR65" s="110"/>
      <c r="AS65" s="110"/>
      <c r="AT65" s="110">
        <v>0.5</v>
      </c>
      <c r="AU65" s="110"/>
      <c r="AV65" s="110"/>
      <c r="AW65" s="110"/>
      <c r="AX65" s="110"/>
      <c r="AY65" s="110"/>
      <c r="AZ65" s="110"/>
      <c r="BA65" s="110"/>
      <c r="BB65" s="110"/>
      <c r="BC65" s="110"/>
      <c r="BD65" s="110">
        <v>0.15</v>
      </c>
      <c r="BE65" s="110"/>
      <c r="BF65" s="110"/>
      <c r="BG65" s="110"/>
      <c r="BH65" s="283"/>
      <c r="BI65" s="314"/>
      <c r="BJ65" s="291"/>
      <c r="BK65" s="315"/>
      <c r="BL65" s="310"/>
      <c r="BM65" s="293"/>
      <c r="BN65" s="111"/>
      <c r="BO65" s="112"/>
      <c r="BP65" s="113"/>
      <c r="BS65" s="115"/>
    </row>
    <row r="66" spans="1:71" s="114" customFormat="1" ht="19.5" customHeight="1">
      <c r="A66" s="284"/>
      <c r="B66" s="102" t="s">
        <v>213</v>
      </c>
      <c r="C66" s="314"/>
      <c r="D66" s="103" t="s">
        <v>34</v>
      </c>
      <c r="E66" s="104">
        <f t="shared" si="19"/>
        <v>3.170000000000001</v>
      </c>
      <c r="F66" s="104"/>
      <c r="G66" s="89">
        <f>SUM(H66:BG66)-M66-Q66-U66</f>
        <v>3.170000000000001</v>
      </c>
      <c r="H66" s="105"/>
      <c r="I66" s="106"/>
      <c r="J66" s="106"/>
      <c r="K66" s="107">
        <v>1.01</v>
      </c>
      <c r="L66" s="107">
        <v>0.55</v>
      </c>
      <c r="M66" s="108"/>
      <c r="N66" s="105"/>
      <c r="O66" s="105"/>
      <c r="P66" s="105"/>
      <c r="Q66" s="105"/>
      <c r="R66" s="105"/>
      <c r="S66" s="105"/>
      <c r="T66" s="105"/>
      <c r="U66" s="6">
        <f t="shared" si="25"/>
        <v>0.8899999999999999</v>
      </c>
      <c r="V66" s="109">
        <v>0.41</v>
      </c>
      <c r="W66" s="110">
        <v>0.48</v>
      </c>
      <c r="X66" s="110"/>
      <c r="Y66" s="110"/>
      <c r="Z66" s="110"/>
      <c r="AA66" s="110"/>
      <c r="AB66" s="110"/>
      <c r="AC66" s="110"/>
      <c r="AD66" s="110"/>
      <c r="AE66" s="110"/>
      <c r="AF66" s="107">
        <v>0.49</v>
      </c>
      <c r="AG66" s="110"/>
      <c r="AH66" s="110"/>
      <c r="AI66" s="110"/>
      <c r="AJ66" s="110"/>
      <c r="AK66" s="110"/>
      <c r="AL66" s="110"/>
      <c r="AM66" s="110"/>
      <c r="AN66" s="110"/>
      <c r="AO66" s="110"/>
      <c r="AP66" s="110"/>
      <c r="AQ66" s="110"/>
      <c r="AR66" s="110"/>
      <c r="AS66" s="110"/>
      <c r="AT66" s="110">
        <v>0.08</v>
      </c>
      <c r="AU66" s="110"/>
      <c r="AV66" s="110"/>
      <c r="AW66" s="110"/>
      <c r="AX66" s="110"/>
      <c r="AY66" s="110"/>
      <c r="AZ66" s="110"/>
      <c r="BA66" s="110"/>
      <c r="BB66" s="110"/>
      <c r="BC66" s="110"/>
      <c r="BD66" s="110">
        <v>0.15</v>
      </c>
      <c r="BE66" s="110"/>
      <c r="BF66" s="110"/>
      <c r="BG66" s="116"/>
      <c r="BH66" s="283"/>
      <c r="BI66" s="314"/>
      <c r="BJ66" s="291"/>
      <c r="BK66" s="315"/>
      <c r="BL66" s="310"/>
      <c r="BM66" s="293"/>
      <c r="BN66" s="111"/>
      <c r="BO66" s="112"/>
      <c r="BP66" s="113"/>
      <c r="BS66" s="115"/>
    </row>
    <row r="67" spans="1:71" s="114" customFormat="1" ht="19.5" customHeight="1">
      <c r="A67" s="284"/>
      <c r="B67" s="102" t="s">
        <v>214</v>
      </c>
      <c r="C67" s="314"/>
      <c r="D67" s="103" t="s">
        <v>31</v>
      </c>
      <c r="E67" s="104">
        <f t="shared" si="19"/>
        <v>1.26</v>
      </c>
      <c r="F67" s="104"/>
      <c r="G67" s="5">
        <f aca="true" t="shared" si="26" ref="G67:G90">SUM(H67:M67,Q67,U67,Y67:BG67)</f>
        <v>1.26</v>
      </c>
      <c r="H67" s="105"/>
      <c r="I67" s="106"/>
      <c r="J67" s="106"/>
      <c r="K67" s="107"/>
      <c r="L67" s="107"/>
      <c r="M67" s="108"/>
      <c r="N67" s="105"/>
      <c r="O67" s="105"/>
      <c r="P67" s="105"/>
      <c r="Q67" s="105"/>
      <c r="R67" s="105"/>
      <c r="S67" s="105"/>
      <c r="T67" s="105"/>
      <c r="U67" s="80">
        <f t="shared" si="25"/>
        <v>0</v>
      </c>
      <c r="V67" s="109"/>
      <c r="W67" s="110"/>
      <c r="X67" s="110"/>
      <c r="Y67" s="110"/>
      <c r="Z67" s="110"/>
      <c r="AA67" s="110"/>
      <c r="AB67" s="110"/>
      <c r="AC67" s="110">
        <v>1.26</v>
      </c>
      <c r="AD67" s="110"/>
      <c r="AE67" s="110"/>
      <c r="AF67" s="107"/>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283"/>
      <c r="BI67" s="314"/>
      <c r="BJ67" s="291"/>
      <c r="BK67" s="315"/>
      <c r="BL67" s="310"/>
      <c r="BM67" s="293"/>
      <c r="BN67" s="111"/>
      <c r="BO67" s="112"/>
      <c r="BP67" s="113"/>
      <c r="BS67" s="115"/>
    </row>
    <row r="68" spans="1:71" s="114" customFormat="1" ht="19.5" customHeight="1">
      <c r="A68" s="284"/>
      <c r="B68" s="102" t="s">
        <v>215</v>
      </c>
      <c r="C68" s="314"/>
      <c r="D68" s="103" t="s">
        <v>216</v>
      </c>
      <c r="E68" s="104">
        <f t="shared" si="19"/>
        <v>1.08</v>
      </c>
      <c r="F68" s="104"/>
      <c r="G68" s="5">
        <f t="shared" si="26"/>
        <v>1.08</v>
      </c>
      <c r="H68" s="105"/>
      <c r="I68" s="106"/>
      <c r="J68" s="106"/>
      <c r="K68" s="107"/>
      <c r="L68" s="107">
        <v>0.73</v>
      </c>
      <c r="M68" s="108"/>
      <c r="N68" s="105"/>
      <c r="O68" s="105"/>
      <c r="P68" s="105"/>
      <c r="Q68" s="105"/>
      <c r="R68" s="105"/>
      <c r="S68" s="105"/>
      <c r="T68" s="105"/>
      <c r="U68" s="80">
        <f t="shared" si="25"/>
        <v>0.35</v>
      </c>
      <c r="V68" s="109"/>
      <c r="W68" s="110">
        <v>0.35</v>
      </c>
      <c r="X68" s="110"/>
      <c r="Y68" s="110"/>
      <c r="Z68" s="110"/>
      <c r="AA68" s="110"/>
      <c r="AB68" s="110"/>
      <c r="AC68" s="110"/>
      <c r="AD68" s="110"/>
      <c r="AE68" s="110"/>
      <c r="AF68" s="107"/>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283"/>
      <c r="BI68" s="314"/>
      <c r="BJ68" s="291"/>
      <c r="BK68" s="315"/>
      <c r="BL68" s="310"/>
      <c r="BM68" s="293"/>
      <c r="BN68" s="111"/>
      <c r="BO68" s="112"/>
      <c r="BP68" s="113"/>
      <c r="BS68" s="115"/>
    </row>
    <row r="69" spans="1:71" s="114" customFormat="1" ht="19.5" customHeight="1">
      <c r="A69" s="284"/>
      <c r="B69" s="102" t="s">
        <v>217</v>
      </c>
      <c r="C69" s="314"/>
      <c r="D69" s="103"/>
      <c r="E69" s="104">
        <f t="shared" si="19"/>
        <v>5.26</v>
      </c>
      <c r="F69" s="104"/>
      <c r="G69" s="5">
        <f t="shared" si="26"/>
        <v>5.26</v>
      </c>
      <c r="H69" s="105"/>
      <c r="I69" s="106"/>
      <c r="J69" s="106"/>
      <c r="K69" s="107">
        <v>2.92</v>
      </c>
      <c r="L69" s="107">
        <v>1.94</v>
      </c>
      <c r="M69" s="108"/>
      <c r="N69" s="105"/>
      <c r="O69" s="105"/>
      <c r="P69" s="105"/>
      <c r="Q69" s="105"/>
      <c r="R69" s="105"/>
      <c r="S69" s="105"/>
      <c r="T69" s="105"/>
      <c r="U69" s="80">
        <f t="shared" si="25"/>
        <v>0.4</v>
      </c>
      <c r="V69" s="109"/>
      <c r="W69" s="110">
        <v>0.4</v>
      </c>
      <c r="X69" s="110"/>
      <c r="Y69" s="110"/>
      <c r="Z69" s="110"/>
      <c r="AA69" s="110"/>
      <c r="AB69" s="110"/>
      <c r="AC69" s="110"/>
      <c r="AD69" s="110"/>
      <c r="AE69" s="110"/>
      <c r="AF69" s="107"/>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283"/>
      <c r="BI69" s="314"/>
      <c r="BJ69" s="291"/>
      <c r="BK69" s="315"/>
      <c r="BL69" s="310"/>
      <c r="BM69" s="293"/>
      <c r="BN69" s="111"/>
      <c r="BO69" s="112"/>
      <c r="BP69" s="113"/>
      <c r="BS69" s="115"/>
    </row>
    <row r="70" spans="1:69" ht="54" customHeight="1">
      <c r="A70" s="1">
        <f>A64+1</f>
        <v>38</v>
      </c>
      <c r="B70" s="47" t="s">
        <v>218</v>
      </c>
      <c r="C70" s="60" t="s">
        <v>82</v>
      </c>
      <c r="D70" s="13" t="s">
        <v>32</v>
      </c>
      <c r="E70" s="45">
        <f t="shared" si="19"/>
        <v>14.139999999999999</v>
      </c>
      <c r="F70" s="5"/>
      <c r="G70" s="5">
        <f t="shared" si="26"/>
        <v>14.139999999999999</v>
      </c>
      <c r="H70" s="49"/>
      <c r="I70" s="49"/>
      <c r="J70" s="74"/>
      <c r="K70" s="49">
        <v>11.84</v>
      </c>
      <c r="L70" s="49">
        <v>1.22</v>
      </c>
      <c r="M70" s="49"/>
      <c r="N70" s="74"/>
      <c r="O70" s="74"/>
      <c r="P70" s="74"/>
      <c r="Q70" s="74"/>
      <c r="R70" s="74"/>
      <c r="S70" s="74"/>
      <c r="T70" s="74"/>
      <c r="U70" s="80">
        <f t="shared" si="25"/>
        <v>0</v>
      </c>
      <c r="V70" s="49"/>
      <c r="W70" s="49"/>
      <c r="X70" s="49"/>
      <c r="Y70" s="49"/>
      <c r="Z70" s="74"/>
      <c r="AA70" s="74"/>
      <c r="AB70" s="74"/>
      <c r="AC70" s="49"/>
      <c r="AD70" s="49"/>
      <c r="AE70" s="49"/>
      <c r="AF70" s="49">
        <v>0.28</v>
      </c>
      <c r="AG70" s="49">
        <v>0.12</v>
      </c>
      <c r="AH70" s="74"/>
      <c r="AI70" s="49"/>
      <c r="AJ70" s="49"/>
      <c r="AK70" s="49"/>
      <c r="AL70" s="49"/>
      <c r="AM70" s="49"/>
      <c r="AN70" s="49"/>
      <c r="AO70" s="74"/>
      <c r="AP70" s="74"/>
      <c r="AQ70" s="74"/>
      <c r="AR70" s="74"/>
      <c r="AS70" s="74"/>
      <c r="AT70" s="49"/>
      <c r="AU70" s="49"/>
      <c r="AV70" s="49"/>
      <c r="AW70" s="49"/>
      <c r="AX70" s="49"/>
      <c r="AY70" s="49"/>
      <c r="AZ70" s="49"/>
      <c r="BA70" s="49"/>
      <c r="BB70" s="49"/>
      <c r="BC70" s="49"/>
      <c r="BD70" s="49"/>
      <c r="BE70" s="49"/>
      <c r="BF70" s="49"/>
      <c r="BG70" s="49">
        <v>0.68</v>
      </c>
      <c r="BH70" s="10" t="s">
        <v>179</v>
      </c>
      <c r="BI70" s="60" t="s">
        <v>82</v>
      </c>
      <c r="BJ70" s="14" t="s">
        <v>219</v>
      </c>
      <c r="BK70" s="98" t="s">
        <v>120</v>
      </c>
      <c r="BL70" s="14"/>
      <c r="BM70" s="14" t="s">
        <v>935</v>
      </c>
      <c r="BN70" s="13" t="s">
        <v>1025</v>
      </c>
      <c r="BO70" s="15" t="s">
        <v>1147</v>
      </c>
      <c r="BQ70" s="17"/>
    </row>
    <row r="71" spans="1:69" ht="69.75" customHeight="1">
      <c r="A71" s="1">
        <f aca="true" t="shared" si="27" ref="A71:A77">A70+1</f>
        <v>39</v>
      </c>
      <c r="B71" s="47" t="s">
        <v>220</v>
      </c>
      <c r="C71" s="3" t="s">
        <v>82</v>
      </c>
      <c r="D71" s="4" t="s">
        <v>32</v>
      </c>
      <c r="E71" s="5">
        <f t="shared" si="19"/>
        <v>10</v>
      </c>
      <c r="F71" s="5"/>
      <c r="G71" s="5">
        <f t="shared" si="26"/>
        <v>10</v>
      </c>
      <c r="H71" s="6"/>
      <c r="I71" s="7"/>
      <c r="J71" s="7"/>
      <c r="K71" s="50">
        <v>3.75</v>
      </c>
      <c r="L71" s="50">
        <f>2.68-0.5</f>
        <v>2.18</v>
      </c>
      <c r="M71" s="10"/>
      <c r="N71" s="6"/>
      <c r="O71" s="6"/>
      <c r="P71" s="6"/>
      <c r="Q71" s="6">
        <f>R71+S71+T71</f>
        <v>0</v>
      </c>
      <c r="R71" s="6"/>
      <c r="S71" s="6"/>
      <c r="T71" s="6"/>
      <c r="U71" s="80">
        <f>SUM(V71:X71)</f>
        <v>3.07</v>
      </c>
      <c r="V71" s="117">
        <f>2.57+0.5</f>
        <v>3.07</v>
      </c>
      <c r="W71" s="49"/>
      <c r="X71" s="49"/>
      <c r="Y71" s="49"/>
      <c r="Z71" s="49"/>
      <c r="AA71" s="49"/>
      <c r="AB71" s="49"/>
      <c r="AC71" s="50">
        <v>0.5</v>
      </c>
      <c r="AD71" s="49"/>
      <c r="AE71" s="49"/>
      <c r="AF71" s="50"/>
      <c r="AG71" s="49"/>
      <c r="AH71" s="49"/>
      <c r="AI71" s="49"/>
      <c r="AJ71" s="49"/>
      <c r="AK71" s="49"/>
      <c r="AL71" s="49"/>
      <c r="AM71" s="49"/>
      <c r="AN71" s="49"/>
      <c r="AO71" s="49"/>
      <c r="AP71" s="49"/>
      <c r="AQ71" s="49"/>
      <c r="AR71" s="49"/>
      <c r="AS71" s="49"/>
      <c r="AT71" s="50">
        <v>0.5</v>
      </c>
      <c r="AU71" s="49"/>
      <c r="AV71" s="49"/>
      <c r="AW71" s="49"/>
      <c r="AX71" s="49"/>
      <c r="AY71" s="49"/>
      <c r="AZ71" s="49"/>
      <c r="BA71" s="49"/>
      <c r="BB71" s="49"/>
      <c r="BC71" s="49"/>
      <c r="BD71" s="49"/>
      <c r="BE71" s="49"/>
      <c r="BF71" s="49"/>
      <c r="BG71" s="49"/>
      <c r="BH71" s="60" t="s">
        <v>210</v>
      </c>
      <c r="BI71" s="3" t="s">
        <v>82</v>
      </c>
      <c r="BJ71" s="98" t="s">
        <v>221</v>
      </c>
      <c r="BK71" s="91" t="s">
        <v>222</v>
      </c>
      <c r="BL71" s="13" t="s">
        <v>223</v>
      </c>
      <c r="BM71" s="14" t="s">
        <v>935</v>
      </c>
      <c r="BN71" s="13" t="s">
        <v>1025</v>
      </c>
      <c r="BO71" s="15" t="s">
        <v>1147</v>
      </c>
      <c r="BQ71" s="17"/>
    </row>
    <row r="72" spans="1:69" ht="46.5">
      <c r="A72" s="1">
        <f t="shared" si="27"/>
        <v>40</v>
      </c>
      <c r="B72" s="118" t="s">
        <v>224</v>
      </c>
      <c r="C72" s="13" t="s">
        <v>82</v>
      </c>
      <c r="D72" s="4" t="s">
        <v>32</v>
      </c>
      <c r="E72" s="45">
        <f>F72+G72</f>
        <v>9.329999999999998</v>
      </c>
      <c r="F72" s="45"/>
      <c r="G72" s="5">
        <f>SUM(H72:M72,Q72,U72,Y72:BG72)</f>
        <v>9.329999999999998</v>
      </c>
      <c r="H72" s="49"/>
      <c r="I72" s="49">
        <v>1.1</v>
      </c>
      <c r="J72" s="74"/>
      <c r="K72" s="49"/>
      <c r="L72" s="49"/>
      <c r="M72" s="49"/>
      <c r="N72" s="74"/>
      <c r="O72" s="74"/>
      <c r="P72" s="74"/>
      <c r="Q72" s="74"/>
      <c r="R72" s="74"/>
      <c r="S72" s="74"/>
      <c r="T72" s="74"/>
      <c r="U72" s="80">
        <f>SUM(V72:X72)</f>
        <v>8.229999999999999</v>
      </c>
      <c r="V72" s="49">
        <f>5+4.91-0.63-0.04-0.16-0.8-0.05</f>
        <v>8.229999999999999</v>
      </c>
      <c r="W72" s="49"/>
      <c r="X72" s="49"/>
      <c r="Y72" s="49"/>
      <c r="Z72" s="74"/>
      <c r="AA72" s="74"/>
      <c r="AB72" s="74"/>
      <c r="AC72" s="49"/>
      <c r="AD72" s="49"/>
      <c r="AE72" s="49"/>
      <c r="AF72" s="49"/>
      <c r="AG72" s="49"/>
      <c r="AH72" s="74"/>
      <c r="AI72" s="49"/>
      <c r="AJ72" s="49"/>
      <c r="AK72" s="49"/>
      <c r="AL72" s="49"/>
      <c r="AM72" s="49"/>
      <c r="AN72" s="49"/>
      <c r="AO72" s="74"/>
      <c r="AP72" s="74"/>
      <c r="AQ72" s="74"/>
      <c r="AR72" s="74"/>
      <c r="AS72" s="74"/>
      <c r="AT72" s="49"/>
      <c r="AU72" s="49"/>
      <c r="AV72" s="49"/>
      <c r="AW72" s="49"/>
      <c r="AX72" s="49"/>
      <c r="AY72" s="49"/>
      <c r="AZ72" s="49"/>
      <c r="BA72" s="49"/>
      <c r="BB72" s="49"/>
      <c r="BC72" s="49"/>
      <c r="BD72" s="49"/>
      <c r="BE72" s="49"/>
      <c r="BF72" s="49"/>
      <c r="BG72" s="49"/>
      <c r="BH72" s="10" t="s">
        <v>225</v>
      </c>
      <c r="BI72" s="13" t="s">
        <v>82</v>
      </c>
      <c r="BJ72" s="13" t="s">
        <v>226</v>
      </c>
      <c r="BK72" s="98" t="s">
        <v>374</v>
      </c>
      <c r="BL72" s="13" t="s">
        <v>227</v>
      </c>
      <c r="BM72" s="14" t="s">
        <v>935</v>
      </c>
      <c r="BN72" s="13" t="s">
        <v>1025</v>
      </c>
      <c r="BO72" s="15" t="s">
        <v>1147</v>
      </c>
      <c r="BQ72" s="17"/>
    </row>
    <row r="73" spans="1:69" ht="51" customHeight="1">
      <c r="A73" s="1">
        <f t="shared" si="27"/>
        <v>41</v>
      </c>
      <c r="B73" s="118" t="s">
        <v>228</v>
      </c>
      <c r="C73" s="13" t="s">
        <v>82</v>
      </c>
      <c r="D73" s="4" t="s">
        <v>32</v>
      </c>
      <c r="E73" s="45">
        <f>F73+G73</f>
        <v>14.32</v>
      </c>
      <c r="F73" s="45">
        <v>14.32</v>
      </c>
      <c r="G73" s="80">
        <f>SUM(H73:M73,Q73,U73,Y73:BG73)</f>
        <v>0</v>
      </c>
      <c r="H73" s="49"/>
      <c r="I73" s="49"/>
      <c r="J73" s="74"/>
      <c r="K73" s="49"/>
      <c r="L73" s="49"/>
      <c r="M73" s="49"/>
      <c r="N73" s="74"/>
      <c r="O73" s="74"/>
      <c r="P73" s="74"/>
      <c r="Q73" s="74"/>
      <c r="R73" s="74"/>
      <c r="S73" s="74"/>
      <c r="T73" s="74"/>
      <c r="U73" s="80"/>
      <c r="V73" s="49"/>
      <c r="W73" s="49"/>
      <c r="X73" s="49"/>
      <c r="Y73" s="49"/>
      <c r="Z73" s="74"/>
      <c r="AA73" s="74"/>
      <c r="AB73" s="74"/>
      <c r="AC73" s="49"/>
      <c r="AD73" s="49"/>
      <c r="AE73" s="49"/>
      <c r="AF73" s="49"/>
      <c r="AG73" s="49"/>
      <c r="AH73" s="74"/>
      <c r="AI73" s="49"/>
      <c r="AJ73" s="49"/>
      <c r="AK73" s="49"/>
      <c r="AL73" s="49"/>
      <c r="AM73" s="49"/>
      <c r="AN73" s="49"/>
      <c r="AO73" s="74"/>
      <c r="AP73" s="74"/>
      <c r="AQ73" s="74"/>
      <c r="AR73" s="74"/>
      <c r="AS73" s="74"/>
      <c r="AT73" s="49"/>
      <c r="AU73" s="49"/>
      <c r="AV73" s="49"/>
      <c r="AW73" s="49"/>
      <c r="AX73" s="49"/>
      <c r="AY73" s="49"/>
      <c r="AZ73" s="49"/>
      <c r="BA73" s="49"/>
      <c r="BB73" s="49"/>
      <c r="BC73" s="49"/>
      <c r="BD73" s="49"/>
      <c r="BE73" s="49"/>
      <c r="BF73" s="49"/>
      <c r="BG73" s="49"/>
      <c r="BH73" s="10" t="s">
        <v>229</v>
      </c>
      <c r="BI73" s="13" t="s">
        <v>82</v>
      </c>
      <c r="BJ73" s="10" t="s">
        <v>230</v>
      </c>
      <c r="BK73" s="98" t="s">
        <v>120</v>
      </c>
      <c r="BL73" s="13" t="s">
        <v>231</v>
      </c>
      <c r="BM73" s="14" t="s">
        <v>935</v>
      </c>
      <c r="BN73" s="13" t="s">
        <v>1025</v>
      </c>
      <c r="BO73" s="15" t="s">
        <v>1147</v>
      </c>
      <c r="BQ73" s="17"/>
    </row>
    <row r="74" spans="1:69" ht="50.25" customHeight="1">
      <c r="A74" s="1">
        <f>+A73+1</f>
        <v>42</v>
      </c>
      <c r="B74" s="118" t="s">
        <v>233</v>
      </c>
      <c r="C74" s="14" t="s">
        <v>71</v>
      </c>
      <c r="D74" s="4" t="s">
        <v>32</v>
      </c>
      <c r="E74" s="5">
        <f t="shared" si="19"/>
        <v>0.08</v>
      </c>
      <c r="F74" s="73"/>
      <c r="G74" s="5">
        <f t="shared" si="26"/>
        <v>0.08</v>
      </c>
      <c r="H74" s="49"/>
      <c r="I74" s="49"/>
      <c r="J74" s="49"/>
      <c r="K74" s="49"/>
      <c r="L74" s="49"/>
      <c r="M74" s="10"/>
      <c r="N74" s="49"/>
      <c r="O74" s="49"/>
      <c r="P74" s="49"/>
      <c r="Q74" s="6">
        <f>R74+S74+T74</f>
        <v>0</v>
      </c>
      <c r="R74" s="49"/>
      <c r="S74" s="49"/>
      <c r="T74" s="49"/>
      <c r="U74" s="80">
        <f>SUM(V74:X74)</f>
        <v>0</v>
      </c>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v>0.08</v>
      </c>
      <c r="AW74" s="49"/>
      <c r="AX74" s="49"/>
      <c r="AY74" s="49"/>
      <c r="AZ74" s="49"/>
      <c r="BA74" s="49"/>
      <c r="BB74" s="49"/>
      <c r="BC74" s="49"/>
      <c r="BD74" s="49"/>
      <c r="BE74" s="49"/>
      <c r="BF74" s="49"/>
      <c r="BG74" s="49"/>
      <c r="BH74" s="10" t="s">
        <v>797</v>
      </c>
      <c r="BI74" s="14" t="s">
        <v>71</v>
      </c>
      <c r="BJ74" s="14" t="s">
        <v>234</v>
      </c>
      <c r="BK74" s="98" t="s">
        <v>120</v>
      </c>
      <c r="BL74" s="13" t="s">
        <v>231</v>
      </c>
      <c r="BM74" s="14" t="s">
        <v>935</v>
      </c>
      <c r="BN74" s="13" t="s">
        <v>1025</v>
      </c>
      <c r="BO74" s="15" t="s">
        <v>1147</v>
      </c>
      <c r="BQ74" s="17"/>
    </row>
    <row r="75" spans="1:69" ht="50.25" customHeight="1">
      <c r="A75" s="1">
        <f t="shared" si="27"/>
        <v>43</v>
      </c>
      <c r="B75" s="118" t="s">
        <v>235</v>
      </c>
      <c r="C75" s="14" t="s">
        <v>71</v>
      </c>
      <c r="D75" s="4" t="s">
        <v>32</v>
      </c>
      <c r="E75" s="5">
        <f t="shared" si="19"/>
        <v>1</v>
      </c>
      <c r="F75" s="73"/>
      <c r="G75" s="5">
        <f t="shared" si="26"/>
        <v>1</v>
      </c>
      <c r="H75" s="49"/>
      <c r="I75" s="49"/>
      <c r="J75" s="49"/>
      <c r="K75" s="49"/>
      <c r="L75" s="49"/>
      <c r="M75" s="10">
        <f>SUM(N75:P75)</f>
        <v>1</v>
      </c>
      <c r="N75" s="49"/>
      <c r="O75" s="49">
        <v>1</v>
      </c>
      <c r="P75" s="49"/>
      <c r="Q75" s="6">
        <f>R75+S75+T75</f>
        <v>0</v>
      </c>
      <c r="R75" s="49"/>
      <c r="S75" s="49"/>
      <c r="T75" s="49"/>
      <c r="U75" s="80">
        <f>SUM(V75:X75)</f>
        <v>0</v>
      </c>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10" t="s">
        <v>356</v>
      </c>
      <c r="BI75" s="14" t="s">
        <v>71</v>
      </c>
      <c r="BJ75" s="14" t="s">
        <v>236</v>
      </c>
      <c r="BK75" s="98" t="s">
        <v>120</v>
      </c>
      <c r="BL75" s="13" t="s">
        <v>231</v>
      </c>
      <c r="BM75" s="14" t="s">
        <v>935</v>
      </c>
      <c r="BN75" s="13" t="s">
        <v>1025</v>
      </c>
      <c r="BO75" s="15" t="s">
        <v>1147</v>
      </c>
      <c r="BQ75" s="17"/>
    </row>
    <row r="76" spans="1:69" ht="50.25" customHeight="1">
      <c r="A76" s="1">
        <f t="shared" si="27"/>
        <v>44</v>
      </c>
      <c r="B76" s="118" t="s">
        <v>237</v>
      </c>
      <c r="C76" s="14" t="s">
        <v>71</v>
      </c>
      <c r="D76" s="4" t="s">
        <v>32</v>
      </c>
      <c r="E76" s="5">
        <f t="shared" si="19"/>
        <v>1</v>
      </c>
      <c r="F76" s="119"/>
      <c r="G76" s="5">
        <f t="shared" si="26"/>
        <v>1</v>
      </c>
      <c r="H76" s="49"/>
      <c r="I76" s="49"/>
      <c r="J76" s="49"/>
      <c r="K76" s="49"/>
      <c r="L76" s="49"/>
      <c r="M76" s="10"/>
      <c r="N76" s="49"/>
      <c r="O76" s="49"/>
      <c r="P76" s="49"/>
      <c r="Q76" s="6">
        <f>R76+S76+T76</f>
        <v>0</v>
      </c>
      <c r="R76" s="49"/>
      <c r="S76" s="49"/>
      <c r="T76" s="49"/>
      <c r="U76" s="80">
        <f>SUM(V76:X76)</f>
        <v>1</v>
      </c>
      <c r="V76" s="49"/>
      <c r="W76" s="49">
        <v>1</v>
      </c>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10" t="s">
        <v>76</v>
      </c>
      <c r="BI76" s="14" t="s">
        <v>71</v>
      </c>
      <c r="BJ76" s="14" t="s">
        <v>238</v>
      </c>
      <c r="BK76" s="98" t="s">
        <v>120</v>
      </c>
      <c r="BL76" s="60" t="s">
        <v>190</v>
      </c>
      <c r="BM76" s="14" t="s">
        <v>935</v>
      </c>
      <c r="BN76" s="13" t="s">
        <v>1025</v>
      </c>
      <c r="BO76" s="15" t="s">
        <v>1147</v>
      </c>
      <c r="BQ76" s="17"/>
    </row>
    <row r="77" spans="1:69" ht="99" customHeight="1">
      <c r="A77" s="284">
        <f t="shared" si="27"/>
        <v>45</v>
      </c>
      <c r="B77" s="289" t="s">
        <v>239</v>
      </c>
      <c r="C77" s="14" t="s">
        <v>122</v>
      </c>
      <c r="D77" s="4" t="s">
        <v>32</v>
      </c>
      <c r="E77" s="5">
        <f t="shared" si="19"/>
        <v>0.6900000000000001</v>
      </c>
      <c r="F77" s="119"/>
      <c r="G77" s="5">
        <f t="shared" si="26"/>
        <v>0.6900000000000001</v>
      </c>
      <c r="H77" s="120">
        <v>0</v>
      </c>
      <c r="I77" s="120">
        <v>0</v>
      </c>
      <c r="J77" s="120">
        <v>0</v>
      </c>
      <c r="K77" s="120">
        <f>0.3+0.04</f>
        <v>0.33999999999999997</v>
      </c>
      <c r="L77" s="120">
        <v>0</v>
      </c>
      <c r="M77" s="120">
        <v>0</v>
      </c>
      <c r="N77" s="120">
        <v>0</v>
      </c>
      <c r="O77" s="120">
        <v>0</v>
      </c>
      <c r="P77" s="120">
        <v>0</v>
      </c>
      <c r="Q77" s="120">
        <v>0</v>
      </c>
      <c r="R77" s="120">
        <v>0</v>
      </c>
      <c r="S77" s="120">
        <v>0</v>
      </c>
      <c r="T77" s="120">
        <v>0</v>
      </c>
      <c r="U77" s="80">
        <f>SUM(V77:X77)</f>
        <v>0.16</v>
      </c>
      <c r="V77" s="120"/>
      <c r="W77" s="120">
        <v>0</v>
      </c>
      <c r="X77" s="120">
        <v>0.16</v>
      </c>
      <c r="Y77" s="120">
        <v>0.05</v>
      </c>
      <c r="Z77" s="120">
        <v>0</v>
      </c>
      <c r="AA77" s="120">
        <v>0</v>
      </c>
      <c r="AB77" s="120">
        <v>0</v>
      </c>
      <c r="AC77" s="120">
        <v>0</v>
      </c>
      <c r="AD77" s="120">
        <v>0</v>
      </c>
      <c r="AE77" s="120">
        <v>0</v>
      </c>
      <c r="AF77" s="120">
        <v>0</v>
      </c>
      <c r="AG77" s="120">
        <v>0</v>
      </c>
      <c r="AH77" s="120">
        <v>0</v>
      </c>
      <c r="AI77" s="120">
        <v>0</v>
      </c>
      <c r="AJ77" s="120">
        <v>0</v>
      </c>
      <c r="AK77" s="120">
        <v>0</v>
      </c>
      <c r="AL77" s="120">
        <v>0</v>
      </c>
      <c r="AM77" s="120">
        <v>0</v>
      </c>
      <c r="AN77" s="120">
        <v>0</v>
      </c>
      <c r="AO77" s="120">
        <v>0</v>
      </c>
      <c r="AP77" s="120">
        <v>0</v>
      </c>
      <c r="AQ77" s="120">
        <v>0</v>
      </c>
      <c r="AR77" s="120">
        <v>0</v>
      </c>
      <c r="AS77" s="120">
        <v>0</v>
      </c>
      <c r="AT77" s="120">
        <v>0.04</v>
      </c>
      <c r="AU77" s="120">
        <v>0</v>
      </c>
      <c r="AV77" s="120">
        <v>0</v>
      </c>
      <c r="AW77" s="120">
        <v>0</v>
      </c>
      <c r="AX77" s="120">
        <v>0</v>
      </c>
      <c r="AY77" s="120">
        <v>0</v>
      </c>
      <c r="AZ77" s="120">
        <v>0</v>
      </c>
      <c r="BA77" s="120">
        <v>0</v>
      </c>
      <c r="BB77" s="120">
        <v>0</v>
      </c>
      <c r="BC77" s="120">
        <v>0</v>
      </c>
      <c r="BD77" s="120">
        <v>0</v>
      </c>
      <c r="BE77" s="120">
        <v>0</v>
      </c>
      <c r="BF77" s="120">
        <v>0</v>
      </c>
      <c r="BG77" s="120">
        <v>0.1</v>
      </c>
      <c r="BH77" s="60" t="s">
        <v>240</v>
      </c>
      <c r="BI77" s="14" t="s">
        <v>122</v>
      </c>
      <c r="BJ77" s="14" t="s">
        <v>990</v>
      </c>
      <c r="BK77" s="98" t="s">
        <v>120</v>
      </c>
      <c r="BL77" s="60" t="s">
        <v>190</v>
      </c>
      <c r="BM77" s="55" t="s">
        <v>194</v>
      </c>
      <c r="BN77" s="13" t="s">
        <v>1025</v>
      </c>
      <c r="BO77" s="15" t="s">
        <v>1147</v>
      </c>
      <c r="BQ77" s="17"/>
    </row>
    <row r="78" spans="1:69" ht="46.5">
      <c r="A78" s="284"/>
      <c r="B78" s="289"/>
      <c r="C78" s="14" t="s">
        <v>71</v>
      </c>
      <c r="D78" s="4" t="s">
        <v>32</v>
      </c>
      <c r="E78" s="5">
        <f t="shared" si="19"/>
        <v>0.6799999999999999</v>
      </c>
      <c r="F78" s="119"/>
      <c r="G78" s="5">
        <f t="shared" si="26"/>
        <v>0.6799999999999999</v>
      </c>
      <c r="H78" s="120">
        <v>0</v>
      </c>
      <c r="I78" s="120">
        <v>0</v>
      </c>
      <c r="J78" s="120">
        <v>0</v>
      </c>
      <c r="K78" s="120">
        <v>0.38</v>
      </c>
      <c r="L78" s="120">
        <v>0.3</v>
      </c>
      <c r="M78" s="120">
        <v>0</v>
      </c>
      <c r="N78" s="120">
        <v>0</v>
      </c>
      <c r="O78" s="120">
        <v>0</v>
      </c>
      <c r="P78" s="120">
        <v>0</v>
      </c>
      <c r="Q78" s="120">
        <v>0</v>
      </c>
      <c r="R78" s="120">
        <v>0</v>
      </c>
      <c r="S78" s="120">
        <v>0</v>
      </c>
      <c r="T78" s="120">
        <v>0</v>
      </c>
      <c r="U78" s="120">
        <v>0</v>
      </c>
      <c r="V78" s="120">
        <v>0</v>
      </c>
      <c r="W78" s="120">
        <v>0</v>
      </c>
      <c r="X78" s="120">
        <v>0</v>
      </c>
      <c r="Y78" s="120">
        <v>0</v>
      </c>
      <c r="Z78" s="120">
        <v>0</v>
      </c>
      <c r="AA78" s="120">
        <v>0</v>
      </c>
      <c r="AB78" s="120">
        <v>0</v>
      </c>
      <c r="AC78" s="120">
        <v>0</v>
      </c>
      <c r="AD78" s="120">
        <v>0</v>
      </c>
      <c r="AE78" s="120">
        <v>0</v>
      </c>
      <c r="AF78" s="120">
        <v>0</v>
      </c>
      <c r="AG78" s="120">
        <v>0</v>
      </c>
      <c r="AH78" s="120">
        <v>0</v>
      </c>
      <c r="AI78" s="120">
        <v>0</v>
      </c>
      <c r="AJ78" s="120">
        <v>0</v>
      </c>
      <c r="AK78" s="120">
        <v>0</v>
      </c>
      <c r="AL78" s="120">
        <v>0</v>
      </c>
      <c r="AM78" s="120">
        <v>0</v>
      </c>
      <c r="AN78" s="120">
        <v>0</v>
      </c>
      <c r="AO78" s="120">
        <v>0</v>
      </c>
      <c r="AP78" s="120">
        <v>0</v>
      </c>
      <c r="AQ78" s="120">
        <v>0</v>
      </c>
      <c r="AR78" s="120">
        <v>0</v>
      </c>
      <c r="AS78" s="120">
        <v>0</v>
      </c>
      <c r="AT78" s="120">
        <v>0</v>
      </c>
      <c r="AU78" s="120">
        <v>0</v>
      </c>
      <c r="AV78" s="120">
        <v>0</v>
      </c>
      <c r="AW78" s="120">
        <v>0</v>
      </c>
      <c r="AX78" s="120">
        <v>0</v>
      </c>
      <c r="AY78" s="120">
        <v>0</v>
      </c>
      <c r="AZ78" s="120">
        <v>0</v>
      </c>
      <c r="BA78" s="120">
        <v>0</v>
      </c>
      <c r="BB78" s="120">
        <v>0</v>
      </c>
      <c r="BC78" s="120">
        <v>0</v>
      </c>
      <c r="BD78" s="120">
        <v>0</v>
      </c>
      <c r="BE78" s="120">
        <v>0</v>
      </c>
      <c r="BF78" s="120">
        <v>0</v>
      </c>
      <c r="BG78" s="120">
        <v>0</v>
      </c>
      <c r="BH78" s="60" t="s">
        <v>241</v>
      </c>
      <c r="BI78" s="14" t="s">
        <v>71</v>
      </c>
      <c r="BJ78" s="3" t="s">
        <v>242</v>
      </c>
      <c r="BK78" s="98" t="s">
        <v>120</v>
      </c>
      <c r="BL78" s="60" t="s">
        <v>190</v>
      </c>
      <c r="BM78" s="14" t="s">
        <v>935</v>
      </c>
      <c r="BN78" s="13" t="s">
        <v>1025</v>
      </c>
      <c r="BO78" s="15" t="s">
        <v>1147</v>
      </c>
      <c r="BQ78" s="17"/>
    </row>
    <row r="79" spans="1:69" ht="63" customHeight="1">
      <c r="A79" s="284"/>
      <c r="B79" s="289"/>
      <c r="C79" s="121" t="s">
        <v>134</v>
      </c>
      <c r="D79" s="4" t="s">
        <v>32</v>
      </c>
      <c r="E79" s="5">
        <f t="shared" si="19"/>
        <v>0.15</v>
      </c>
      <c r="F79" s="119"/>
      <c r="G79" s="5">
        <f t="shared" si="26"/>
        <v>0.15</v>
      </c>
      <c r="H79" s="120">
        <v>0</v>
      </c>
      <c r="I79" s="120">
        <v>0</v>
      </c>
      <c r="J79" s="120">
        <v>0</v>
      </c>
      <c r="K79" s="120">
        <v>0</v>
      </c>
      <c r="L79" s="120">
        <v>0.15</v>
      </c>
      <c r="M79" s="120">
        <v>0</v>
      </c>
      <c r="N79" s="120">
        <v>0</v>
      </c>
      <c r="O79" s="120">
        <v>0</v>
      </c>
      <c r="P79" s="120">
        <v>0</v>
      </c>
      <c r="Q79" s="120">
        <v>0</v>
      </c>
      <c r="R79" s="120">
        <v>0</v>
      </c>
      <c r="S79" s="120">
        <v>0</v>
      </c>
      <c r="T79" s="120">
        <v>0</v>
      </c>
      <c r="U79" s="120">
        <v>0</v>
      </c>
      <c r="V79" s="120">
        <v>0</v>
      </c>
      <c r="W79" s="120">
        <v>0</v>
      </c>
      <c r="X79" s="120">
        <v>0</v>
      </c>
      <c r="Y79" s="120">
        <v>0</v>
      </c>
      <c r="Z79" s="120">
        <v>0</v>
      </c>
      <c r="AA79" s="120">
        <v>0</v>
      </c>
      <c r="AB79" s="120">
        <v>0</v>
      </c>
      <c r="AC79" s="120">
        <v>0</v>
      </c>
      <c r="AD79" s="120">
        <v>0</v>
      </c>
      <c r="AE79" s="120">
        <v>0</v>
      </c>
      <c r="AF79" s="120">
        <v>0</v>
      </c>
      <c r="AG79" s="120">
        <v>0</v>
      </c>
      <c r="AH79" s="120">
        <v>0</v>
      </c>
      <c r="AI79" s="120">
        <v>0</v>
      </c>
      <c r="AJ79" s="120">
        <v>0</v>
      </c>
      <c r="AK79" s="120">
        <v>0</v>
      </c>
      <c r="AL79" s="120">
        <v>0</v>
      </c>
      <c r="AM79" s="120">
        <v>0</v>
      </c>
      <c r="AN79" s="120">
        <v>0</v>
      </c>
      <c r="AO79" s="120">
        <v>0</v>
      </c>
      <c r="AP79" s="120">
        <v>0</v>
      </c>
      <c r="AQ79" s="120">
        <v>0</v>
      </c>
      <c r="AR79" s="120">
        <v>0</v>
      </c>
      <c r="AS79" s="120">
        <v>0</v>
      </c>
      <c r="AT79" s="120">
        <v>0</v>
      </c>
      <c r="AU79" s="120">
        <v>0</v>
      </c>
      <c r="AV79" s="120">
        <v>0</v>
      </c>
      <c r="AW79" s="120">
        <v>0</v>
      </c>
      <c r="AX79" s="120">
        <v>0</v>
      </c>
      <c r="AY79" s="120">
        <v>0</v>
      </c>
      <c r="AZ79" s="120">
        <v>0</v>
      </c>
      <c r="BA79" s="120">
        <v>0</v>
      </c>
      <c r="BB79" s="120">
        <v>0</v>
      </c>
      <c r="BC79" s="120">
        <v>0</v>
      </c>
      <c r="BD79" s="120">
        <v>0</v>
      </c>
      <c r="BE79" s="120">
        <v>0</v>
      </c>
      <c r="BF79" s="120">
        <v>0</v>
      </c>
      <c r="BG79" s="120">
        <v>0</v>
      </c>
      <c r="BH79" s="60" t="s">
        <v>243</v>
      </c>
      <c r="BI79" s="121" t="s">
        <v>134</v>
      </c>
      <c r="BJ79" s="13" t="s">
        <v>244</v>
      </c>
      <c r="BK79" s="98" t="s">
        <v>120</v>
      </c>
      <c r="BL79" s="60" t="s">
        <v>190</v>
      </c>
      <c r="BM79" s="11" t="s">
        <v>194</v>
      </c>
      <c r="BN79" s="13" t="s">
        <v>1025</v>
      </c>
      <c r="BO79" s="15" t="s">
        <v>1147</v>
      </c>
      <c r="BP79" s="16" t="s">
        <v>1028</v>
      </c>
      <c r="BQ79" s="17"/>
    </row>
    <row r="80" spans="1:69" ht="46.5">
      <c r="A80" s="284"/>
      <c r="B80" s="289"/>
      <c r="C80" s="77" t="s">
        <v>150</v>
      </c>
      <c r="D80" s="4" t="s">
        <v>32</v>
      </c>
      <c r="E80" s="5">
        <f t="shared" si="19"/>
        <v>0.27</v>
      </c>
      <c r="F80" s="119"/>
      <c r="G80" s="5">
        <f t="shared" si="26"/>
        <v>0.27</v>
      </c>
      <c r="H80" s="120">
        <v>0.02</v>
      </c>
      <c r="I80" s="120">
        <v>0</v>
      </c>
      <c r="J80" s="120">
        <v>0</v>
      </c>
      <c r="K80" s="120">
        <v>0.04</v>
      </c>
      <c r="L80" s="120">
        <v>0.05</v>
      </c>
      <c r="M80" s="120">
        <v>0</v>
      </c>
      <c r="N80" s="120">
        <v>0</v>
      </c>
      <c r="O80" s="120">
        <v>0</v>
      </c>
      <c r="P80" s="120">
        <v>0</v>
      </c>
      <c r="Q80" s="120">
        <v>0</v>
      </c>
      <c r="R80" s="120">
        <v>0</v>
      </c>
      <c r="S80" s="120">
        <v>0</v>
      </c>
      <c r="T80" s="120">
        <v>0</v>
      </c>
      <c r="U80" s="120">
        <v>0</v>
      </c>
      <c r="V80" s="120">
        <v>0</v>
      </c>
      <c r="W80" s="120">
        <v>0</v>
      </c>
      <c r="X80" s="120">
        <v>0</v>
      </c>
      <c r="Y80" s="120">
        <v>0</v>
      </c>
      <c r="Z80" s="120">
        <v>0</v>
      </c>
      <c r="AA80" s="120">
        <v>0</v>
      </c>
      <c r="AB80" s="120">
        <v>0</v>
      </c>
      <c r="AC80" s="120">
        <v>0</v>
      </c>
      <c r="AD80" s="120">
        <v>0</v>
      </c>
      <c r="AE80" s="120">
        <v>0</v>
      </c>
      <c r="AF80" s="120">
        <v>0</v>
      </c>
      <c r="AG80" s="120">
        <v>0</v>
      </c>
      <c r="AH80" s="120">
        <v>0</v>
      </c>
      <c r="AI80" s="120">
        <v>0</v>
      </c>
      <c r="AJ80" s="120">
        <v>0</v>
      </c>
      <c r="AK80" s="120">
        <v>0</v>
      </c>
      <c r="AL80" s="120">
        <v>0</v>
      </c>
      <c r="AM80" s="120">
        <v>0</v>
      </c>
      <c r="AN80" s="120">
        <v>0</v>
      </c>
      <c r="AO80" s="120">
        <v>0</v>
      </c>
      <c r="AP80" s="120">
        <v>0</v>
      </c>
      <c r="AQ80" s="120">
        <v>0</v>
      </c>
      <c r="AR80" s="120">
        <v>0</v>
      </c>
      <c r="AS80" s="120">
        <v>0</v>
      </c>
      <c r="AT80" s="120">
        <v>0</v>
      </c>
      <c r="AU80" s="120">
        <v>0</v>
      </c>
      <c r="AV80" s="120">
        <v>0</v>
      </c>
      <c r="AW80" s="120">
        <v>0</v>
      </c>
      <c r="AX80" s="120">
        <v>0</v>
      </c>
      <c r="AY80" s="120">
        <v>0</v>
      </c>
      <c r="AZ80" s="120">
        <v>0</v>
      </c>
      <c r="BA80" s="120">
        <v>0</v>
      </c>
      <c r="BB80" s="120">
        <v>0</v>
      </c>
      <c r="BC80" s="120">
        <v>0</v>
      </c>
      <c r="BD80" s="120">
        <v>0</v>
      </c>
      <c r="BE80" s="120">
        <v>0</v>
      </c>
      <c r="BF80" s="120">
        <v>0</v>
      </c>
      <c r="BG80" s="120">
        <v>0.16</v>
      </c>
      <c r="BH80" s="3" t="s">
        <v>245</v>
      </c>
      <c r="BI80" s="77" t="s">
        <v>150</v>
      </c>
      <c r="BJ80" s="60" t="s">
        <v>246</v>
      </c>
      <c r="BK80" s="98" t="s">
        <v>120</v>
      </c>
      <c r="BL80" s="60" t="s">
        <v>190</v>
      </c>
      <c r="BM80" s="11" t="s">
        <v>194</v>
      </c>
      <c r="BN80" s="13" t="s">
        <v>1025</v>
      </c>
      <c r="BO80" s="15" t="s">
        <v>1147</v>
      </c>
      <c r="BQ80" s="17"/>
    </row>
    <row r="81" spans="1:67" ht="46.5">
      <c r="A81" s="284"/>
      <c r="B81" s="289"/>
      <c r="C81" s="14" t="s">
        <v>138</v>
      </c>
      <c r="D81" s="4" t="s">
        <v>32</v>
      </c>
      <c r="E81" s="5">
        <f t="shared" si="19"/>
        <v>0.06</v>
      </c>
      <c r="F81" s="5"/>
      <c r="G81" s="5">
        <f t="shared" si="26"/>
        <v>0.06</v>
      </c>
      <c r="H81" s="46"/>
      <c r="I81" s="46"/>
      <c r="J81" s="46">
        <v>0</v>
      </c>
      <c r="K81" s="46"/>
      <c r="L81" s="46">
        <v>0.06</v>
      </c>
      <c r="M81" s="46">
        <v>0</v>
      </c>
      <c r="N81" s="46">
        <v>0</v>
      </c>
      <c r="O81" s="46">
        <v>0</v>
      </c>
      <c r="P81" s="46">
        <v>0</v>
      </c>
      <c r="Q81" s="46">
        <v>0</v>
      </c>
      <c r="R81" s="46">
        <v>0</v>
      </c>
      <c r="S81" s="46">
        <v>0</v>
      </c>
      <c r="T81" s="46">
        <v>0</v>
      </c>
      <c r="U81" s="80">
        <v>0</v>
      </c>
      <c r="V81" s="46"/>
      <c r="W81" s="46"/>
      <c r="X81" s="46">
        <v>0</v>
      </c>
      <c r="Y81" s="46"/>
      <c r="Z81" s="46">
        <v>0</v>
      </c>
      <c r="AA81" s="46">
        <v>0</v>
      </c>
      <c r="AB81" s="46">
        <v>0</v>
      </c>
      <c r="AC81" s="46">
        <v>0</v>
      </c>
      <c r="AD81" s="46">
        <v>0</v>
      </c>
      <c r="AE81" s="46">
        <v>0</v>
      </c>
      <c r="AF81" s="46">
        <v>0</v>
      </c>
      <c r="AG81" s="46">
        <v>0</v>
      </c>
      <c r="AH81" s="46">
        <v>0</v>
      </c>
      <c r="AI81" s="46">
        <v>0</v>
      </c>
      <c r="AJ81" s="46">
        <v>0</v>
      </c>
      <c r="AK81" s="46">
        <v>0</v>
      </c>
      <c r="AL81" s="46">
        <v>0</v>
      </c>
      <c r="AM81" s="46">
        <v>0</v>
      </c>
      <c r="AN81" s="46">
        <v>0</v>
      </c>
      <c r="AO81" s="46">
        <v>0</v>
      </c>
      <c r="AP81" s="46">
        <v>0</v>
      </c>
      <c r="AQ81" s="46">
        <v>0</v>
      </c>
      <c r="AR81" s="46">
        <v>0</v>
      </c>
      <c r="AS81" s="46">
        <v>0</v>
      </c>
      <c r="AT81" s="46">
        <v>0</v>
      </c>
      <c r="AU81" s="46">
        <v>0</v>
      </c>
      <c r="AV81" s="46">
        <v>0</v>
      </c>
      <c r="AW81" s="46">
        <v>0</v>
      </c>
      <c r="AX81" s="46">
        <v>0</v>
      </c>
      <c r="AY81" s="46">
        <v>0</v>
      </c>
      <c r="AZ81" s="46">
        <v>0</v>
      </c>
      <c r="BA81" s="46">
        <v>0</v>
      </c>
      <c r="BB81" s="46">
        <v>0</v>
      </c>
      <c r="BC81" s="46">
        <v>0</v>
      </c>
      <c r="BD81" s="46">
        <v>0</v>
      </c>
      <c r="BE81" s="46">
        <v>0</v>
      </c>
      <c r="BF81" s="46">
        <v>0</v>
      </c>
      <c r="BG81" s="46">
        <v>0</v>
      </c>
      <c r="BH81" s="60" t="s">
        <v>247</v>
      </c>
      <c r="BI81" s="14" t="s">
        <v>138</v>
      </c>
      <c r="BJ81" s="14" t="s">
        <v>248</v>
      </c>
      <c r="BK81" s="98" t="s">
        <v>120</v>
      </c>
      <c r="BL81" s="60" t="s">
        <v>190</v>
      </c>
      <c r="BM81" s="55" t="s">
        <v>194</v>
      </c>
      <c r="BN81" s="13" t="s">
        <v>1025</v>
      </c>
      <c r="BO81" s="15" t="s">
        <v>1147</v>
      </c>
    </row>
    <row r="82" spans="1:69" ht="46.5">
      <c r="A82" s="284"/>
      <c r="B82" s="289"/>
      <c r="C82" s="13" t="s">
        <v>87</v>
      </c>
      <c r="D82" s="4" t="s">
        <v>32</v>
      </c>
      <c r="E82" s="45">
        <f t="shared" si="19"/>
        <v>1.1</v>
      </c>
      <c r="F82" s="80"/>
      <c r="G82" s="5">
        <f t="shared" si="26"/>
        <v>1.1</v>
      </c>
      <c r="H82" s="80"/>
      <c r="I82" s="80"/>
      <c r="J82" s="80"/>
      <c r="K82" s="80"/>
      <c r="L82" s="80">
        <v>0.21</v>
      </c>
      <c r="M82" s="80"/>
      <c r="N82" s="80"/>
      <c r="O82" s="80"/>
      <c r="P82" s="80"/>
      <c r="Q82" s="80"/>
      <c r="R82" s="80"/>
      <c r="S82" s="80"/>
      <c r="T82" s="80"/>
      <c r="U82" s="80">
        <v>0.89</v>
      </c>
      <c r="V82" s="80">
        <v>0.27</v>
      </c>
      <c r="W82" s="80">
        <v>0.62</v>
      </c>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60" t="s">
        <v>914</v>
      </c>
      <c r="BI82" s="13" t="s">
        <v>87</v>
      </c>
      <c r="BJ82" s="13" t="s">
        <v>249</v>
      </c>
      <c r="BK82" s="98" t="s">
        <v>120</v>
      </c>
      <c r="BL82" s="60" t="s">
        <v>190</v>
      </c>
      <c r="BM82" s="14" t="s">
        <v>935</v>
      </c>
      <c r="BN82" s="13" t="s">
        <v>1025</v>
      </c>
      <c r="BO82" s="15" t="s">
        <v>1147</v>
      </c>
      <c r="BQ82" s="17"/>
    </row>
    <row r="83" spans="1:69" ht="156">
      <c r="A83" s="284"/>
      <c r="B83" s="289"/>
      <c r="C83" s="59" t="s">
        <v>91</v>
      </c>
      <c r="D83" s="4" t="s">
        <v>32</v>
      </c>
      <c r="E83" s="45">
        <f t="shared" si="19"/>
        <v>3.49</v>
      </c>
      <c r="F83" s="80"/>
      <c r="G83" s="5">
        <f t="shared" si="26"/>
        <v>3.49</v>
      </c>
      <c r="H83" s="120">
        <v>0</v>
      </c>
      <c r="I83" s="120">
        <v>0.05</v>
      </c>
      <c r="J83" s="120">
        <v>0</v>
      </c>
      <c r="K83" s="120">
        <v>0.74</v>
      </c>
      <c r="L83" s="120">
        <v>0.04</v>
      </c>
      <c r="M83" s="120">
        <v>0</v>
      </c>
      <c r="N83" s="120">
        <v>0</v>
      </c>
      <c r="O83" s="120">
        <v>0</v>
      </c>
      <c r="P83" s="120">
        <v>0</v>
      </c>
      <c r="Q83" s="120">
        <v>0</v>
      </c>
      <c r="R83" s="120">
        <v>0</v>
      </c>
      <c r="S83" s="120">
        <v>0</v>
      </c>
      <c r="T83" s="120">
        <v>0</v>
      </c>
      <c r="U83" s="120">
        <v>2.54</v>
      </c>
      <c r="V83" s="120">
        <v>2.54</v>
      </c>
      <c r="W83" s="120">
        <v>0</v>
      </c>
      <c r="X83" s="120">
        <v>0</v>
      </c>
      <c r="Y83" s="120">
        <v>0</v>
      </c>
      <c r="Z83" s="120">
        <v>0</v>
      </c>
      <c r="AA83" s="120">
        <v>0</v>
      </c>
      <c r="AB83" s="120">
        <v>0</v>
      </c>
      <c r="AC83" s="120">
        <v>0</v>
      </c>
      <c r="AD83" s="120">
        <v>0</v>
      </c>
      <c r="AE83" s="120">
        <v>0</v>
      </c>
      <c r="AF83" s="120">
        <v>0</v>
      </c>
      <c r="AG83" s="120">
        <v>0</v>
      </c>
      <c r="AH83" s="120">
        <v>0</v>
      </c>
      <c r="AI83" s="120">
        <v>0</v>
      </c>
      <c r="AJ83" s="120">
        <v>0</v>
      </c>
      <c r="AK83" s="120">
        <v>0</v>
      </c>
      <c r="AL83" s="120">
        <v>0</v>
      </c>
      <c r="AM83" s="120">
        <v>0</v>
      </c>
      <c r="AN83" s="120">
        <v>0</v>
      </c>
      <c r="AO83" s="120">
        <v>0</v>
      </c>
      <c r="AP83" s="120">
        <v>0</v>
      </c>
      <c r="AQ83" s="120">
        <v>0</v>
      </c>
      <c r="AR83" s="120">
        <v>0</v>
      </c>
      <c r="AS83" s="120">
        <v>0</v>
      </c>
      <c r="AT83" s="120">
        <v>0</v>
      </c>
      <c r="AU83" s="120">
        <v>0</v>
      </c>
      <c r="AV83" s="120">
        <v>0</v>
      </c>
      <c r="AW83" s="120">
        <v>0</v>
      </c>
      <c r="AX83" s="120">
        <v>0</v>
      </c>
      <c r="AY83" s="120">
        <v>0</v>
      </c>
      <c r="AZ83" s="120">
        <v>0</v>
      </c>
      <c r="BA83" s="120">
        <v>0</v>
      </c>
      <c r="BB83" s="120">
        <v>0</v>
      </c>
      <c r="BC83" s="120">
        <v>0</v>
      </c>
      <c r="BD83" s="120">
        <v>0</v>
      </c>
      <c r="BE83" s="120">
        <v>0</v>
      </c>
      <c r="BF83" s="120">
        <v>0</v>
      </c>
      <c r="BG83" s="120">
        <v>0.12</v>
      </c>
      <c r="BH83" s="60" t="s">
        <v>250</v>
      </c>
      <c r="BI83" s="59" t="s">
        <v>91</v>
      </c>
      <c r="BJ83" s="59" t="s">
        <v>1007</v>
      </c>
      <c r="BK83" s="98" t="s">
        <v>120</v>
      </c>
      <c r="BL83" s="60" t="s">
        <v>190</v>
      </c>
      <c r="BM83" s="11" t="s">
        <v>945</v>
      </c>
      <c r="BN83" s="13" t="s">
        <v>1025</v>
      </c>
      <c r="BO83" s="15" t="s">
        <v>1147</v>
      </c>
      <c r="BQ83" s="17"/>
    </row>
    <row r="84" spans="1:69" ht="46.5">
      <c r="A84" s="284"/>
      <c r="B84" s="289"/>
      <c r="C84" s="121" t="s">
        <v>99</v>
      </c>
      <c r="D84" s="4" t="s">
        <v>32</v>
      </c>
      <c r="E84" s="45">
        <f t="shared" si="19"/>
        <v>5.7</v>
      </c>
      <c r="F84" s="122"/>
      <c r="G84" s="5">
        <f t="shared" si="26"/>
        <v>5.7</v>
      </c>
      <c r="H84" s="62"/>
      <c r="I84" s="62"/>
      <c r="J84" s="62"/>
      <c r="K84" s="62"/>
      <c r="L84" s="62"/>
      <c r="M84" s="62"/>
      <c r="N84" s="62"/>
      <c r="O84" s="62"/>
      <c r="P84" s="62"/>
      <c r="Q84" s="62"/>
      <c r="R84" s="62"/>
      <c r="S84" s="62"/>
      <c r="T84" s="62"/>
      <c r="U84" s="6">
        <v>5.7</v>
      </c>
      <c r="V84" s="120">
        <v>5.7</v>
      </c>
      <c r="W84" s="120"/>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10" t="s">
        <v>251</v>
      </c>
      <c r="BI84" s="121" t="s">
        <v>99</v>
      </c>
      <c r="BJ84" s="13" t="s">
        <v>252</v>
      </c>
      <c r="BK84" s="98" t="s">
        <v>120</v>
      </c>
      <c r="BL84" s="60" t="s">
        <v>190</v>
      </c>
      <c r="BM84" s="11" t="s">
        <v>194</v>
      </c>
      <c r="BN84" s="13" t="s">
        <v>1025</v>
      </c>
      <c r="BO84" s="15" t="s">
        <v>1147</v>
      </c>
      <c r="BQ84" s="17"/>
    </row>
    <row r="85" spans="1:69" ht="46.5">
      <c r="A85" s="284"/>
      <c r="B85" s="289"/>
      <c r="C85" s="56" t="s">
        <v>130</v>
      </c>
      <c r="D85" s="4" t="s">
        <v>32</v>
      </c>
      <c r="E85" s="45">
        <f t="shared" si="19"/>
        <v>5.24</v>
      </c>
      <c r="F85" s="122"/>
      <c r="G85" s="5">
        <f t="shared" si="26"/>
        <v>5.24</v>
      </c>
      <c r="H85" s="120">
        <v>0</v>
      </c>
      <c r="I85" s="120">
        <v>0</v>
      </c>
      <c r="J85" s="120">
        <v>0</v>
      </c>
      <c r="K85" s="120">
        <v>0.4</v>
      </c>
      <c r="L85" s="120">
        <v>0</v>
      </c>
      <c r="M85" s="120">
        <v>0</v>
      </c>
      <c r="N85" s="120">
        <v>0</v>
      </c>
      <c r="O85" s="120">
        <v>0</v>
      </c>
      <c r="P85" s="120">
        <v>0</v>
      </c>
      <c r="Q85" s="120">
        <v>0</v>
      </c>
      <c r="R85" s="120">
        <v>0</v>
      </c>
      <c r="S85" s="120">
        <v>0</v>
      </c>
      <c r="T85" s="120">
        <v>0</v>
      </c>
      <c r="U85" s="120">
        <v>4.83</v>
      </c>
      <c r="V85" s="120">
        <v>3.03</v>
      </c>
      <c r="W85" s="120">
        <v>1.8</v>
      </c>
      <c r="X85" s="120">
        <v>0</v>
      </c>
      <c r="Y85" s="120">
        <v>0.01</v>
      </c>
      <c r="Z85" s="120">
        <v>0</v>
      </c>
      <c r="AA85" s="120">
        <v>0</v>
      </c>
      <c r="AB85" s="120">
        <v>0</v>
      </c>
      <c r="AC85" s="120">
        <v>0</v>
      </c>
      <c r="AD85" s="120">
        <v>0</v>
      </c>
      <c r="AE85" s="120">
        <v>0</v>
      </c>
      <c r="AF85" s="120">
        <v>0</v>
      </c>
      <c r="AG85" s="120">
        <v>0</v>
      </c>
      <c r="AH85" s="120">
        <v>0</v>
      </c>
      <c r="AI85" s="120">
        <v>0</v>
      </c>
      <c r="AJ85" s="120">
        <v>0</v>
      </c>
      <c r="AK85" s="120">
        <v>0</v>
      </c>
      <c r="AL85" s="120">
        <v>0</v>
      </c>
      <c r="AM85" s="120">
        <v>0</v>
      </c>
      <c r="AN85" s="120">
        <v>0</v>
      </c>
      <c r="AO85" s="120">
        <v>0</v>
      </c>
      <c r="AP85" s="120">
        <v>0</v>
      </c>
      <c r="AQ85" s="120">
        <v>0</v>
      </c>
      <c r="AR85" s="120">
        <v>0</v>
      </c>
      <c r="AS85" s="120">
        <v>0</v>
      </c>
      <c r="AT85" s="120">
        <v>0</v>
      </c>
      <c r="AU85" s="120">
        <v>0</v>
      </c>
      <c r="AV85" s="120">
        <v>0</v>
      </c>
      <c r="AW85" s="120">
        <v>0</v>
      </c>
      <c r="AX85" s="120">
        <v>0</v>
      </c>
      <c r="AY85" s="120">
        <v>0</v>
      </c>
      <c r="AZ85" s="120">
        <v>0</v>
      </c>
      <c r="BA85" s="120">
        <v>0</v>
      </c>
      <c r="BB85" s="120">
        <v>0</v>
      </c>
      <c r="BC85" s="120">
        <v>0</v>
      </c>
      <c r="BD85" s="120">
        <v>0</v>
      </c>
      <c r="BE85" s="120">
        <v>0</v>
      </c>
      <c r="BF85" s="120">
        <v>0</v>
      </c>
      <c r="BG85" s="120">
        <v>0</v>
      </c>
      <c r="BH85" s="60" t="s">
        <v>915</v>
      </c>
      <c r="BI85" s="56" t="s">
        <v>130</v>
      </c>
      <c r="BJ85" s="60" t="s">
        <v>991</v>
      </c>
      <c r="BK85" s="98" t="s">
        <v>120</v>
      </c>
      <c r="BL85" s="60" t="s">
        <v>190</v>
      </c>
      <c r="BM85" s="11" t="s">
        <v>935</v>
      </c>
      <c r="BN85" s="13" t="s">
        <v>1025</v>
      </c>
      <c r="BO85" s="15" t="s">
        <v>1147</v>
      </c>
      <c r="BQ85" s="17"/>
    </row>
    <row r="86" spans="1:69" ht="62.25">
      <c r="A86" s="284"/>
      <c r="B86" s="289"/>
      <c r="C86" s="101" t="s">
        <v>95</v>
      </c>
      <c r="D86" s="4" t="s">
        <v>32</v>
      </c>
      <c r="E86" s="45">
        <f t="shared" si="19"/>
        <v>0.9863999999999999</v>
      </c>
      <c r="F86" s="122"/>
      <c r="G86" s="5">
        <f t="shared" si="26"/>
        <v>0.9863999999999999</v>
      </c>
      <c r="H86" s="120">
        <v>0.1457</v>
      </c>
      <c r="I86" s="120">
        <v>0</v>
      </c>
      <c r="J86" s="120">
        <v>0</v>
      </c>
      <c r="K86" s="120">
        <v>0.8407</v>
      </c>
      <c r="L86" s="120">
        <v>0</v>
      </c>
      <c r="M86" s="120">
        <v>0</v>
      </c>
      <c r="N86" s="120">
        <v>0</v>
      </c>
      <c r="O86" s="120">
        <v>0</v>
      </c>
      <c r="P86" s="120">
        <v>0</v>
      </c>
      <c r="Q86" s="120">
        <v>0</v>
      </c>
      <c r="R86" s="120">
        <v>0</v>
      </c>
      <c r="S86" s="120">
        <v>0</v>
      </c>
      <c r="T86" s="120">
        <v>0</v>
      </c>
      <c r="U86" s="120">
        <v>0</v>
      </c>
      <c r="V86" s="120">
        <v>0</v>
      </c>
      <c r="W86" s="120">
        <v>0</v>
      </c>
      <c r="X86" s="120">
        <v>0</v>
      </c>
      <c r="Y86" s="120">
        <v>0</v>
      </c>
      <c r="Z86" s="120">
        <v>0</v>
      </c>
      <c r="AA86" s="120">
        <v>0</v>
      </c>
      <c r="AB86" s="120">
        <v>0</v>
      </c>
      <c r="AC86" s="120">
        <v>0</v>
      </c>
      <c r="AD86" s="120">
        <v>0</v>
      </c>
      <c r="AE86" s="120">
        <v>0</v>
      </c>
      <c r="AF86" s="120">
        <v>0</v>
      </c>
      <c r="AG86" s="120">
        <v>0</v>
      </c>
      <c r="AH86" s="120">
        <v>0</v>
      </c>
      <c r="AI86" s="120">
        <v>0</v>
      </c>
      <c r="AJ86" s="120">
        <v>0</v>
      </c>
      <c r="AK86" s="120">
        <v>0</v>
      </c>
      <c r="AL86" s="120">
        <v>0</v>
      </c>
      <c r="AM86" s="120">
        <v>0</v>
      </c>
      <c r="AN86" s="120">
        <v>0</v>
      </c>
      <c r="AO86" s="120">
        <v>0</v>
      </c>
      <c r="AP86" s="120">
        <v>0</v>
      </c>
      <c r="AQ86" s="120">
        <v>0</v>
      </c>
      <c r="AR86" s="120">
        <v>0</v>
      </c>
      <c r="AS86" s="120">
        <v>0</v>
      </c>
      <c r="AT86" s="120">
        <v>0</v>
      </c>
      <c r="AU86" s="120">
        <v>0</v>
      </c>
      <c r="AV86" s="120">
        <v>0</v>
      </c>
      <c r="AW86" s="120">
        <v>0</v>
      </c>
      <c r="AX86" s="120">
        <v>0</v>
      </c>
      <c r="AY86" s="120">
        <v>0</v>
      </c>
      <c r="AZ86" s="120">
        <v>0</v>
      </c>
      <c r="BA86" s="120">
        <v>0</v>
      </c>
      <c r="BB86" s="120">
        <v>0</v>
      </c>
      <c r="BC86" s="120">
        <v>0</v>
      </c>
      <c r="BD86" s="120">
        <v>0</v>
      </c>
      <c r="BE86" s="120">
        <v>0</v>
      </c>
      <c r="BF86" s="120">
        <v>0</v>
      </c>
      <c r="BG86" s="120">
        <v>0</v>
      </c>
      <c r="BH86" s="10" t="s">
        <v>253</v>
      </c>
      <c r="BI86" s="101" t="s">
        <v>95</v>
      </c>
      <c r="BJ86" s="55" t="s">
        <v>946</v>
      </c>
      <c r="BK86" s="98" t="s">
        <v>120</v>
      </c>
      <c r="BL86" s="60" t="s">
        <v>190</v>
      </c>
      <c r="BM86" s="11" t="s">
        <v>194</v>
      </c>
      <c r="BN86" s="13" t="s">
        <v>1025</v>
      </c>
      <c r="BO86" s="15" t="s">
        <v>1147</v>
      </c>
      <c r="BQ86" s="17"/>
    </row>
    <row r="87" spans="1:69" ht="46.5">
      <c r="A87" s="284"/>
      <c r="B87" s="289"/>
      <c r="C87" s="101" t="s">
        <v>145</v>
      </c>
      <c r="D87" s="4" t="s">
        <v>32</v>
      </c>
      <c r="E87" s="5">
        <f t="shared" si="19"/>
        <v>0.16</v>
      </c>
      <c r="F87" s="45"/>
      <c r="G87" s="5">
        <f t="shared" si="26"/>
        <v>0.16</v>
      </c>
      <c r="H87" s="49">
        <v>0.16</v>
      </c>
      <c r="I87" s="49"/>
      <c r="J87" s="49"/>
      <c r="K87" s="49"/>
      <c r="L87" s="49"/>
      <c r="M87" s="10"/>
      <c r="N87" s="49"/>
      <c r="O87" s="49"/>
      <c r="P87" s="49"/>
      <c r="Q87" s="49"/>
      <c r="R87" s="49"/>
      <c r="S87" s="49"/>
      <c r="T87" s="49"/>
      <c r="U87" s="80"/>
      <c r="V87" s="6"/>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60" t="s">
        <v>464</v>
      </c>
      <c r="BI87" s="101" t="s">
        <v>145</v>
      </c>
      <c r="BJ87" s="55" t="s">
        <v>947</v>
      </c>
      <c r="BK87" s="98" t="s">
        <v>120</v>
      </c>
      <c r="BL87" s="60" t="s">
        <v>190</v>
      </c>
      <c r="BM87" s="11" t="s">
        <v>194</v>
      </c>
      <c r="BN87" s="13" t="s">
        <v>1025</v>
      </c>
      <c r="BO87" s="15" t="s">
        <v>1147</v>
      </c>
      <c r="BQ87" s="17"/>
    </row>
    <row r="88" spans="1:69" ht="46.5">
      <c r="A88" s="284"/>
      <c r="B88" s="289"/>
      <c r="C88" s="14" t="s">
        <v>79</v>
      </c>
      <c r="D88" s="13" t="s">
        <v>32</v>
      </c>
      <c r="E88" s="5">
        <f t="shared" si="19"/>
        <v>0.07</v>
      </c>
      <c r="F88" s="45"/>
      <c r="G88" s="5">
        <f t="shared" si="26"/>
        <v>0.07</v>
      </c>
      <c r="H88" s="49">
        <v>0.07</v>
      </c>
      <c r="I88" s="49"/>
      <c r="J88" s="49"/>
      <c r="K88" s="49"/>
      <c r="L88" s="49"/>
      <c r="M88" s="10"/>
      <c r="N88" s="49"/>
      <c r="O88" s="49"/>
      <c r="P88" s="49"/>
      <c r="Q88" s="49"/>
      <c r="R88" s="49"/>
      <c r="S88" s="49"/>
      <c r="T88" s="49"/>
      <c r="U88" s="80">
        <v>0</v>
      </c>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11" t="s">
        <v>255</v>
      </c>
      <c r="BI88" s="14" t="s">
        <v>79</v>
      </c>
      <c r="BJ88" s="14" t="s">
        <v>256</v>
      </c>
      <c r="BK88" s="98" t="s">
        <v>120</v>
      </c>
      <c r="BL88" s="60" t="s">
        <v>190</v>
      </c>
      <c r="BM88" s="13" t="s">
        <v>194</v>
      </c>
      <c r="BN88" s="13" t="s">
        <v>1025</v>
      </c>
      <c r="BO88" s="15" t="s">
        <v>1147</v>
      </c>
      <c r="BQ88" s="17"/>
    </row>
    <row r="89" spans="1:69" ht="89.25" customHeight="1">
      <c r="A89" s="284"/>
      <c r="B89" s="289"/>
      <c r="C89" s="14" t="s">
        <v>147</v>
      </c>
      <c r="D89" s="13" t="s">
        <v>32</v>
      </c>
      <c r="E89" s="5">
        <f t="shared" si="19"/>
        <v>0.36000000000000004</v>
      </c>
      <c r="F89" s="45"/>
      <c r="G89" s="5">
        <f t="shared" si="26"/>
        <v>0.36000000000000004</v>
      </c>
      <c r="H89" s="120">
        <v>0</v>
      </c>
      <c r="I89" s="120">
        <v>0.14</v>
      </c>
      <c r="J89" s="120">
        <v>0</v>
      </c>
      <c r="K89" s="120">
        <v>0.15</v>
      </c>
      <c r="L89" s="120">
        <v>0.05</v>
      </c>
      <c r="M89" s="120">
        <v>0</v>
      </c>
      <c r="N89" s="120">
        <v>0</v>
      </c>
      <c r="O89" s="120">
        <v>0</v>
      </c>
      <c r="P89" s="120">
        <v>0</v>
      </c>
      <c r="Q89" s="120">
        <v>0</v>
      </c>
      <c r="R89" s="120">
        <v>0</v>
      </c>
      <c r="S89" s="120">
        <v>0</v>
      </c>
      <c r="T89" s="120">
        <v>0</v>
      </c>
      <c r="U89" s="120">
        <v>0</v>
      </c>
      <c r="V89" s="120">
        <v>0</v>
      </c>
      <c r="W89" s="120">
        <v>0</v>
      </c>
      <c r="X89" s="120">
        <v>0</v>
      </c>
      <c r="Y89" s="120">
        <v>0.02</v>
      </c>
      <c r="Z89" s="120">
        <v>0</v>
      </c>
      <c r="AA89" s="120">
        <v>0</v>
      </c>
      <c r="AB89" s="120">
        <v>0</v>
      </c>
      <c r="AC89" s="120">
        <v>0</v>
      </c>
      <c r="AD89" s="120">
        <v>0</v>
      </c>
      <c r="AE89" s="120">
        <v>0</v>
      </c>
      <c r="AF89" s="120">
        <v>0</v>
      </c>
      <c r="AG89" s="120">
        <v>0</v>
      </c>
      <c r="AH89" s="120">
        <v>0</v>
      </c>
      <c r="AI89" s="120">
        <v>0</v>
      </c>
      <c r="AJ89" s="120">
        <v>0</v>
      </c>
      <c r="AK89" s="120">
        <v>0</v>
      </c>
      <c r="AL89" s="120">
        <v>0</v>
      </c>
      <c r="AM89" s="120">
        <v>0</v>
      </c>
      <c r="AN89" s="120">
        <v>0</v>
      </c>
      <c r="AO89" s="120">
        <v>0</v>
      </c>
      <c r="AP89" s="120">
        <v>0</v>
      </c>
      <c r="AQ89" s="120">
        <v>0</v>
      </c>
      <c r="AR89" s="120">
        <v>0</v>
      </c>
      <c r="AS89" s="120">
        <v>0</v>
      </c>
      <c r="AT89" s="120">
        <v>0</v>
      </c>
      <c r="AU89" s="120">
        <v>0</v>
      </c>
      <c r="AV89" s="120">
        <v>0</v>
      </c>
      <c r="AW89" s="120">
        <v>0</v>
      </c>
      <c r="AX89" s="120">
        <v>0</v>
      </c>
      <c r="AY89" s="120">
        <v>0</v>
      </c>
      <c r="AZ89" s="120">
        <v>0</v>
      </c>
      <c r="BA89" s="120">
        <v>0</v>
      </c>
      <c r="BB89" s="120">
        <v>0</v>
      </c>
      <c r="BC89" s="120">
        <v>0</v>
      </c>
      <c r="BD89" s="120">
        <v>0</v>
      </c>
      <c r="BE89" s="120">
        <v>0</v>
      </c>
      <c r="BF89" s="120">
        <v>0</v>
      </c>
      <c r="BG89" s="120">
        <v>0</v>
      </c>
      <c r="BH89" s="10" t="s">
        <v>257</v>
      </c>
      <c r="BI89" s="14" t="s">
        <v>147</v>
      </c>
      <c r="BJ89" s="14" t="s">
        <v>258</v>
      </c>
      <c r="BK89" s="98" t="s">
        <v>120</v>
      </c>
      <c r="BL89" s="60" t="s">
        <v>190</v>
      </c>
      <c r="BM89" s="14" t="s">
        <v>194</v>
      </c>
      <c r="BN89" s="13" t="s">
        <v>1025</v>
      </c>
      <c r="BO89" s="15" t="s">
        <v>1147</v>
      </c>
      <c r="BQ89" s="17"/>
    </row>
    <row r="90" spans="1:69" ht="53.25" customHeight="1">
      <c r="A90" s="284"/>
      <c r="B90" s="289"/>
      <c r="C90" s="3" t="s">
        <v>154</v>
      </c>
      <c r="D90" s="13" t="s">
        <v>32</v>
      </c>
      <c r="E90" s="5">
        <f t="shared" si="19"/>
        <v>0.33999999999999997</v>
      </c>
      <c r="F90" s="45"/>
      <c r="G90" s="5">
        <f t="shared" si="26"/>
        <v>0.33999999999999997</v>
      </c>
      <c r="H90" s="120">
        <v>0</v>
      </c>
      <c r="I90" s="120">
        <v>0.19</v>
      </c>
      <c r="J90" s="120">
        <v>0</v>
      </c>
      <c r="K90" s="120">
        <v>0.15</v>
      </c>
      <c r="L90" s="120">
        <v>0</v>
      </c>
      <c r="M90" s="120">
        <v>0</v>
      </c>
      <c r="N90" s="120">
        <v>0</v>
      </c>
      <c r="O90" s="120">
        <v>0</v>
      </c>
      <c r="P90" s="120">
        <v>0</v>
      </c>
      <c r="Q90" s="120">
        <v>0</v>
      </c>
      <c r="R90" s="120">
        <v>0</v>
      </c>
      <c r="S90" s="120">
        <v>0</v>
      </c>
      <c r="T90" s="120">
        <v>0</v>
      </c>
      <c r="U90" s="120">
        <v>0</v>
      </c>
      <c r="V90" s="120">
        <v>0</v>
      </c>
      <c r="W90" s="120">
        <v>0</v>
      </c>
      <c r="X90" s="120">
        <v>0</v>
      </c>
      <c r="Y90" s="120">
        <v>0</v>
      </c>
      <c r="Z90" s="120">
        <v>0</v>
      </c>
      <c r="AA90" s="120">
        <v>0</v>
      </c>
      <c r="AB90" s="120">
        <v>0</v>
      </c>
      <c r="AC90" s="120">
        <v>0</v>
      </c>
      <c r="AD90" s="120">
        <v>0</v>
      </c>
      <c r="AE90" s="120">
        <v>0</v>
      </c>
      <c r="AF90" s="120">
        <v>0</v>
      </c>
      <c r="AG90" s="120">
        <v>0</v>
      </c>
      <c r="AH90" s="120">
        <v>0</v>
      </c>
      <c r="AI90" s="120">
        <v>0</v>
      </c>
      <c r="AJ90" s="120">
        <v>0</v>
      </c>
      <c r="AK90" s="120">
        <v>0</v>
      </c>
      <c r="AL90" s="120">
        <v>0</v>
      </c>
      <c r="AM90" s="120">
        <v>0</v>
      </c>
      <c r="AN90" s="120">
        <v>0</v>
      </c>
      <c r="AO90" s="120">
        <v>0</v>
      </c>
      <c r="AP90" s="120">
        <v>0</v>
      </c>
      <c r="AQ90" s="120">
        <v>0</v>
      </c>
      <c r="AR90" s="120">
        <v>0</v>
      </c>
      <c r="AS90" s="120">
        <v>0</v>
      </c>
      <c r="AT90" s="120">
        <v>0</v>
      </c>
      <c r="AU90" s="120">
        <v>0</v>
      </c>
      <c r="AV90" s="120">
        <v>0</v>
      </c>
      <c r="AW90" s="120">
        <v>0</v>
      </c>
      <c r="AX90" s="120">
        <v>0</v>
      </c>
      <c r="AY90" s="120">
        <v>0</v>
      </c>
      <c r="AZ90" s="120">
        <v>0</v>
      </c>
      <c r="BA90" s="120">
        <v>0</v>
      </c>
      <c r="BB90" s="120">
        <v>0</v>
      </c>
      <c r="BC90" s="120">
        <v>0</v>
      </c>
      <c r="BD90" s="120">
        <v>0</v>
      </c>
      <c r="BE90" s="120">
        <v>0</v>
      </c>
      <c r="BF90" s="120">
        <v>0</v>
      </c>
      <c r="BG90" s="120">
        <v>0</v>
      </c>
      <c r="BH90" s="60" t="s">
        <v>259</v>
      </c>
      <c r="BI90" s="3" t="s">
        <v>154</v>
      </c>
      <c r="BJ90" s="60" t="s">
        <v>948</v>
      </c>
      <c r="BK90" s="98" t="s">
        <v>120</v>
      </c>
      <c r="BL90" s="60" t="s">
        <v>190</v>
      </c>
      <c r="BM90" s="55" t="s">
        <v>194</v>
      </c>
      <c r="BN90" s="13" t="s">
        <v>1025</v>
      </c>
      <c r="BO90" s="15" t="s">
        <v>1147</v>
      </c>
      <c r="BQ90" s="17"/>
    </row>
    <row r="91" spans="1:69" ht="37.5" customHeight="1">
      <c r="A91" s="66" t="s">
        <v>265</v>
      </c>
      <c r="B91" s="34" t="s">
        <v>266</v>
      </c>
      <c r="C91" s="14"/>
      <c r="D91" s="36"/>
      <c r="E91" s="123">
        <f>SUM(E92)</f>
        <v>16.5</v>
      </c>
      <c r="F91" s="69">
        <f>SUM(F92)</f>
        <v>0</v>
      </c>
      <c r="G91" s="69">
        <f>SUM(G92)</f>
        <v>16.5</v>
      </c>
      <c r="H91" s="69">
        <f>SUM(H92)</f>
        <v>0</v>
      </c>
      <c r="I91" s="69">
        <f aca="true" t="shared" si="28" ref="I91:BG91">SUM(I92)</f>
        <v>0</v>
      </c>
      <c r="J91" s="69">
        <f t="shared" si="28"/>
        <v>0</v>
      </c>
      <c r="K91" s="69">
        <f t="shared" si="28"/>
        <v>0.45</v>
      </c>
      <c r="L91" s="69">
        <f t="shared" si="28"/>
        <v>0.35</v>
      </c>
      <c r="M91" s="69">
        <f t="shared" si="28"/>
        <v>0</v>
      </c>
      <c r="N91" s="69">
        <f t="shared" si="28"/>
        <v>0</v>
      </c>
      <c r="O91" s="69">
        <f t="shared" si="28"/>
        <v>0</v>
      </c>
      <c r="P91" s="69">
        <f t="shared" si="28"/>
        <v>0</v>
      </c>
      <c r="Q91" s="69">
        <f t="shared" si="28"/>
        <v>0</v>
      </c>
      <c r="R91" s="69">
        <f t="shared" si="28"/>
        <v>0</v>
      </c>
      <c r="S91" s="69">
        <f t="shared" si="28"/>
        <v>0</v>
      </c>
      <c r="T91" s="69">
        <f t="shared" si="28"/>
        <v>0</v>
      </c>
      <c r="U91" s="69">
        <f t="shared" si="28"/>
        <v>0</v>
      </c>
      <c r="V91" s="69">
        <f t="shared" si="28"/>
        <v>0</v>
      </c>
      <c r="W91" s="69">
        <f t="shared" si="28"/>
        <v>0</v>
      </c>
      <c r="X91" s="69">
        <f t="shared" si="28"/>
        <v>0</v>
      </c>
      <c r="Y91" s="69">
        <f t="shared" si="28"/>
        <v>0</v>
      </c>
      <c r="Z91" s="69">
        <f t="shared" si="28"/>
        <v>0</v>
      </c>
      <c r="AA91" s="69">
        <f t="shared" si="28"/>
        <v>0</v>
      </c>
      <c r="AB91" s="69">
        <f t="shared" si="28"/>
        <v>0</v>
      </c>
      <c r="AC91" s="69">
        <f t="shared" si="28"/>
        <v>0</v>
      </c>
      <c r="AD91" s="69">
        <f t="shared" si="28"/>
        <v>0</v>
      </c>
      <c r="AE91" s="69">
        <f t="shared" si="28"/>
        <v>0</v>
      </c>
      <c r="AF91" s="69">
        <f t="shared" si="28"/>
        <v>0</v>
      </c>
      <c r="AG91" s="69">
        <f t="shared" si="28"/>
        <v>0</v>
      </c>
      <c r="AH91" s="69">
        <f t="shared" si="28"/>
        <v>0</v>
      </c>
      <c r="AI91" s="69">
        <f t="shared" si="28"/>
        <v>0</v>
      </c>
      <c r="AJ91" s="69">
        <f t="shared" si="28"/>
        <v>0</v>
      </c>
      <c r="AK91" s="69">
        <f t="shared" si="28"/>
        <v>0</v>
      </c>
      <c r="AL91" s="69">
        <f t="shared" si="28"/>
        <v>0</v>
      </c>
      <c r="AM91" s="69">
        <f t="shared" si="28"/>
        <v>0</v>
      </c>
      <c r="AN91" s="69">
        <f t="shared" si="28"/>
        <v>0</v>
      </c>
      <c r="AO91" s="69">
        <f t="shared" si="28"/>
        <v>0</v>
      </c>
      <c r="AP91" s="69">
        <f t="shared" si="28"/>
        <v>0</v>
      </c>
      <c r="AQ91" s="69">
        <f t="shared" si="28"/>
        <v>0</v>
      </c>
      <c r="AR91" s="69">
        <f t="shared" si="28"/>
        <v>0</v>
      </c>
      <c r="AS91" s="69">
        <f t="shared" si="28"/>
        <v>0</v>
      </c>
      <c r="AT91" s="69">
        <f t="shared" si="28"/>
        <v>0</v>
      </c>
      <c r="AU91" s="69">
        <f t="shared" si="28"/>
        <v>0</v>
      </c>
      <c r="AV91" s="69">
        <f t="shared" si="28"/>
        <v>0</v>
      </c>
      <c r="AW91" s="69">
        <f t="shared" si="28"/>
        <v>0</v>
      </c>
      <c r="AX91" s="69">
        <f t="shared" si="28"/>
        <v>0</v>
      </c>
      <c r="AY91" s="69">
        <f t="shared" si="28"/>
        <v>0</v>
      </c>
      <c r="AZ91" s="69">
        <f t="shared" si="28"/>
        <v>0</v>
      </c>
      <c r="BA91" s="69">
        <f t="shared" si="28"/>
        <v>0</v>
      </c>
      <c r="BB91" s="69">
        <f t="shared" si="28"/>
        <v>0</v>
      </c>
      <c r="BC91" s="69">
        <f t="shared" si="28"/>
        <v>0</v>
      </c>
      <c r="BD91" s="69">
        <f t="shared" si="28"/>
        <v>0</v>
      </c>
      <c r="BE91" s="69">
        <f t="shared" si="28"/>
        <v>0</v>
      </c>
      <c r="BF91" s="69">
        <f t="shared" si="28"/>
        <v>0</v>
      </c>
      <c r="BG91" s="69">
        <f t="shared" si="28"/>
        <v>15.7</v>
      </c>
      <c r="BH91" s="10"/>
      <c r="BI91" s="14"/>
      <c r="BJ91" s="14"/>
      <c r="BK91" s="12"/>
      <c r="BL91" s="13"/>
      <c r="BM91" s="13"/>
      <c r="BN91" s="13"/>
      <c r="BO91" s="15"/>
      <c r="BQ91" s="17"/>
    </row>
    <row r="92" spans="1:69" ht="54" customHeight="1">
      <c r="A92" s="1">
        <f>A77+1</f>
        <v>46</v>
      </c>
      <c r="B92" s="2" t="s">
        <v>267</v>
      </c>
      <c r="C92" s="3" t="s">
        <v>82</v>
      </c>
      <c r="D92" s="4" t="s">
        <v>33</v>
      </c>
      <c r="E92" s="5">
        <f>F92+G92</f>
        <v>16.5</v>
      </c>
      <c r="F92" s="5"/>
      <c r="G92" s="5">
        <f>SUM(H92:M92,Q92,U92,Y92:BG92)</f>
        <v>16.5</v>
      </c>
      <c r="H92" s="6"/>
      <c r="I92" s="7"/>
      <c r="J92" s="7"/>
      <c r="K92" s="8">
        <v>0.45</v>
      </c>
      <c r="L92" s="9">
        <v>0.35</v>
      </c>
      <c r="M92" s="10">
        <f>SUM(N92:P92)</f>
        <v>0</v>
      </c>
      <c r="N92" s="6"/>
      <c r="O92" s="6"/>
      <c r="P92" s="6"/>
      <c r="Q92" s="6">
        <f>R92+S92+T92</f>
        <v>0</v>
      </c>
      <c r="R92" s="6"/>
      <c r="S92" s="6"/>
      <c r="T92" s="6"/>
      <c r="U92" s="6">
        <f>SUM(V92:X92)</f>
        <v>0</v>
      </c>
      <c r="V92" s="9"/>
      <c r="W92" s="9"/>
      <c r="X92" s="9"/>
      <c r="Y92" s="10"/>
      <c r="Z92" s="10"/>
      <c r="AA92" s="10"/>
      <c r="AB92" s="10"/>
      <c r="AC92" s="10"/>
      <c r="AD92" s="10"/>
      <c r="AE92" s="10"/>
      <c r="AF92" s="9"/>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8">
        <v>15.7</v>
      </c>
      <c r="BH92" s="11" t="s">
        <v>268</v>
      </c>
      <c r="BI92" s="3" t="s">
        <v>82</v>
      </c>
      <c r="BJ92" s="11" t="s">
        <v>269</v>
      </c>
      <c r="BK92" s="12" t="s">
        <v>68</v>
      </c>
      <c r="BL92" s="13" t="s">
        <v>270</v>
      </c>
      <c r="BM92" s="14" t="s">
        <v>935</v>
      </c>
      <c r="BN92" s="13" t="s">
        <v>1025</v>
      </c>
      <c r="BO92" s="15" t="s">
        <v>1147</v>
      </c>
      <c r="BQ92" s="17"/>
    </row>
    <row r="93" spans="1:69" ht="34.5" customHeight="1">
      <c r="A93" s="66" t="s">
        <v>271</v>
      </c>
      <c r="B93" s="34" t="s">
        <v>272</v>
      </c>
      <c r="C93" s="101"/>
      <c r="D93" s="36"/>
      <c r="E93" s="81">
        <f>SUM(F93:G93)</f>
        <v>64.35999999999999</v>
      </c>
      <c r="F93" s="38">
        <f>SUM(F94:F110)</f>
        <v>1</v>
      </c>
      <c r="G93" s="38">
        <f>SUM(G94:G112)</f>
        <v>63.359999999999985</v>
      </c>
      <c r="H93" s="38">
        <f>SUM(H94:H112)</f>
        <v>0.15</v>
      </c>
      <c r="I93" s="38">
        <f aca="true" t="shared" si="29" ref="I93:BG93">SUM(I94:I112)</f>
        <v>0</v>
      </c>
      <c r="J93" s="38">
        <f t="shared" si="29"/>
        <v>0</v>
      </c>
      <c r="K93" s="38">
        <f t="shared" si="29"/>
        <v>0.08</v>
      </c>
      <c r="L93" s="38">
        <f t="shared" si="29"/>
        <v>0.7</v>
      </c>
      <c r="M93" s="38">
        <f t="shared" si="29"/>
        <v>0</v>
      </c>
      <c r="N93" s="38">
        <f t="shared" si="29"/>
        <v>0</v>
      </c>
      <c r="O93" s="38">
        <f t="shared" si="29"/>
        <v>0</v>
      </c>
      <c r="P93" s="38">
        <f t="shared" si="29"/>
        <v>0</v>
      </c>
      <c r="Q93" s="38">
        <f t="shared" si="29"/>
        <v>0</v>
      </c>
      <c r="R93" s="38">
        <f t="shared" si="29"/>
        <v>0</v>
      </c>
      <c r="S93" s="38">
        <f t="shared" si="29"/>
        <v>0</v>
      </c>
      <c r="T93" s="38">
        <f t="shared" si="29"/>
        <v>0</v>
      </c>
      <c r="U93" s="38">
        <f t="shared" si="29"/>
        <v>39.88999999999999</v>
      </c>
      <c r="V93" s="38">
        <f t="shared" si="29"/>
        <v>30.119999999999997</v>
      </c>
      <c r="W93" s="38">
        <f t="shared" si="29"/>
        <v>8.57</v>
      </c>
      <c r="X93" s="38">
        <f t="shared" si="29"/>
        <v>1.2</v>
      </c>
      <c r="Y93" s="38">
        <f t="shared" si="29"/>
        <v>0</v>
      </c>
      <c r="Z93" s="38">
        <f t="shared" si="29"/>
        <v>0</v>
      </c>
      <c r="AA93" s="38">
        <f t="shared" si="29"/>
        <v>0</v>
      </c>
      <c r="AB93" s="38">
        <f t="shared" si="29"/>
        <v>0</v>
      </c>
      <c r="AC93" s="38">
        <f t="shared" si="29"/>
        <v>0</v>
      </c>
      <c r="AD93" s="38">
        <f t="shared" si="29"/>
        <v>0</v>
      </c>
      <c r="AE93" s="38">
        <f t="shared" si="29"/>
        <v>0</v>
      </c>
      <c r="AF93" s="38">
        <f t="shared" si="29"/>
        <v>0.06999999999999999</v>
      </c>
      <c r="AG93" s="38">
        <f t="shared" si="29"/>
        <v>0</v>
      </c>
      <c r="AH93" s="38">
        <f t="shared" si="29"/>
        <v>0</v>
      </c>
      <c r="AI93" s="38">
        <f t="shared" si="29"/>
        <v>0</v>
      </c>
      <c r="AJ93" s="38">
        <f t="shared" si="29"/>
        <v>0</v>
      </c>
      <c r="AK93" s="38">
        <f t="shared" si="29"/>
        <v>0</v>
      </c>
      <c r="AL93" s="38">
        <f t="shared" si="29"/>
        <v>0</v>
      </c>
      <c r="AM93" s="38">
        <f t="shared" si="29"/>
        <v>0</v>
      </c>
      <c r="AN93" s="38">
        <f t="shared" si="29"/>
        <v>0</v>
      </c>
      <c r="AO93" s="38">
        <f t="shared" si="29"/>
        <v>0</v>
      </c>
      <c r="AP93" s="38">
        <f t="shared" si="29"/>
        <v>0</v>
      </c>
      <c r="AQ93" s="38">
        <f t="shared" si="29"/>
        <v>0</v>
      </c>
      <c r="AR93" s="38">
        <f t="shared" si="29"/>
        <v>0</v>
      </c>
      <c r="AS93" s="38">
        <f t="shared" si="29"/>
        <v>0</v>
      </c>
      <c r="AT93" s="38">
        <f t="shared" si="29"/>
        <v>0</v>
      </c>
      <c r="AU93" s="38">
        <f t="shared" si="29"/>
        <v>0</v>
      </c>
      <c r="AV93" s="38">
        <f t="shared" si="29"/>
        <v>0</v>
      </c>
      <c r="AW93" s="38">
        <f t="shared" si="29"/>
        <v>0</v>
      </c>
      <c r="AX93" s="38">
        <f t="shared" si="29"/>
        <v>0</v>
      </c>
      <c r="AY93" s="38">
        <f t="shared" si="29"/>
        <v>0</v>
      </c>
      <c r="AZ93" s="38">
        <f t="shared" si="29"/>
        <v>0</v>
      </c>
      <c r="BA93" s="38">
        <f t="shared" si="29"/>
        <v>0</v>
      </c>
      <c r="BB93" s="38">
        <f t="shared" si="29"/>
        <v>0</v>
      </c>
      <c r="BC93" s="38">
        <f t="shared" si="29"/>
        <v>0</v>
      </c>
      <c r="BD93" s="38">
        <f t="shared" si="29"/>
        <v>3.7699999999999996</v>
      </c>
      <c r="BE93" s="38">
        <f t="shared" si="29"/>
        <v>0</v>
      </c>
      <c r="BF93" s="38">
        <f t="shared" si="29"/>
        <v>0</v>
      </c>
      <c r="BG93" s="38">
        <f t="shared" si="29"/>
        <v>18.7</v>
      </c>
      <c r="BH93" s="10"/>
      <c r="BI93" s="101"/>
      <c r="BJ93" s="55"/>
      <c r="BK93" s="91"/>
      <c r="BL93" s="13"/>
      <c r="BM93" s="55"/>
      <c r="BN93" s="13"/>
      <c r="BO93" s="15"/>
      <c r="BQ93" s="17"/>
    </row>
    <row r="94" spans="1:67" s="16" customFormat="1" ht="46.5">
      <c r="A94" s="124">
        <f>A92+1</f>
        <v>47</v>
      </c>
      <c r="B94" s="15" t="s">
        <v>1003</v>
      </c>
      <c r="C94" s="13" t="s">
        <v>273</v>
      </c>
      <c r="D94" s="13" t="s">
        <v>53</v>
      </c>
      <c r="E94" s="125">
        <f aca="true" t="shared" si="30" ref="E94:E133">F94+G94</f>
        <v>1.25</v>
      </c>
      <c r="F94" s="125"/>
      <c r="G94" s="125">
        <f aca="true" t="shared" si="31" ref="G94:G111">SUM(H94:M94,Q94,U94,Y94:BG94)</f>
        <v>1.25</v>
      </c>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v>1.25</v>
      </c>
      <c r="BE94" s="13"/>
      <c r="BF94" s="13"/>
      <c r="BG94" s="13"/>
      <c r="BH94" s="60" t="s">
        <v>871</v>
      </c>
      <c r="BI94" s="13" t="s">
        <v>273</v>
      </c>
      <c r="BJ94" s="13" t="s">
        <v>274</v>
      </c>
      <c r="BK94" s="13" t="s">
        <v>120</v>
      </c>
      <c r="BL94" s="13" t="s">
        <v>275</v>
      </c>
      <c r="BM94" s="14" t="s">
        <v>935</v>
      </c>
      <c r="BN94" s="13" t="s">
        <v>1025</v>
      </c>
      <c r="BO94" s="15" t="s">
        <v>1147</v>
      </c>
    </row>
    <row r="95" spans="1:69" ht="57.75" customHeight="1">
      <c r="A95" s="1">
        <f aca="true" t="shared" si="32" ref="A95:A102">A94+1</f>
        <v>48</v>
      </c>
      <c r="B95" s="15" t="s">
        <v>276</v>
      </c>
      <c r="C95" s="13" t="s">
        <v>134</v>
      </c>
      <c r="D95" s="13" t="s">
        <v>53</v>
      </c>
      <c r="E95" s="125">
        <f t="shared" si="30"/>
        <v>5</v>
      </c>
      <c r="F95" s="125"/>
      <c r="G95" s="125">
        <f t="shared" si="31"/>
        <v>5</v>
      </c>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26">
        <v>5</v>
      </c>
      <c r="BH95" s="13" t="s">
        <v>277</v>
      </c>
      <c r="BI95" s="13" t="s">
        <v>134</v>
      </c>
      <c r="BJ95" s="13" t="s">
        <v>278</v>
      </c>
      <c r="BK95" s="13" t="s">
        <v>120</v>
      </c>
      <c r="BL95" s="13" t="s">
        <v>279</v>
      </c>
      <c r="BM95" s="14" t="s">
        <v>935</v>
      </c>
      <c r="BN95" s="13" t="s">
        <v>1025</v>
      </c>
      <c r="BO95" s="15" t="s">
        <v>1147</v>
      </c>
      <c r="BP95" s="16" t="s">
        <v>1028</v>
      </c>
      <c r="BQ95" s="17"/>
    </row>
    <row r="96" spans="1:67" s="16" customFormat="1" ht="38.25" customHeight="1">
      <c r="A96" s="1">
        <f t="shared" si="32"/>
        <v>49</v>
      </c>
      <c r="B96" s="15" t="s">
        <v>280</v>
      </c>
      <c r="C96" s="13" t="s">
        <v>138</v>
      </c>
      <c r="D96" s="13" t="s">
        <v>53</v>
      </c>
      <c r="E96" s="125">
        <f t="shared" si="30"/>
        <v>1</v>
      </c>
      <c r="F96" s="125"/>
      <c r="G96" s="125">
        <f t="shared" si="31"/>
        <v>1</v>
      </c>
      <c r="H96" s="13">
        <v>0.12</v>
      </c>
      <c r="I96" s="13"/>
      <c r="J96" s="13"/>
      <c r="K96" s="13">
        <v>0.02</v>
      </c>
      <c r="L96" s="46"/>
      <c r="M96" s="46">
        <f>SUM(N96:P96)</f>
        <v>0</v>
      </c>
      <c r="N96" s="46"/>
      <c r="O96" s="46"/>
      <c r="P96" s="46"/>
      <c r="Q96" s="46"/>
      <c r="R96" s="46"/>
      <c r="S96" s="46"/>
      <c r="T96" s="46"/>
      <c r="U96" s="46">
        <f>SUM(V96:X96)</f>
        <v>0.85</v>
      </c>
      <c r="V96" s="46">
        <v>0.85</v>
      </c>
      <c r="W96" s="13"/>
      <c r="X96" s="13"/>
      <c r="Y96" s="13"/>
      <c r="Z96" s="13"/>
      <c r="AA96" s="13"/>
      <c r="AB96" s="13"/>
      <c r="AC96" s="13"/>
      <c r="AD96" s="13"/>
      <c r="AE96" s="13"/>
      <c r="AF96" s="13">
        <v>0.01</v>
      </c>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t="s">
        <v>281</v>
      </c>
      <c r="BI96" s="13" t="s">
        <v>138</v>
      </c>
      <c r="BJ96" s="13" t="s">
        <v>282</v>
      </c>
      <c r="BK96" s="13" t="s">
        <v>120</v>
      </c>
      <c r="BL96" s="13" t="s">
        <v>275</v>
      </c>
      <c r="BM96" s="14" t="s">
        <v>935</v>
      </c>
      <c r="BN96" s="13" t="s">
        <v>1025</v>
      </c>
      <c r="BO96" s="15" t="s">
        <v>1147</v>
      </c>
    </row>
    <row r="97" spans="1:69" ht="36" customHeight="1">
      <c r="A97" s="1">
        <f t="shared" si="32"/>
        <v>50</v>
      </c>
      <c r="B97" s="47" t="s">
        <v>283</v>
      </c>
      <c r="C97" s="14" t="s">
        <v>79</v>
      </c>
      <c r="D97" s="13" t="s">
        <v>53</v>
      </c>
      <c r="E97" s="45">
        <f t="shared" si="30"/>
        <v>4</v>
      </c>
      <c r="F97" s="73"/>
      <c r="G97" s="5">
        <f t="shared" si="31"/>
        <v>4</v>
      </c>
      <c r="H97" s="46"/>
      <c r="I97" s="46"/>
      <c r="J97" s="46"/>
      <c r="K97" s="46"/>
      <c r="L97" s="46"/>
      <c r="M97" s="46">
        <f>SUM(N97:P97)</f>
        <v>0</v>
      </c>
      <c r="N97" s="46"/>
      <c r="O97" s="46"/>
      <c r="P97" s="46"/>
      <c r="Q97" s="46"/>
      <c r="R97" s="46"/>
      <c r="S97" s="46"/>
      <c r="T97" s="46"/>
      <c r="U97" s="46">
        <f>SUM(V97:X97)</f>
        <v>4</v>
      </c>
      <c r="V97" s="46">
        <v>1.3</v>
      </c>
      <c r="W97" s="46">
        <v>1.5</v>
      </c>
      <c r="X97" s="46">
        <v>1.2</v>
      </c>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60" t="s">
        <v>284</v>
      </c>
      <c r="BI97" s="14" t="s">
        <v>79</v>
      </c>
      <c r="BJ97" s="14" t="s">
        <v>285</v>
      </c>
      <c r="BK97" s="13" t="s">
        <v>120</v>
      </c>
      <c r="BL97" s="13" t="s">
        <v>275</v>
      </c>
      <c r="BM97" s="14" t="s">
        <v>935</v>
      </c>
      <c r="BN97" s="13" t="s">
        <v>1025</v>
      </c>
      <c r="BO97" s="15" t="s">
        <v>1147</v>
      </c>
      <c r="BQ97" s="17"/>
    </row>
    <row r="98" spans="1:69" ht="36" customHeight="1">
      <c r="A98" s="1">
        <f t="shared" si="32"/>
        <v>51</v>
      </c>
      <c r="B98" s="2" t="s">
        <v>286</v>
      </c>
      <c r="C98" s="3" t="s">
        <v>82</v>
      </c>
      <c r="D98" s="13" t="s">
        <v>53</v>
      </c>
      <c r="E98" s="45">
        <f t="shared" si="30"/>
        <v>4</v>
      </c>
      <c r="F98" s="5"/>
      <c r="G98" s="5">
        <f t="shared" si="31"/>
        <v>4</v>
      </c>
      <c r="H98" s="46"/>
      <c r="I98" s="46"/>
      <c r="J98" s="46"/>
      <c r="K98" s="46"/>
      <c r="L98" s="46"/>
      <c r="M98" s="46">
        <f>SUM(N98:P98)</f>
        <v>0</v>
      </c>
      <c r="N98" s="46"/>
      <c r="O98" s="46"/>
      <c r="P98" s="46"/>
      <c r="Q98" s="46">
        <f>R98+S98+T98</f>
        <v>0</v>
      </c>
      <c r="R98" s="46"/>
      <c r="S98" s="46"/>
      <c r="T98" s="46"/>
      <c r="U98" s="46">
        <f>SUM(V98:X98)</f>
        <v>0</v>
      </c>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v>4</v>
      </c>
      <c r="BH98" s="56" t="s">
        <v>916</v>
      </c>
      <c r="BI98" s="3" t="s">
        <v>82</v>
      </c>
      <c r="BJ98" s="60" t="s">
        <v>287</v>
      </c>
      <c r="BK98" s="12" t="s">
        <v>374</v>
      </c>
      <c r="BL98" s="13" t="s">
        <v>275</v>
      </c>
      <c r="BM98" s="14" t="s">
        <v>935</v>
      </c>
      <c r="BN98" s="13" t="s">
        <v>1025</v>
      </c>
      <c r="BO98" s="15" t="s">
        <v>1147</v>
      </c>
      <c r="BQ98" s="17"/>
    </row>
    <row r="99" spans="1:69" ht="36" customHeight="1">
      <c r="A99" s="1">
        <f t="shared" si="32"/>
        <v>52</v>
      </c>
      <c r="B99" s="47" t="s">
        <v>288</v>
      </c>
      <c r="C99" s="14" t="s">
        <v>130</v>
      </c>
      <c r="D99" s="13" t="s">
        <v>53</v>
      </c>
      <c r="E99" s="45">
        <f t="shared" si="30"/>
        <v>9.4</v>
      </c>
      <c r="F99" s="73"/>
      <c r="G99" s="5">
        <f t="shared" si="31"/>
        <v>9.4</v>
      </c>
      <c r="H99" s="46"/>
      <c r="I99" s="46"/>
      <c r="J99" s="46"/>
      <c r="K99" s="46"/>
      <c r="L99" s="46"/>
      <c r="M99" s="46">
        <f>SUM(N99:P99)</f>
        <v>0</v>
      </c>
      <c r="N99" s="46"/>
      <c r="O99" s="46"/>
      <c r="P99" s="46"/>
      <c r="Q99" s="46"/>
      <c r="R99" s="46"/>
      <c r="S99" s="46"/>
      <c r="T99" s="46"/>
      <c r="U99" s="46">
        <f>SUM(V99:X99)</f>
        <v>5</v>
      </c>
      <c r="V99" s="46">
        <v>5</v>
      </c>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v>4.4</v>
      </c>
      <c r="BH99" s="60" t="s">
        <v>262</v>
      </c>
      <c r="BI99" s="14" t="s">
        <v>130</v>
      </c>
      <c r="BJ99" s="55" t="s">
        <v>289</v>
      </c>
      <c r="BK99" s="13" t="s">
        <v>120</v>
      </c>
      <c r="BL99" s="13" t="s">
        <v>275</v>
      </c>
      <c r="BM99" s="14" t="s">
        <v>935</v>
      </c>
      <c r="BN99" s="13" t="s">
        <v>1025</v>
      </c>
      <c r="BO99" s="15" t="s">
        <v>1147</v>
      </c>
      <c r="BQ99" s="17"/>
    </row>
    <row r="100" spans="1:69" ht="49.5" customHeight="1">
      <c r="A100" s="1">
        <f t="shared" si="32"/>
        <v>53</v>
      </c>
      <c r="B100" s="47" t="s">
        <v>290</v>
      </c>
      <c r="C100" s="14" t="s">
        <v>95</v>
      </c>
      <c r="D100" s="13" t="s">
        <v>53</v>
      </c>
      <c r="E100" s="45">
        <f t="shared" si="30"/>
        <v>2.51</v>
      </c>
      <c r="F100" s="73"/>
      <c r="G100" s="5">
        <f t="shared" si="31"/>
        <v>2.51</v>
      </c>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v>2.51</v>
      </c>
      <c r="BE100" s="46"/>
      <c r="BF100" s="46"/>
      <c r="BG100" s="46"/>
      <c r="BH100" s="60" t="s">
        <v>291</v>
      </c>
      <c r="BI100" s="14" t="s">
        <v>95</v>
      </c>
      <c r="BJ100" s="55" t="s">
        <v>292</v>
      </c>
      <c r="BK100" s="13" t="s">
        <v>120</v>
      </c>
      <c r="BL100" s="13" t="s">
        <v>1019</v>
      </c>
      <c r="BM100" s="14" t="s">
        <v>194</v>
      </c>
      <c r="BN100" s="13" t="s">
        <v>1025</v>
      </c>
      <c r="BO100" s="15" t="s">
        <v>1147</v>
      </c>
      <c r="BQ100" s="17"/>
    </row>
    <row r="101" spans="1:69" ht="49.5" customHeight="1">
      <c r="A101" s="1">
        <f t="shared" si="32"/>
        <v>54</v>
      </c>
      <c r="B101" s="127" t="s">
        <v>293</v>
      </c>
      <c r="C101" s="14" t="s">
        <v>147</v>
      </c>
      <c r="D101" s="13" t="s">
        <v>53</v>
      </c>
      <c r="E101" s="45">
        <f t="shared" si="30"/>
        <v>7</v>
      </c>
      <c r="F101" s="122">
        <v>1</v>
      </c>
      <c r="G101" s="5">
        <f t="shared" si="31"/>
        <v>6</v>
      </c>
      <c r="H101" s="80"/>
      <c r="I101" s="80"/>
      <c r="J101" s="80"/>
      <c r="K101" s="80"/>
      <c r="L101" s="80">
        <v>0.7</v>
      </c>
      <c r="M101" s="80">
        <f>SUM(N101:P101)</f>
        <v>0</v>
      </c>
      <c r="N101" s="80"/>
      <c r="O101" s="80"/>
      <c r="P101" s="80"/>
      <c r="Q101" s="80"/>
      <c r="R101" s="80"/>
      <c r="S101" s="80"/>
      <c r="T101" s="80"/>
      <c r="U101" s="80">
        <f aca="true" t="shared" si="33" ref="U101:U112">SUM(V101:X101)</f>
        <v>0</v>
      </c>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v>5.3</v>
      </c>
      <c r="BH101" s="10" t="s">
        <v>232</v>
      </c>
      <c r="BI101" s="14" t="s">
        <v>147</v>
      </c>
      <c r="BJ101" s="14" t="s">
        <v>294</v>
      </c>
      <c r="BK101" s="82" t="s">
        <v>68</v>
      </c>
      <c r="BL101" s="13" t="s">
        <v>279</v>
      </c>
      <c r="BM101" s="14" t="s">
        <v>935</v>
      </c>
      <c r="BN101" s="13" t="s">
        <v>1025</v>
      </c>
      <c r="BO101" s="15" t="s">
        <v>1147</v>
      </c>
      <c r="BQ101" s="17"/>
    </row>
    <row r="102" spans="1:69" ht="51" customHeight="1">
      <c r="A102" s="305">
        <f t="shared" si="32"/>
        <v>55</v>
      </c>
      <c r="B102" s="288" t="s">
        <v>295</v>
      </c>
      <c r="C102" s="14" t="s">
        <v>65</v>
      </c>
      <c r="D102" s="13" t="s">
        <v>53</v>
      </c>
      <c r="E102" s="45">
        <f t="shared" si="30"/>
        <v>1</v>
      </c>
      <c r="F102" s="122"/>
      <c r="G102" s="5">
        <f t="shared" si="31"/>
        <v>1</v>
      </c>
      <c r="H102" s="80"/>
      <c r="I102" s="80"/>
      <c r="J102" s="80"/>
      <c r="K102" s="80"/>
      <c r="L102" s="80"/>
      <c r="M102" s="80"/>
      <c r="N102" s="80"/>
      <c r="O102" s="80"/>
      <c r="P102" s="80"/>
      <c r="Q102" s="80"/>
      <c r="R102" s="80"/>
      <c r="S102" s="80"/>
      <c r="T102" s="80"/>
      <c r="U102" s="80">
        <f t="shared" si="33"/>
        <v>1</v>
      </c>
      <c r="V102" s="80">
        <v>1</v>
      </c>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10" t="s">
        <v>296</v>
      </c>
      <c r="BI102" s="14" t="s">
        <v>65</v>
      </c>
      <c r="BJ102" s="14" t="s">
        <v>297</v>
      </c>
      <c r="BK102" s="82" t="s">
        <v>374</v>
      </c>
      <c r="BL102" s="13" t="s">
        <v>923</v>
      </c>
      <c r="BM102" s="14" t="s">
        <v>194</v>
      </c>
      <c r="BN102" s="13" t="s">
        <v>1025</v>
      </c>
      <c r="BO102" s="15" t="s">
        <v>1147</v>
      </c>
      <c r="BQ102" s="17"/>
    </row>
    <row r="103" spans="1:67" ht="46.5">
      <c r="A103" s="305"/>
      <c r="B103" s="288"/>
      <c r="C103" s="13" t="s">
        <v>138</v>
      </c>
      <c r="D103" s="13" t="s">
        <v>53</v>
      </c>
      <c r="E103" s="45">
        <f t="shared" si="30"/>
        <v>8.27</v>
      </c>
      <c r="F103" s="122"/>
      <c r="G103" s="5">
        <f t="shared" si="31"/>
        <v>8.27</v>
      </c>
      <c r="H103" s="80">
        <v>0.03</v>
      </c>
      <c r="I103" s="80">
        <v>0</v>
      </c>
      <c r="J103" s="80">
        <v>0</v>
      </c>
      <c r="K103" s="80">
        <v>0.06</v>
      </c>
      <c r="L103" s="80">
        <v>0</v>
      </c>
      <c r="M103" s="80">
        <v>0</v>
      </c>
      <c r="N103" s="80">
        <v>0</v>
      </c>
      <c r="O103" s="80">
        <v>0</v>
      </c>
      <c r="P103" s="80">
        <v>0</v>
      </c>
      <c r="Q103" s="80">
        <v>0</v>
      </c>
      <c r="R103" s="80">
        <v>0</v>
      </c>
      <c r="S103" s="80">
        <v>0</v>
      </c>
      <c r="T103" s="80">
        <v>0</v>
      </c>
      <c r="U103" s="80">
        <f>+SUM(V103:X103)</f>
        <v>8.11</v>
      </c>
      <c r="V103" s="80">
        <v>8.11</v>
      </c>
      <c r="W103" s="80">
        <v>0</v>
      </c>
      <c r="X103" s="80">
        <v>0</v>
      </c>
      <c r="Y103" s="80">
        <v>0</v>
      </c>
      <c r="Z103" s="80">
        <v>0</v>
      </c>
      <c r="AA103" s="80">
        <v>0</v>
      </c>
      <c r="AB103" s="80">
        <v>0</v>
      </c>
      <c r="AC103" s="80">
        <v>0</v>
      </c>
      <c r="AD103" s="80">
        <v>0</v>
      </c>
      <c r="AE103" s="80">
        <v>0</v>
      </c>
      <c r="AF103" s="80">
        <v>0.06</v>
      </c>
      <c r="AG103" s="80">
        <v>0</v>
      </c>
      <c r="AH103" s="80">
        <v>0</v>
      </c>
      <c r="AI103" s="80">
        <v>0</v>
      </c>
      <c r="AJ103" s="80">
        <v>0</v>
      </c>
      <c r="AK103" s="80">
        <v>0</v>
      </c>
      <c r="AL103" s="80">
        <v>0</v>
      </c>
      <c r="AM103" s="80">
        <v>0</v>
      </c>
      <c r="AN103" s="80">
        <v>0</v>
      </c>
      <c r="AO103" s="80">
        <v>0</v>
      </c>
      <c r="AP103" s="80">
        <v>0</v>
      </c>
      <c r="AQ103" s="80">
        <v>0</v>
      </c>
      <c r="AR103" s="80">
        <v>0</v>
      </c>
      <c r="AS103" s="80">
        <v>0</v>
      </c>
      <c r="AT103" s="80">
        <v>0</v>
      </c>
      <c r="AU103" s="80">
        <v>0</v>
      </c>
      <c r="AV103" s="80">
        <v>0</v>
      </c>
      <c r="AW103" s="80">
        <v>0</v>
      </c>
      <c r="AX103" s="80">
        <v>0</v>
      </c>
      <c r="AY103" s="80">
        <v>0</v>
      </c>
      <c r="AZ103" s="80">
        <v>0</v>
      </c>
      <c r="BA103" s="80">
        <v>0</v>
      </c>
      <c r="BB103" s="80">
        <v>0</v>
      </c>
      <c r="BC103" s="80">
        <v>0</v>
      </c>
      <c r="BD103" s="80">
        <v>0.01</v>
      </c>
      <c r="BE103" s="80">
        <v>0</v>
      </c>
      <c r="BF103" s="80">
        <v>0</v>
      </c>
      <c r="BG103" s="80">
        <v>0</v>
      </c>
      <c r="BH103" s="13" t="s">
        <v>298</v>
      </c>
      <c r="BI103" s="13" t="s">
        <v>138</v>
      </c>
      <c r="BJ103" s="13" t="s">
        <v>1089</v>
      </c>
      <c r="BK103" s="12" t="s">
        <v>68</v>
      </c>
      <c r="BL103" s="13" t="s">
        <v>279</v>
      </c>
      <c r="BM103" s="14" t="s">
        <v>935</v>
      </c>
      <c r="BN103" s="13" t="s">
        <v>1025</v>
      </c>
      <c r="BO103" s="15" t="s">
        <v>1147</v>
      </c>
    </row>
    <row r="104" spans="1:69" ht="35.25" customHeight="1">
      <c r="A104" s="305"/>
      <c r="B104" s="288"/>
      <c r="C104" s="14" t="s">
        <v>91</v>
      </c>
      <c r="D104" s="13" t="s">
        <v>53</v>
      </c>
      <c r="E104" s="45">
        <f t="shared" si="30"/>
        <v>2</v>
      </c>
      <c r="F104" s="73"/>
      <c r="G104" s="5">
        <f t="shared" si="31"/>
        <v>2</v>
      </c>
      <c r="H104" s="8"/>
      <c r="I104" s="74"/>
      <c r="J104" s="74"/>
      <c r="K104" s="10"/>
      <c r="L104" s="8"/>
      <c r="M104" s="46"/>
      <c r="N104" s="78"/>
      <c r="O104" s="78"/>
      <c r="P104" s="78"/>
      <c r="Q104" s="46"/>
      <c r="R104" s="10"/>
      <c r="S104" s="10"/>
      <c r="T104" s="10"/>
      <c r="U104" s="46">
        <f t="shared" si="33"/>
        <v>2</v>
      </c>
      <c r="V104" s="8">
        <v>2</v>
      </c>
      <c r="W104" s="8"/>
      <c r="X104" s="8"/>
      <c r="Y104" s="10"/>
      <c r="Z104" s="10"/>
      <c r="AA104" s="10"/>
      <c r="AB104" s="10"/>
      <c r="AC104" s="10"/>
      <c r="AD104" s="10"/>
      <c r="AE104" s="10"/>
      <c r="AF104" s="10"/>
      <c r="AG104" s="10"/>
      <c r="AH104" s="10"/>
      <c r="AI104" s="10"/>
      <c r="AJ104" s="10"/>
      <c r="AK104" s="74"/>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60" t="s">
        <v>299</v>
      </c>
      <c r="BI104" s="14" t="s">
        <v>91</v>
      </c>
      <c r="BJ104" s="14" t="s">
        <v>300</v>
      </c>
      <c r="BK104" s="12" t="s">
        <v>374</v>
      </c>
      <c r="BL104" s="13" t="s">
        <v>190</v>
      </c>
      <c r="BM104" s="14" t="s">
        <v>935</v>
      </c>
      <c r="BN104" s="13" t="s">
        <v>1025</v>
      </c>
      <c r="BO104" s="15" t="s">
        <v>1147</v>
      </c>
      <c r="BQ104" s="17"/>
    </row>
    <row r="105" spans="1:69" ht="44.25" customHeight="1">
      <c r="A105" s="305"/>
      <c r="B105" s="288"/>
      <c r="C105" s="14" t="s">
        <v>95</v>
      </c>
      <c r="D105" s="13" t="s">
        <v>53</v>
      </c>
      <c r="E105" s="45">
        <f t="shared" si="30"/>
        <v>2.5799999999999996</v>
      </c>
      <c r="F105" s="73"/>
      <c r="G105" s="5">
        <f t="shared" si="31"/>
        <v>2.5799999999999996</v>
      </c>
      <c r="H105" s="46"/>
      <c r="I105" s="46"/>
      <c r="J105" s="46"/>
      <c r="K105" s="46"/>
      <c r="L105" s="46"/>
      <c r="M105" s="46">
        <f>SUM(N105:P105)</f>
        <v>0</v>
      </c>
      <c r="N105" s="46"/>
      <c r="O105" s="46"/>
      <c r="P105" s="46"/>
      <c r="Q105" s="46"/>
      <c r="R105" s="46"/>
      <c r="S105" s="46"/>
      <c r="T105" s="46"/>
      <c r="U105" s="46">
        <f t="shared" si="33"/>
        <v>2.5799999999999996</v>
      </c>
      <c r="V105" s="46">
        <f>2.78-0.2</f>
        <v>2.5799999999999996</v>
      </c>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60" t="s">
        <v>301</v>
      </c>
      <c r="BI105" s="14" t="s">
        <v>95</v>
      </c>
      <c r="BJ105" s="14" t="s">
        <v>302</v>
      </c>
      <c r="BK105" s="12" t="s">
        <v>374</v>
      </c>
      <c r="BL105" s="13" t="s">
        <v>279</v>
      </c>
      <c r="BM105" s="14" t="s">
        <v>935</v>
      </c>
      <c r="BN105" s="13" t="s">
        <v>1025</v>
      </c>
      <c r="BO105" s="15" t="s">
        <v>1147</v>
      </c>
      <c r="BQ105" s="17"/>
    </row>
    <row r="106" spans="1:69" ht="57.75" customHeight="1">
      <c r="A106" s="305"/>
      <c r="B106" s="288"/>
      <c r="C106" s="77" t="s">
        <v>134</v>
      </c>
      <c r="D106" s="13" t="s">
        <v>53</v>
      </c>
      <c r="E106" s="45">
        <f t="shared" si="30"/>
        <v>0.5</v>
      </c>
      <c r="F106" s="73"/>
      <c r="G106" s="5">
        <f t="shared" si="31"/>
        <v>0.5</v>
      </c>
      <c r="H106" s="46"/>
      <c r="I106" s="46"/>
      <c r="J106" s="46"/>
      <c r="K106" s="46"/>
      <c r="L106" s="46"/>
      <c r="M106" s="46"/>
      <c r="N106" s="46"/>
      <c r="O106" s="46"/>
      <c r="P106" s="46"/>
      <c r="Q106" s="46"/>
      <c r="R106" s="46"/>
      <c r="S106" s="46"/>
      <c r="T106" s="46"/>
      <c r="U106" s="46">
        <f t="shared" si="33"/>
        <v>0.5</v>
      </c>
      <c r="V106" s="46">
        <v>0.5</v>
      </c>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10" t="s">
        <v>243</v>
      </c>
      <c r="BI106" s="77" t="s">
        <v>134</v>
      </c>
      <c r="BJ106" s="14" t="s">
        <v>303</v>
      </c>
      <c r="BK106" s="12" t="s">
        <v>374</v>
      </c>
      <c r="BL106" s="13" t="s">
        <v>304</v>
      </c>
      <c r="BM106" s="14" t="s">
        <v>935</v>
      </c>
      <c r="BN106" s="13" t="s">
        <v>1025</v>
      </c>
      <c r="BO106" s="15" t="s">
        <v>1147</v>
      </c>
      <c r="BP106" s="16" t="s">
        <v>1028</v>
      </c>
      <c r="BQ106" s="17"/>
    </row>
    <row r="107" spans="1:69" ht="42.75" customHeight="1">
      <c r="A107" s="305"/>
      <c r="B107" s="288"/>
      <c r="C107" s="3" t="s">
        <v>82</v>
      </c>
      <c r="D107" s="13" t="s">
        <v>53</v>
      </c>
      <c r="E107" s="45">
        <f t="shared" si="30"/>
        <v>1.8</v>
      </c>
      <c r="F107" s="5"/>
      <c r="G107" s="5">
        <f t="shared" si="31"/>
        <v>1.8</v>
      </c>
      <c r="H107" s="46"/>
      <c r="I107" s="46"/>
      <c r="J107" s="46"/>
      <c r="K107" s="46"/>
      <c r="L107" s="46"/>
      <c r="M107" s="46"/>
      <c r="N107" s="46"/>
      <c r="O107" s="46"/>
      <c r="P107" s="46"/>
      <c r="Q107" s="46"/>
      <c r="R107" s="46"/>
      <c r="S107" s="46"/>
      <c r="T107" s="46"/>
      <c r="U107" s="46">
        <f t="shared" si="33"/>
        <v>1.8</v>
      </c>
      <c r="V107" s="46">
        <f>2-0.2</f>
        <v>1.8</v>
      </c>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56" t="s">
        <v>917</v>
      </c>
      <c r="BI107" s="3" t="s">
        <v>82</v>
      </c>
      <c r="BJ107" s="60" t="s">
        <v>305</v>
      </c>
      <c r="BK107" s="98" t="s">
        <v>68</v>
      </c>
      <c r="BL107" s="13" t="s">
        <v>190</v>
      </c>
      <c r="BM107" s="14" t="s">
        <v>935</v>
      </c>
      <c r="BN107" s="13" t="s">
        <v>1025</v>
      </c>
      <c r="BO107" s="15" t="s">
        <v>1147</v>
      </c>
      <c r="BQ107" s="17"/>
    </row>
    <row r="108" spans="1:69" ht="72.75" customHeight="1">
      <c r="A108" s="305"/>
      <c r="B108" s="288"/>
      <c r="C108" s="14" t="s">
        <v>122</v>
      </c>
      <c r="D108" s="13" t="s">
        <v>53</v>
      </c>
      <c r="E108" s="45">
        <f t="shared" si="30"/>
        <v>8.79</v>
      </c>
      <c r="F108" s="45"/>
      <c r="G108" s="5">
        <f t="shared" si="31"/>
        <v>8.79</v>
      </c>
      <c r="H108" s="46">
        <v>0</v>
      </c>
      <c r="I108" s="46">
        <v>0</v>
      </c>
      <c r="J108" s="46">
        <v>0</v>
      </c>
      <c r="K108" s="46">
        <v>0</v>
      </c>
      <c r="L108" s="46">
        <v>0</v>
      </c>
      <c r="M108" s="46">
        <v>0</v>
      </c>
      <c r="N108" s="46">
        <v>0</v>
      </c>
      <c r="O108" s="46">
        <v>0</v>
      </c>
      <c r="P108" s="46">
        <v>0</v>
      </c>
      <c r="Q108" s="46">
        <v>0</v>
      </c>
      <c r="R108" s="46">
        <v>0</v>
      </c>
      <c r="S108" s="46">
        <v>0</v>
      </c>
      <c r="T108" s="46">
        <v>0</v>
      </c>
      <c r="U108" s="46">
        <v>8.79</v>
      </c>
      <c r="V108" s="46">
        <v>1.72</v>
      </c>
      <c r="W108" s="46">
        <v>7.07</v>
      </c>
      <c r="X108" s="46">
        <v>0</v>
      </c>
      <c r="Y108" s="46">
        <v>0</v>
      </c>
      <c r="Z108" s="46">
        <v>0</v>
      </c>
      <c r="AA108" s="46">
        <v>0</v>
      </c>
      <c r="AB108" s="46">
        <v>0</v>
      </c>
      <c r="AC108" s="46">
        <v>0</v>
      </c>
      <c r="AD108" s="46">
        <v>0</v>
      </c>
      <c r="AE108" s="46">
        <v>0</v>
      </c>
      <c r="AF108" s="46">
        <v>0</v>
      </c>
      <c r="AG108" s="46">
        <v>0</v>
      </c>
      <c r="AH108" s="46">
        <v>0</v>
      </c>
      <c r="AI108" s="46">
        <v>0</v>
      </c>
      <c r="AJ108" s="46">
        <v>0</v>
      </c>
      <c r="AK108" s="46">
        <v>0</v>
      </c>
      <c r="AL108" s="46">
        <v>0</v>
      </c>
      <c r="AM108" s="46">
        <v>0</v>
      </c>
      <c r="AN108" s="46">
        <v>0</v>
      </c>
      <c r="AO108" s="46">
        <v>0</v>
      </c>
      <c r="AP108" s="46">
        <v>0</v>
      </c>
      <c r="AQ108" s="46">
        <v>0</v>
      </c>
      <c r="AR108" s="46">
        <v>0</v>
      </c>
      <c r="AS108" s="46">
        <v>0</v>
      </c>
      <c r="AT108" s="46">
        <v>0</v>
      </c>
      <c r="AU108" s="46">
        <v>0</v>
      </c>
      <c r="AV108" s="46">
        <v>0</v>
      </c>
      <c r="AW108" s="46">
        <v>0</v>
      </c>
      <c r="AX108" s="46">
        <v>0</v>
      </c>
      <c r="AY108" s="46">
        <v>0</v>
      </c>
      <c r="AZ108" s="46">
        <v>0</v>
      </c>
      <c r="BA108" s="46">
        <v>0</v>
      </c>
      <c r="BB108" s="46">
        <v>0</v>
      </c>
      <c r="BC108" s="46">
        <v>0</v>
      </c>
      <c r="BD108" s="46">
        <v>0</v>
      </c>
      <c r="BE108" s="46">
        <v>0</v>
      </c>
      <c r="BF108" s="46">
        <v>0</v>
      </c>
      <c r="BG108" s="46">
        <v>0</v>
      </c>
      <c r="BH108" s="10" t="s">
        <v>306</v>
      </c>
      <c r="BI108" s="14" t="s">
        <v>122</v>
      </c>
      <c r="BJ108" s="13" t="s">
        <v>307</v>
      </c>
      <c r="BK108" s="12" t="s">
        <v>120</v>
      </c>
      <c r="BL108" s="13" t="s">
        <v>279</v>
      </c>
      <c r="BM108" s="14" t="s">
        <v>935</v>
      </c>
      <c r="BN108" s="13" t="s">
        <v>1025</v>
      </c>
      <c r="BO108" s="15" t="s">
        <v>1147</v>
      </c>
      <c r="BQ108" s="17"/>
    </row>
    <row r="109" spans="1:69" ht="45.75" customHeight="1">
      <c r="A109" s="305"/>
      <c r="B109" s="288"/>
      <c r="C109" s="14" t="s">
        <v>79</v>
      </c>
      <c r="D109" s="13" t="s">
        <v>53</v>
      </c>
      <c r="E109" s="45">
        <f t="shared" si="30"/>
        <v>2</v>
      </c>
      <c r="F109" s="73"/>
      <c r="G109" s="5">
        <f t="shared" si="31"/>
        <v>2</v>
      </c>
      <c r="H109" s="46"/>
      <c r="I109" s="46"/>
      <c r="J109" s="46"/>
      <c r="K109" s="46"/>
      <c r="L109" s="46"/>
      <c r="M109" s="46"/>
      <c r="N109" s="46"/>
      <c r="O109" s="46"/>
      <c r="P109" s="46"/>
      <c r="Q109" s="46"/>
      <c r="R109" s="46"/>
      <c r="S109" s="46"/>
      <c r="T109" s="46"/>
      <c r="U109" s="46">
        <f t="shared" si="33"/>
        <v>2</v>
      </c>
      <c r="V109" s="46">
        <v>2</v>
      </c>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60" t="s">
        <v>255</v>
      </c>
      <c r="BI109" s="14" t="s">
        <v>79</v>
      </c>
      <c r="BJ109" s="14" t="s">
        <v>308</v>
      </c>
      <c r="BK109" s="98" t="s">
        <v>374</v>
      </c>
      <c r="BL109" s="13" t="s">
        <v>190</v>
      </c>
      <c r="BM109" s="14" t="s">
        <v>935</v>
      </c>
      <c r="BN109" s="13" t="s">
        <v>1025</v>
      </c>
      <c r="BO109" s="15" t="s">
        <v>1147</v>
      </c>
      <c r="BQ109" s="17"/>
    </row>
    <row r="110" spans="1:69" ht="44.25" customHeight="1">
      <c r="A110" s="305">
        <f>A102</f>
        <v>55</v>
      </c>
      <c r="B110" s="288" t="s">
        <v>295</v>
      </c>
      <c r="C110" s="13" t="s">
        <v>145</v>
      </c>
      <c r="D110" s="13" t="s">
        <v>53</v>
      </c>
      <c r="E110" s="45">
        <f t="shared" si="30"/>
        <v>1</v>
      </c>
      <c r="F110" s="73"/>
      <c r="G110" s="5">
        <f t="shared" si="31"/>
        <v>1</v>
      </c>
      <c r="H110" s="46"/>
      <c r="I110" s="46"/>
      <c r="J110" s="46"/>
      <c r="K110" s="46"/>
      <c r="L110" s="46"/>
      <c r="M110" s="46"/>
      <c r="N110" s="46"/>
      <c r="O110" s="46"/>
      <c r="P110" s="46"/>
      <c r="Q110" s="46"/>
      <c r="R110" s="46"/>
      <c r="S110" s="46"/>
      <c r="T110" s="46"/>
      <c r="U110" s="46">
        <f t="shared" si="33"/>
        <v>1</v>
      </c>
      <c r="V110" s="46">
        <v>1</v>
      </c>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10" t="s">
        <v>992</v>
      </c>
      <c r="BI110" s="13" t="s">
        <v>145</v>
      </c>
      <c r="BJ110" s="14" t="s">
        <v>309</v>
      </c>
      <c r="BK110" s="98" t="s">
        <v>374</v>
      </c>
      <c r="BL110" s="13" t="s">
        <v>190</v>
      </c>
      <c r="BM110" s="14" t="s">
        <v>935</v>
      </c>
      <c r="BN110" s="13" t="s">
        <v>1025</v>
      </c>
      <c r="BO110" s="15" t="s">
        <v>1147</v>
      </c>
      <c r="BQ110" s="17"/>
    </row>
    <row r="111" spans="1:69" ht="41.25" customHeight="1">
      <c r="A111" s="305"/>
      <c r="B111" s="288"/>
      <c r="C111" s="13" t="s">
        <v>106</v>
      </c>
      <c r="D111" s="13" t="s">
        <v>53</v>
      </c>
      <c r="E111" s="45">
        <f t="shared" si="30"/>
        <v>1</v>
      </c>
      <c r="F111" s="73"/>
      <c r="G111" s="5">
        <f t="shared" si="31"/>
        <v>1</v>
      </c>
      <c r="H111" s="46"/>
      <c r="I111" s="46"/>
      <c r="J111" s="46"/>
      <c r="K111" s="46"/>
      <c r="L111" s="46"/>
      <c r="M111" s="46"/>
      <c r="N111" s="46"/>
      <c r="O111" s="46"/>
      <c r="P111" s="46"/>
      <c r="Q111" s="46"/>
      <c r="R111" s="46"/>
      <c r="S111" s="46"/>
      <c r="T111" s="46"/>
      <c r="U111" s="46">
        <f t="shared" si="33"/>
        <v>1</v>
      </c>
      <c r="V111" s="46">
        <v>1</v>
      </c>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10" t="s">
        <v>918</v>
      </c>
      <c r="BI111" s="13" t="s">
        <v>106</v>
      </c>
      <c r="BJ111" s="14" t="s">
        <v>310</v>
      </c>
      <c r="BK111" s="98" t="s">
        <v>374</v>
      </c>
      <c r="BL111" s="13" t="s">
        <v>190</v>
      </c>
      <c r="BM111" s="11" t="s">
        <v>935</v>
      </c>
      <c r="BN111" s="13" t="s">
        <v>1025</v>
      </c>
      <c r="BO111" s="15" t="s">
        <v>1147</v>
      </c>
      <c r="BQ111" s="17"/>
    </row>
    <row r="112" spans="1:69" ht="45" customHeight="1">
      <c r="A112" s="305"/>
      <c r="B112" s="288"/>
      <c r="C112" s="101" t="s">
        <v>150</v>
      </c>
      <c r="D112" s="13" t="s">
        <v>53</v>
      </c>
      <c r="E112" s="45">
        <f t="shared" si="30"/>
        <v>1.26</v>
      </c>
      <c r="F112" s="73"/>
      <c r="G112" s="88">
        <f>SUM(H112:BG112)-M112-Q112-U112</f>
        <v>1.26</v>
      </c>
      <c r="H112" s="49"/>
      <c r="I112" s="49"/>
      <c r="J112" s="49"/>
      <c r="K112" s="49"/>
      <c r="L112" s="49"/>
      <c r="M112" s="10"/>
      <c r="N112" s="49"/>
      <c r="O112" s="49"/>
      <c r="P112" s="49"/>
      <c r="Q112" s="49"/>
      <c r="R112" s="49"/>
      <c r="S112" s="49"/>
      <c r="T112" s="49"/>
      <c r="U112" s="6">
        <f t="shared" si="33"/>
        <v>1.26</v>
      </c>
      <c r="V112" s="49">
        <f>1.5-0.24</f>
        <v>1.26</v>
      </c>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10" t="s">
        <v>311</v>
      </c>
      <c r="BI112" s="101" t="s">
        <v>150</v>
      </c>
      <c r="BJ112" s="60" t="s">
        <v>312</v>
      </c>
      <c r="BK112" s="98" t="s">
        <v>374</v>
      </c>
      <c r="BL112" s="13" t="s">
        <v>190</v>
      </c>
      <c r="BM112" s="11" t="s">
        <v>194</v>
      </c>
      <c r="BN112" s="13" t="s">
        <v>1025</v>
      </c>
      <c r="BO112" s="15" t="s">
        <v>1147</v>
      </c>
      <c r="BQ112" s="17"/>
    </row>
    <row r="113" spans="1:69" ht="30" customHeight="1">
      <c r="A113" s="66" t="s">
        <v>313</v>
      </c>
      <c r="B113" s="85" t="s">
        <v>213</v>
      </c>
      <c r="C113" s="46"/>
      <c r="D113" s="36"/>
      <c r="E113" s="69">
        <f t="shared" si="30"/>
        <v>423.5180000000001</v>
      </c>
      <c r="F113" s="69">
        <f aca="true" t="shared" si="34" ref="F113:AK113">F114+F118+F120+F134+F147</f>
        <v>21.71</v>
      </c>
      <c r="G113" s="69">
        <f t="shared" si="34"/>
        <v>391.0880000000001</v>
      </c>
      <c r="H113" s="69">
        <f t="shared" si="34"/>
        <v>77.56</v>
      </c>
      <c r="I113" s="69">
        <f t="shared" si="34"/>
        <v>19.9</v>
      </c>
      <c r="J113" s="69">
        <f t="shared" si="34"/>
        <v>0</v>
      </c>
      <c r="K113" s="69">
        <f t="shared" si="34"/>
        <v>37</v>
      </c>
      <c r="L113" s="69">
        <f t="shared" si="34"/>
        <v>34.452</v>
      </c>
      <c r="M113" s="69">
        <f t="shared" si="34"/>
        <v>18</v>
      </c>
      <c r="N113" s="69">
        <f t="shared" si="34"/>
        <v>0</v>
      </c>
      <c r="O113" s="69">
        <f t="shared" si="34"/>
        <v>18</v>
      </c>
      <c r="P113" s="69">
        <f t="shared" si="34"/>
        <v>0</v>
      </c>
      <c r="Q113" s="69">
        <f t="shared" si="34"/>
        <v>0</v>
      </c>
      <c r="R113" s="69">
        <f t="shared" si="34"/>
        <v>0</v>
      </c>
      <c r="S113" s="69">
        <f t="shared" si="34"/>
        <v>0</v>
      </c>
      <c r="T113" s="69">
        <f t="shared" si="34"/>
        <v>0</v>
      </c>
      <c r="U113" s="69">
        <f t="shared" si="34"/>
        <v>177.82000000000002</v>
      </c>
      <c r="V113" s="69">
        <f t="shared" si="34"/>
        <v>125.46000000000001</v>
      </c>
      <c r="W113" s="69">
        <f t="shared" si="34"/>
        <v>51.940000000000005</v>
      </c>
      <c r="X113" s="69">
        <f t="shared" si="34"/>
        <v>0.42</v>
      </c>
      <c r="Y113" s="69">
        <f t="shared" si="34"/>
        <v>2.75</v>
      </c>
      <c r="Z113" s="69">
        <f t="shared" si="34"/>
        <v>0</v>
      </c>
      <c r="AA113" s="69">
        <f t="shared" si="34"/>
        <v>0.04</v>
      </c>
      <c r="AB113" s="69">
        <f t="shared" si="34"/>
        <v>0</v>
      </c>
      <c r="AC113" s="69">
        <f t="shared" si="34"/>
        <v>0</v>
      </c>
      <c r="AD113" s="69">
        <f t="shared" si="34"/>
        <v>0.08</v>
      </c>
      <c r="AE113" s="69">
        <f t="shared" si="34"/>
        <v>0</v>
      </c>
      <c r="AF113" s="69">
        <f t="shared" si="34"/>
        <v>0.16999999999999998</v>
      </c>
      <c r="AG113" s="69">
        <f t="shared" si="34"/>
        <v>0.9700000000000001</v>
      </c>
      <c r="AH113" s="69">
        <f t="shared" si="34"/>
        <v>0</v>
      </c>
      <c r="AI113" s="69">
        <f t="shared" si="34"/>
        <v>0.02</v>
      </c>
      <c r="AJ113" s="69">
        <f t="shared" si="34"/>
        <v>0.02</v>
      </c>
      <c r="AK113" s="69">
        <f t="shared" si="34"/>
        <v>0</v>
      </c>
      <c r="AL113" s="69">
        <f aca="true" t="shared" si="35" ref="AL113:BG113">AL114+AL118+AL120+AL134+AL147</f>
        <v>0.21000000000000002</v>
      </c>
      <c r="AM113" s="69">
        <f t="shared" si="35"/>
        <v>0.09</v>
      </c>
      <c r="AN113" s="69">
        <f t="shared" si="35"/>
        <v>0</v>
      </c>
      <c r="AO113" s="69">
        <f t="shared" si="35"/>
        <v>0</v>
      </c>
      <c r="AP113" s="69">
        <f t="shared" si="35"/>
        <v>0</v>
      </c>
      <c r="AQ113" s="69">
        <f t="shared" si="35"/>
        <v>0</v>
      </c>
      <c r="AR113" s="69">
        <f t="shared" si="35"/>
        <v>0</v>
      </c>
      <c r="AS113" s="69">
        <f t="shared" si="35"/>
        <v>0</v>
      </c>
      <c r="AT113" s="69">
        <f t="shared" si="35"/>
        <v>6.58</v>
      </c>
      <c r="AU113" s="69">
        <f t="shared" si="35"/>
        <v>0.55</v>
      </c>
      <c r="AV113" s="69">
        <f t="shared" si="35"/>
        <v>0</v>
      </c>
      <c r="AW113" s="69">
        <f t="shared" si="35"/>
        <v>0</v>
      </c>
      <c r="AX113" s="69">
        <f t="shared" si="35"/>
        <v>0.59</v>
      </c>
      <c r="AY113" s="69">
        <f t="shared" si="35"/>
        <v>0</v>
      </c>
      <c r="AZ113" s="69">
        <f t="shared" si="35"/>
        <v>0</v>
      </c>
      <c r="BA113" s="69">
        <f t="shared" si="35"/>
        <v>0</v>
      </c>
      <c r="BB113" s="69">
        <f t="shared" si="35"/>
        <v>0</v>
      </c>
      <c r="BC113" s="69">
        <f t="shared" si="35"/>
        <v>0.09</v>
      </c>
      <c r="BD113" s="69">
        <f t="shared" si="35"/>
        <v>10.721</v>
      </c>
      <c r="BE113" s="69">
        <f t="shared" si="35"/>
        <v>0</v>
      </c>
      <c r="BF113" s="69">
        <f t="shared" si="35"/>
        <v>0</v>
      </c>
      <c r="BG113" s="69">
        <f t="shared" si="35"/>
        <v>3.475</v>
      </c>
      <c r="BH113" s="46"/>
      <c r="BI113" s="46"/>
      <c r="BJ113" s="46"/>
      <c r="BK113" s="46"/>
      <c r="BL113" s="46"/>
      <c r="BM113" s="46"/>
      <c r="BN113" s="13"/>
      <c r="BO113" s="15"/>
      <c r="BQ113" s="17"/>
    </row>
    <row r="114" spans="1:71" s="131" customFormat="1" ht="37.5" customHeight="1">
      <c r="A114" s="128" t="s">
        <v>314</v>
      </c>
      <c r="B114" s="129" t="s">
        <v>315</v>
      </c>
      <c r="C114" s="68"/>
      <c r="D114" s="36"/>
      <c r="E114" s="69">
        <f t="shared" si="30"/>
        <v>257.68999999999994</v>
      </c>
      <c r="F114" s="69">
        <f aca="true" t="shared" si="36" ref="F114:AK114">SUM(F115:F117)</f>
        <v>0</v>
      </c>
      <c r="G114" s="69">
        <f t="shared" si="36"/>
        <v>257.68999999999994</v>
      </c>
      <c r="H114" s="69">
        <f>SUM(H115:H117)</f>
        <v>39.53</v>
      </c>
      <c r="I114" s="69">
        <f t="shared" si="36"/>
        <v>9.73</v>
      </c>
      <c r="J114" s="69">
        <f t="shared" si="36"/>
        <v>0</v>
      </c>
      <c r="K114" s="69">
        <f t="shared" si="36"/>
        <v>18.15</v>
      </c>
      <c r="L114" s="69">
        <f t="shared" si="36"/>
        <v>52.06</v>
      </c>
      <c r="M114" s="69">
        <f t="shared" si="36"/>
        <v>18</v>
      </c>
      <c r="N114" s="69">
        <f t="shared" si="36"/>
        <v>0</v>
      </c>
      <c r="O114" s="69">
        <f t="shared" si="36"/>
        <v>18</v>
      </c>
      <c r="P114" s="69">
        <f t="shared" si="36"/>
        <v>0</v>
      </c>
      <c r="Q114" s="69">
        <f t="shared" si="36"/>
        <v>0</v>
      </c>
      <c r="R114" s="69">
        <f t="shared" si="36"/>
        <v>0</v>
      </c>
      <c r="S114" s="69">
        <f t="shared" si="36"/>
        <v>0</v>
      </c>
      <c r="T114" s="69">
        <f t="shared" si="36"/>
        <v>0</v>
      </c>
      <c r="U114" s="69">
        <f t="shared" si="36"/>
        <v>83.45000000000002</v>
      </c>
      <c r="V114" s="69">
        <f t="shared" si="36"/>
        <v>30.71</v>
      </c>
      <c r="W114" s="69">
        <f t="shared" si="36"/>
        <v>52.550000000000004</v>
      </c>
      <c r="X114" s="69">
        <f t="shared" si="36"/>
        <v>0.19</v>
      </c>
      <c r="Y114" s="69">
        <f t="shared" si="36"/>
        <v>2.3099999999999996</v>
      </c>
      <c r="Z114" s="69">
        <f t="shared" si="36"/>
        <v>0</v>
      </c>
      <c r="AA114" s="69">
        <f t="shared" si="36"/>
        <v>0.02</v>
      </c>
      <c r="AB114" s="69">
        <f t="shared" si="36"/>
        <v>0</v>
      </c>
      <c r="AC114" s="69">
        <f t="shared" si="36"/>
        <v>0</v>
      </c>
      <c r="AD114" s="69">
        <f t="shared" si="36"/>
        <v>0.1</v>
      </c>
      <c r="AE114" s="69">
        <f t="shared" si="36"/>
        <v>0</v>
      </c>
      <c r="AF114" s="69">
        <f t="shared" si="36"/>
        <v>19.95</v>
      </c>
      <c r="AG114" s="69">
        <f t="shared" si="36"/>
        <v>0.6399999999999999</v>
      </c>
      <c r="AH114" s="69">
        <f t="shared" si="36"/>
        <v>0</v>
      </c>
      <c r="AI114" s="69">
        <f t="shared" si="36"/>
        <v>0.03</v>
      </c>
      <c r="AJ114" s="69">
        <f t="shared" si="36"/>
        <v>0.08</v>
      </c>
      <c r="AK114" s="69">
        <f t="shared" si="36"/>
        <v>0</v>
      </c>
      <c r="AL114" s="69">
        <f aca="true" t="shared" si="37" ref="AL114:BG114">SUM(AL115:AL117)</f>
        <v>0.01</v>
      </c>
      <c r="AM114" s="69">
        <f t="shared" si="37"/>
        <v>0.1</v>
      </c>
      <c r="AN114" s="69">
        <f t="shared" si="37"/>
        <v>0</v>
      </c>
      <c r="AO114" s="69">
        <f t="shared" si="37"/>
        <v>0</v>
      </c>
      <c r="AP114" s="69">
        <f t="shared" si="37"/>
        <v>0</v>
      </c>
      <c r="AQ114" s="69">
        <f t="shared" si="37"/>
        <v>0</v>
      </c>
      <c r="AR114" s="69">
        <f t="shared" si="37"/>
        <v>0</v>
      </c>
      <c r="AS114" s="69">
        <f t="shared" si="37"/>
        <v>0</v>
      </c>
      <c r="AT114" s="69">
        <f t="shared" si="37"/>
        <v>4.88</v>
      </c>
      <c r="AU114" s="69">
        <f t="shared" si="37"/>
        <v>0</v>
      </c>
      <c r="AV114" s="69">
        <f t="shared" si="37"/>
        <v>0</v>
      </c>
      <c r="AW114" s="69">
        <f t="shared" si="37"/>
        <v>0</v>
      </c>
      <c r="AX114" s="69">
        <f t="shared" si="37"/>
        <v>0.26</v>
      </c>
      <c r="AY114" s="69">
        <f t="shared" si="37"/>
        <v>0</v>
      </c>
      <c r="AZ114" s="69">
        <f t="shared" si="37"/>
        <v>0</v>
      </c>
      <c r="BA114" s="69">
        <f t="shared" si="37"/>
        <v>0</v>
      </c>
      <c r="BB114" s="69">
        <f t="shared" si="37"/>
        <v>0.01</v>
      </c>
      <c r="BC114" s="69">
        <f t="shared" si="37"/>
        <v>0.19</v>
      </c>
      <c r="BD114" s="69">
        <f t="shared" si="37"/>
        <v>6.39</v>
      </c>
      <c r="BE114" s="69">
        <f t="shared" si="37"/>
        <v>0.01</v>
      </c>
      <c r="BF114" s="69">
        <f t="shared" si="37"/>
        <v>0</v>
      </c>
      <c r="BG114" s="69">
        <f t="shared" si="37"/>
        <v>1.79</v>
      </c>
      <c r="BH114" s="70"/>
      <c r="BI114" s="68"/>
      <c r="BJ114" s="68"/>
      <c r="BK114" s="35"/>
      <c r="BL114" s="41"/>
      <c r="BM114" s="68"/>
      <c r="BN114" s="39"/>
      <c r="BO114" s="85"/>
      <c r="BP114" s="130"/>
      <c r="BS114" s="132"/>
    </row>
    <row r="115" spans="1:77" s="64" customFormat="1" ht="255" customHeight="1">
      <c r="A115" s="1">
        <f>A102+1</f>
        <v>56</v>
      </c>
      <c r="B115" s="133" t="s">
        <v>1125</v>
      </c>
      <c r="C115" s="4" t="s">
        <v>316</v>
      </c>
      <c r="D115" s="4" t="s">
        <v>34</v>
      </c>
      <c r="E115" s="45">
        <f t="shared" si="30"/>
        <v>166.74999999999994</v>
      </c>
      <c r="F115" s="46"/>
      <c r="G115" s="134">
        <f>SUM(H115:BG115)-M115-Q115-U115</f>
        <v>166.74999999999994</v>
      </c>
      <c r="H115" s="46">
        <v>33.61</v>
      </c>
      <c r="I115" s="46">
        <v>6.35</v>
      </c>
      <c r="J115" s="46">
        <v>0</v>
      </c>
      <c r="K115" s="46">
        <v>13.52</v>
      </c>
      <c r="L115" s="46">
        <v>28.85</v>
      </c>
      <c r="M115" s="46">
        <v>0</v>
      </c>
      <c r="N115" s="46">
        <v>0</v>
      </c>
      <c r="O115" s="46">
        <v>0</v>
      </c>
      <c r="P115" s="46">
        <v>0</v>
      </c>
      <c r="Q115" s="46">
        <v>0</v>
      </c>
      <c r="R115" s="46">
        <v>0</v>
      </c>
      <c r="S115" s="46">
        <v>0</v>
      </c>
      <c r="T115" s="46">
        <v>0</v>
      </c>
      <c r="U115" s="6">
        <f>SUM(V115:X115)</f>
        <v>65.99000000000001</v>
      </c>
      <c r="V115" s="46">
        <v>24.17</v>
      </c>
      <c r="W115" s="46">
        <v>41.63</v>
      </c>
      <c r="X115" s="78">
        <v>0.19</v>
      </c>
      <c r="Y115" s="46">
        <v>1.26</v>
      </c>
      <c r="Z115" s="46">
        <v>0</v>
      </c>
      <c r="AA115" s="46">
        <v>0.01</v>
      </c>
      <c r="AB115" s="46">
        <v>0</v>
      </c>
      <c r="AC115" s="46">
        <v>0</v>
      </c>
      <c r="AD115" s="46"/>
      <c r="AE115" s="46">
        <v>0</v>
      </c>
      <c r="AF115" s="46">
        <v>6.88</v>
      </c>
      <c r="AG115" s="46">
        <v>0.57</v>
      </c>
      <c r="AH115" s="46">
        <v>0</v>
      </c>
      <c r="AI115" s="46">
        <v>0</v>
      </c>
      <c r="AJ115" s="46">
        <v>0.08</v>
      </c>
      <c r="AK115" s="46">
        <v>0</v>
      </c>
      <c r="AL115" s="46">
        <v>0.01</v>
      </c>
      <c r="AM115" s="46">
        <v>0.1</v>
      </c>
      <c r="AN115" s="46">
        <v>0</v>
      </c>
      <c r="AO115" s="46">
        <v>0</v>
      </c>
      <c r="AP115" s="46">
        <v>0</v>
      </c>
      <c r="AQ115" s="46">
        <v>0</v>
      </c>
      <c r="AR115" s="46">
        <v>0</v>
      </c>
      <c r="AS115" s="46">
        <v>0</v>
      </c>
      <c r="AT115" s="46">
        <v>3.28</v>
      </c>
      <c r="AU115" s="46"/>
      <c r="AV115" s="46">
        <v>0</v>
      </c>
      <c r="AW115" s="46">
        <v>0</v>
      </c>
      <c r="AX115" s="78">
        <v>0.26</v>
      </c>
      <c r="AY115" s="46">
        <v>0</v>
      </c>
      <c r="AZ115" s="46">
        <v>0</v>
      </c>
      <c r="BA115" s="46">
        <v>0</v>
      </c>
      <c r="BB115" s="46">
        <v>0.01</v>
      </c>
      <c r="BC115" s="46">
        <v>0.18</v>
      </c>
      <c r="BD115" s="78">
        <v>4.29</v>
      </c>
      <c r="BE115" s="46">
        <v>0.01</v>
      </c>
      <c r="BF115" s="46">
        <v>0</v>
      </c>
      <c r="BG115" s="46">
        <v>1.49</v>
      </c>
      <c r="BH115" s="10"/>
      <c r="BI115" s="4" t="s">
        <v>316</v>
      </c>
      <c r="BJ115" s="14" t="s">
        <v>317</v>
      </c>
      <c r="BK115" s="12" t="s">
        <v>985</v>
      </c>
      <c r="BL115" s="135" t="s">
        <v>318</v>
      </c>
      <c r="BM115" s="14" t="s">
        <v>986</v>
      </c>
      <c r="BN115" s="13" t="s">
        <v>1024</v>
      </c>
      <c r="BO115" s="15" t="s">
        <v>1147</v>
      </c>
      <c r="BP115" s="63" t="s">
        <v>1061</v>
      </c>
      <c r="BQ115" s="65">
        <v>166.7</v>
      </c>
      <c r="BR115" s="136">
        <f>+BQ115-E115</f>
        <v>-0.049999999999954525</v>
      </c>
      <c r="BS115" s="65"/>
      <c r="BV115" s="64">
        <v>233.46</v>
      </c>
      <c r="BX115" s="137">
        <f>+BV115-G115-G116</f>
        <v>5.870000000000083</v>
      </c>
      <c r="BY115" s="64">
        <f>+BV115-BX116</f>
        <v>58.59</v>
      </c>
    </row>
    <row r="116" spans="1:76" ht="122.25" customHeight="1">
      <c r="A116" s="1">
        <f>A115+1</f>
        <v>57</v>
      </c>
      <c r="B116" s="133" t="s">
        <v>319</v>
      </c>
      <c r="C116" s="4" t="s">
        <v>82</v>
      </c>
      <c r="D116" s="4" t="s">
        <v>34</v>
      </c>
      <c r="E116" s="45">
        <f t="shared" si="30"/>
        <v>60.83999999999998</v>
      </c>
      <c r="F116" s="46"/>
      <c r="G116" s="88">
        <f>SUM(H116:BG116)-M116-Q116-U116</f>
        <v>60.83999999999998</v>
      </c>
      <c r="H116" s="46">
        <v>5.92</v>
      </c>
      <c r="I116" s="46">
        <v>3.31</v>
      </c>
      <c r="J116" s="46"/>
      <c r="K116" s="46">
        <v>4.32</v>
      </c>
      <c r="L116" s="46">
        <v>22.91</v>
      </c>
      <c r="M116" s="46"/>
      <c r="N116" s="46"/>
      <c r="O116" s="46"/>
      <c r="P116" s="46"/>
      <c r="Q116" s="46"/>
      <c r="R116" s="46"/>
      <c r="S116" s="46"/>
      <c r="T116" s="46"/>
      <c r="U116" s="6">
        <f>SUM(V116:X116)</f>
        <v>17.46</v>
      </c>
      <c r="V116" s="46">
        <v>6.54</v>
      </c>
      <c r="W116" s="46">
        <v>10.92</v>
      </c>
      <c r="X116" s="78"/>
      <c r="Y116" s="46">
        <v>1.04</v>
      </c>
      <c r="Z116" s="46"/>
      <c r="AA116" s="46"/>
      <c r="AB116" s="46"/>
      <c r="AC116" s="46"/>
      <c r="AD116" s="46"/>
      <c r="AE116" s="46"/>
      <c r="AF116" s="46">
        <v>1.82</v>
      </c>
      <c r="AG116" s="46">
        <v>0.07</v>
      </c>
      <c r="AH116" s="46"/>
      <c r="AI116" s="46">
        <v>0.03</v>
      </c>
      <c r="AJ116" s="46"/>
      <c r="AK116" s="46"/>
      <c r="AL116" s="46"/>
      <c r="AM116" s="46"/>
      <c r="AN116" s="46"/>
      <c r="AO116" s="46"/>
      <c r="AP116" s="46"/>
      <c r="AQ116" s="46"/>
      <c r="AR116" s="46"/>
      <c r="AS116" s="46"/>
      <c r="AT116" s="46">
        <v>1.6</v>
      </c>
      <c r="AU116" s="46"/>
      <c r="AV116" s="46"/>
      <c r="AW116" s="46"/>
      <c r="AX116" s="78"/>
      <c r="AY116" s="46"/>
      <c r="AZ116" s="46"/>
      <c r="BA116" s="46"/>
      <c r="BB116" s="46"/>
      <c r="BC116" s="46">
        <v>0.01</v>
      </c>
      <c r="BD116" s="78">
        <v>2.05</v>
      </c>
      <c r="BE116" s="46"/>
      <c r="BF116" s="46"/>
      <c r="BG116" s="46">
        <f>0.48-0.18</f>
        <v>0.3</v>
      </c>
      <c r="BH116" s="10"/>
      <c r="BI116" s="4" t="s">
        <v>82</v>
      </c>
      <c r="BJ116" s="14" t="s">
        <v>320</v>
      </c>
      <c r="BK116" s="138" t="s">
        <v>120</v>
      </c>
      <c r="BL116" s="135" t="s">
        <v>321</v>
      </c>
      <c r="BM116" s="14" t="s">
        <v>935</v>
      </c>
      <c r="BN116" s="13" t="s">
        <v>1024</v>
      </c>
      <c r="BO116" s="15" t="s">
        <v>1147</v>
      </c>
      <c r="BP116" s="16" t="s">
        <v>1054</v>
      </c>
      <c r="BQ116" s="17">
        <v>60.83</v>
      </c>
      <c r="BR116" s="139">
        <f>+BQ116-G116</f>
        <v>-0.0099999999999838</v>
      </c>
      <c r="BW116" s="17">
        <v>181.87</v>
      </c>
      <c r="BX116" s="17">
        <f>+BW116-7</f>
        <v>174.87</v>
      </c>
    </row>
    <row r="117" spans="1:77" ht="93.75" customHeight="1">
      <c r="A117" s="1">
        <f>A116+1</f>
        <v>58</v>
      </c>
      <c r="B117" s="47" t="s">
        <v>322</v>
      </c>
      <c r="C117" s="60" t="s">
        <v>323</v>
      </c>
      <c r="D117" s="4" t="s">
        <v>34</v>
      </c>
      <c r="E117" s="45">
        <f t="shared" si="30"/>
        <v>30.099999999999994</v>
      </c>
      <c r="F117" s="5"/>
      <c r="G117" s="88">
        <f>SUM(H117:BG117)-M117-Q117-U117</f>
        <v>30.099999999999994</v>
      </c>
      <c r="H117" s="84"/>
      <c r="I117" s="84">
        <v>0.07</v>
      </c>
      <c r="J117" s="84"/>
      <c r="K117" s="84">
        <v>0.31</v>
      </c>
      <c r="L117" s="84">
        <v>0.3</v>
      </c>
      <c r="M117" s="46">
        <v>18</v>
      </c>
      <c r="N117" s="84"/>
      <c r="O117" s="84">
        <v>18</v>
      </c>
      <c r="P117" s="84"/>
      <c r="Q117" s="84"/>
      <c r="R117" s="84"/>
      <c r="S117" s="84"/>
      <c r="T117" s="84"/>
      <c r="U117" s="6">
        <f>SUM(V117:X117)</f>
        <v>0</v>
      </c>
      <c r="V117" s="84"/>
      <c r="W117" s="84"/>
      <c r="X117" s="84"/>
      <c r="Y117" s="84">
        <v>0.01</v>
      </c>
      <c r="Z117" s="84"/>
      <c r="AA117" s="84">
        <v>0.01</v>
      </c>
      <c r="AB117" s="84"/>
      <c r="AC117" s="84"/>
      <c r="AD117" s="84">
        <v>0.1</v>
      </c>
      <c r="AE117" s="84"/>
      <c r="AF117" s="84">
        <v>11.25</v>
      </c>
      <c r="AG117" s="140"/>
      <c r="AH117" s="140"/>
      <c r="AI117" s="140"/>
      <c r="AJ117" s="140"/>
      <c r="AK117" s="140"/>
      <c r="AL117" s="140"/>
      <c r="AM117" s="140"/>
      <c r="AN117" s="140"/>
      <c r="AO117" s="140"/>
      <c r="AP117" s="140"/>
      <c r="AQ117" s="140"/>
      <c r="AR117" s="140"/>
      <c r="AS117" s="140"/>
      <c r="AT117" s="140"/>
      <c r="AU117" s="140"/>
      <c r="AV117" s="140"/>
      <c r="AW117" s="46"/>
      <c r="AX117" s="84"/>
      <c r="AY117" s="141"/>
      <c r="AZ117" s="46"/>
      <c r="BA117" s="84"/>
      <c r="BB117" s="84"/>
      <c r="BC117" s="140"/>
      <c r="BD117" s="140">
        <v>0.05</v>
      </c>
      <c r="BE117" s="140"/>
      <c r="BF117" s="140"/>
      <c r="BG117" s="140"/>
      <c r="BH117" s="138"/>
      <c r="BI117" s="60" t="s">
        <v>1022</v>
      </c>
      <c r="BJ117" s="60" t="s">
        <v>960</v>
      </c>
      <c r="BK117" s="138" t="s">
        <v>120</v>
      </c>
      <c r="BL117" s="13" t="s">
        <v>324</v>
      </c>
      <c r="BM117" s="14" t="s">
        <v>935</v>
      </c>
      <c r="BN117" s="13" t="s">
        <v>1024</v>
      </c>
      <c r="BO117" s="15" t="s">
        <v>1147</v>
      </c>
      <c r="BP117" s="16" t="s">
        <v>1059</v>
      </c>
      <c r="BQ117" s="17"/>
      <c r="BR117" s="142"/>
      <c r="BS117" s="18" t="s">
        <v>1060</v>
      </c>
      <c r="BY117" s="17">
        <v>30</v>
      </c>
    </row>
    <row r="118" spans="1:71" s="100" customFormat="1" ht="26.25" customHeight="1">
      <c r="A118" s="128" t="s">
        <v>314</v>
      </c>
      <c r="B118" s="129" t="s">
        <v>325</v>
      </c>
      <c r="C118" s="36"/>
      <c r="D118" s="36"/>
      <c r="E118" s="69">
        <f t="shared" si="30"/>
        <v>14.510000000000002</v>
      </c>
      <c r="F118" s="39">
        <f>SUM(F119)</f>
        <v>1</v>
      </c>
      <c r="G118" s="39">
        <f>SUM(G119)</f>
        <v>13.510000000000002</v>
      </c>
      <c r="H118" s="39">
        <f>SUM(H119)</f>
        <v>1.2</v>
      </c>
      <c r="I118" s="39">
        <f aca="true" t="shared" si="38" ref="I118:BG118">SUM(I119)</f>
        <v>0.6</v>
      </c>
      <c r="J118" s="39">
        <f t="shared" si="38"/>
        <v>0</v>
      </c>
      <c r="K118" s="39">
        <f t="shared" si="38"/>
        <v>0.9</v>
      </c>
      <c r="L118" s="39">
        <f t="shared" si="38"/>
        <v>2.31</v>
      </c>
      <c r="M118" s="39">
        <f t="shared" si="38"/>
        <v>0</v>
      </c>
      <c r="N118" s="39">
        <f t="shared" si="38"/>
        <v>0</v>
      </c>
      <c r="O118" s="39">
        <f t="shared" si="38"/>
        <v>0</v>
      </c>
      <c r="P118" s="39">
        <f t="shared" si="38"/>
        <v>0</v>
      </c>
      <c r="Q118" s="39">
        <f t="shared" si="38"/>
        <v>0</v>
      </c>
      <c r="R118" s="39">
        <f t="shared" si="38"/>
        <v>0</v>
      </c>
      <c r="S118" s="39">
        <f t="shared" si="38"/>
        <v>0</v>
      </c>
      <c r="T118" s="39">
        <f t="shared" si="38"/>
        <v>0</v>
      </c>
      <c r="U118" s="39">
        <f t="shared" si="38"/>
        <v>6.89</v>
      </c>
      <c r="V118" s="39">
        <f t="shared" si="38"/>
        <v>6.89</v>
      </c>
      <c r="W118" s="39">
        <f t="shared" si="38"/>
        <v>0</v>
      </c>
      <c r="X118" s="39">
        <f t="shared" si="38"/>
        <v>0</v>
      </c>
      <c r="Y118" s="39">
        <f t="shared" si="38"/>
        <v>0.01</v>
      </c>
      <c r="Z118" s="39">
        <f t="shared" si="38"/>
        <v>0</v>
      </c>
      <c r="AA118" s="39">
        <f t="shared" si="38"/>
        <v>0</v>
      </c>
      <c r="AB118" s="39">
        <f t="shared" si="38"/>
        <v>0</v>
      </c>
      <c r="AC118" s="39">
        <f t="shared" si="38"/>
        <v>0</v>
      </c>
      <c r="AD118" s="39">
        <f t="shared" si="38"/>
        <v>0</v>
      </c>
      <c r="AE118" s="39">
        <f t="shared" si="38"/>
        <v>0</v>
      </c>
      <c r="AF118" s="39">
        <f t="shared" si="38"/>
        <v>0</v>
      </c>
      <c r="AG118" s="39">
        <f t="shared" si="38"/>
        <v>0</v>
      </c>
      <c r="AH118" s="39">
        <f t="shared" si="38"/>
        <v>0</v>
      </c>
      <c r="AI118" s="39">
        <f t="shared" si="38"/>
        <v>0</v>
      </c>
      <c r="AJ118" s="39">
        <f t="shared" si="38"/>
        <v>0</v>
      </c>
      <c r="AK118" s="39">
        <f t="shared" si="38"/>
        <v>0</v>
      </c>
      <c r="AL118" s="39">
        <f t="shared" si="38"/>
        <v>0</v>
      </c>
      <c r="AM118" s="39">
        <f t="shared" si="38"/>
        <v>0</v>
      </c>
      <c r="AN118" s="39">
        <f t="shared" si="38"/>
        <v>0</v>
      </c>
      <c r="AO118" s="39">
        <f t="shared" si="38"/>
        <v>0</v>
      </c>
      <c r="AP118" s="39">
        <f t="shared" si="38"/>
        <v>0</v>
      </c>
      <c r="AQ118" s="39">
        <f t="shared" si="38"/>
        <v>0</v>
      </c>
      <c r="AR118" s="39">
        <f t="shared" si="38"/>
        <v>0</v>
      </c>
      <c r="AS118" s="39">
        <f t="shared" si="38"/>
        <v>0</v>
      </c>
      <c r="AT118" s="39">
        <f t="shared" si="38"/>
        <v>0.2</v>
      </c>
      <c r="AU118" s="39">
        <f t="shared" si="38"/>
        <v>0.3</v>
      </c>
      <c r="AV118" s="39">
        <f t="shared" si="38"/>
        <v>0</v>
      </c>
      <c r="AW118" s="39">
        <f t="shared" si="38"/>
        <v>0</v>
      </c>
      <c r="AX118" s="39">
        <f t="shared" si="38"/>
        <v>0</v>
      </c>
      <c r="AY118" s="39">
        <f t="shared" si="38"/>
        <v>0</v>
      </c>
      <c r="AZ118" s="39">
        <f t="shared" si="38"/>
        <v>0</v>
      </c>
      <c r="BA118" s="39">
        <f t="shared" si="38"/>
        <v>0</v>
      </c>
      <c r="BB118" s="39">
        <f t="shared" si="38"/>
        <v>0</v>
      </c>
      <c r="BC118" s="39">
        <f t="shared" si="38"/>
        <v>0</v>
      </c>
      <c r="BD118" s="39">
        <f t="shared" si="38"/>
        <v>1</v>
      </c>
      <c r="BE118" s="39">
        <f t="shared" si="38"/>
        <v>0</v>
      </c>
      <c r="BF118" s="39">
        <f t="shared" si="38"/>
        <v>0</v>
      </c>
      <c r="BG118" s="39">
        <f t="shared" si="38"/>
        <v>0.1</v>
      </c>
      <c r="BH118" s="70"/>
      <c r="BI118" s="36"/>
      <c r="BJ118" s="36"/>
      <c r="BK118" s="35"/>
      <c r="BL118" s="41"/>
      <c r="BM118" s="68"/>
      <c r="BN118" s="41"/>
      <c r="BO118" s="143"/>
      <c r="BP118" s="20"/>
      <c r="BS118" s="19"/>
    </row>
    <row r="119" spans="1:67" ht="124.5" customHeight="1">
      <c r="A119" s="1">
        <f>A117+1</f>
        <v>59</v>
      </c>
      <c r="B119" s="47" t="s">
        <v>326</v>
      </c>
      <c r="C119" s="4" t="s">
        <v>327</v>
      </c>
      <c r="D119" s="4" t="s">
        <v>34</v>
      </c>
      <c r="E119" s="45">
        <f t="shared" si="30"/>
        <v>14.510000000000002</v>
      </c>
      <c r="F119" s="45">
        <v>1</v>
      </c>
      <c r="G119" s="88">
        <f>SUM(H119:BG119)-M119-Q119-U119</f>
        <v>13.510000000000002</v>
      </c>
      <c r="H119" s="46">
        <v>1.2</v>
      </c>
      <c r="I119" s="46">
        <v>0.6</v>
      </c>
      <c r="J119" s="46"/>
      <c r="K119" s="46">
        <v>0.9</v>
      </c>
      <c r="L119" s="46">
        <f>3.31-1</f>
        <v>2.31</v>
      </c>
      <c r="M119" s="46">
        <f>SUM(N119:P119)</f>
        <v>0</v>
      </c>
      <c r="N119" s="46"/>
      <c r="O119" s="46"/>
      <c r="P119" s="46"/>
      <c r="Q119" s="46">
        <f>SUM(R119:T119)</f>
        <v>0</v>
      </c>
      <c r="R119" s="46"/>
      <c r="S119" s="46"/>
      <c r="T119" s="46"/>
      <c r="U119" s="6">
        <f>SUM(V119:X119)</f>
        <v>6.89</v>
      </c>
      <c r="V119" s="46">
        <f>5.89+1</f>
        <v>6.89</v>
      </c>
      <c r="W119" s="46"/>
      <c r="X119" s="78"/>
      <c r="Y119" s="46">
        <v>0.01</v>
      </c>
      <c r="Z119" s="46"/>
      <c r="AA119" s="46"/>
      <c r="AB119" s="46"/>
      <c r="AC119" s="46"/>
      <c r="AD119" s="46"/>
      <c r="AE119" s="46"/>
      <c r="AF119" s="46"/>
      <c r="AG119" s="46"/>
      <c r="AH119" s="46"/>
      <c r="AI119" s="46"/>
      <c r="AJ119" s="46"/>
      <c r="AK119" s="46"/>
      <c r="AL119" s="46"/>
      <c r="AM119" s="46"/>
      <c r="AN119" s="46"/>
      <c r="AO119" s="46"/>
      <c r="AP119" s="46"/>
      <c r="AQ119" s="46"/>
      <c r="AR119" s="46"/>
      <c r="AS119" s="46"/>
      <c r="AT119" s="78">
        <v>0.2</v>
      </c>
      <c r="AU119" s="46">
        <v>0.3</v>
      </c>
      <c r="AV119" s="46"/>
      <c r="AW119" s="46"/>
      <c r="AX119" s="46"/>
      <c r="AY119" s="46"/>
      <c r="AZ119" s="46"/>
      <c r="BA119" s="46"/>
      <c r="BB119" s="46"/>
      <c r="BC119" s="46"/>
      <c r="BD119" s="46">
        <v>1</v>
      </c>
      <c r="BE119" s="46"/>
      <c r="BF119" s="46"/>
      <c r="BG119" s="46">
        <v>0.1</v>
      </c>
      <c r="BH119" s="10"/>
      <c r="BI119" s="4" t="s">
        <v>327</v>
      </c>
      <c r="BJ119" s="4" t="s">
        <v>328</v>
      </c>
      <c r="BK119" s="91" t="s">
        <v>374</v>
      </c>
      <c r="BL119" s="13" t="s">
        <v>329</v>
      </c>
      <c r="BM119" s="14" t="s">
        <v>935</v>
      </c>
      <c r="BN119" s="13" t="s">
        <v>1025</v>
      </c>
      <c r="BO119" s="15" t="s">
        <v>1147</v>
      </c>
    </row>
    <row r="120" spans="1:71" s="100" customFormat="1" ht="30.75">
      <c r="A120" s="128" t="s">
        <v>314</v>
      </c>
      <c r="B120" s="129" t="s">
        <v>330</v>
      </c>
      <c r="C120" s="68"/>
      <c r="D120" s="36"/>
      <c r="E120" s="69">
        <f>F120+G120</f>
        <v>26.96</v>
      </c>
      <c r="F120" s="39">
        <f aca="true" t="shared" si="39" ref="F120:AK120">SUM(F125:F132)</f>
        <v>20.3</v>
      </c>
      <c r="G120" s="39">
        <f t="shared" si="39"/>
        <v>6.66</v>
      </c>
      <c r="H120" s="39">
        <f t="shared" si="39"/>
        <v>0.30000000000000004</v>
      </c>
      <c r="I120" s="39">
        <f t="shared" si="39"/>
        <v>0.2</v>
      </c>
      <c r="J120" s="39">
        <f t="shared" si="39"/>
        <v>0</v>
      </c>
      <c r="K120" s="39">
        <f t="shared" si="39"/>
        <v>1.12</v>
      </c>
      <c r="L120" s="39">
        <f t="shared" si="39"/>
        <v>0.56</v>
      </c>
      <c r="M120" s="39">
        <f t="shared" si="39"/>
        <v>0</v>
      </c>
      <c r="N120" s="39">
        <f t="shared" si="39"/>
        <v>0</v>
      </c>
      <c r="O120" s="39">
        <f t="shared" si="39"/>
        <v>0</v>
      </c>
      <c r="P120" s="39">
        <f t="shared" si="39"/>
        <v>0</v>
      </c>
      <c r="Q120" s="39">
        <f t="shared" si="39"/>
        <v>0</v>
      </c>
      <c r="R120" s="39">
        <f t="shared" si="39"/>
        <v>0</v>
      </c>
      <c r="S120" s="39">
        <f t="shared" si="39"/>
        <v>0</v>
      </c>
      <c r="T120" s="39">
        <f t="shared" si="39"/>
        <v>0</v>
      </c>
      <c r="U120" s="39">
        <f t="shared" si="39"/>
        <v>4.37</v>
      </c>
      <c r="V120" s="39">
        <f t="shared" si="39"/>
        <v>4.37</v>
      </c>
      <c r="W120" s="39">
        <f t="shared" si="39"/>
        <v>0</v>
      </c>
      <c r="X120" s="39">
        <f t="shared" si="39"/>
        <v>0</v>
      </c>
      <c r="Y120" s="39">
        <f t="shared" si="39"/>
        <v>0</v>
      </c>
      <c r="Z120" s="39">
        <f t="shared" si="39"/>
        <v>0</v>
      </c>
      <c r="AA120" s="39">
        <f t="shared" si="39"/>
        <v>0</v>
      </c>
      <c r="AB120" s="39">
        <f t="shared" si="39"/>
        <v>0</v>
      </c>
      <c r="AC120" s="39">
        <f t="shared" si="39"/>
        <v>0</v>
      </c>
      <c r="AD120" s="39">
        <f t="shared" si="39"/>
        <v>0</v>
      </c>
      <c r="AE120" s="39">
        <f t="shared" si="39"/>
        <v>0</v>
      </c>
      <c r="AF120" s="39">
        <f t="shared" si="39"/>
        <v>0</v>
      </c>
      <c r="AG120" s="39">
        <f t="shared" si="39"/>
        <v>0</v>
      </c>
      <c r="AH120" s="39">
        <f t="shared" si="39"/>
        <v>0</v>
      </c>
      <c r="AI120" s="39">
        <f t="shared" si="39"/>
        <v>0</v>
      </c>
      <c r="AJ120" s="39">
        <f t="shared" si="39"/>
        <v>0</v>
      </c>
      <c r="AK120" s="39">
        <f t="shared" si="39"/>
        <v>0</v>
      </c>
      <c r="AL120" s="39">
        <f aca="true" t="shared" si="40" ref="AL120:BG120">SUM(AL125:AL132)</f>
        <v>0</v>
      </c>
      <c r="AM120" s="39">
        <f t="shared" si="40"/>
        <v>0</v>
      </c>
      <c r="AN120" s="39">
        <f t="shared" si="40"/>
        <v>0</v>
      </c>
      <c r="AO120" s="39">
        <f t="shared" si="40"/>
        <v>0</v>
      </c>
      <c r="AP120" s="39">
        <f t="shared" si="40"/>
        <v>0</v>
      </c>
      <c r="AQ120" s="39">
        <f t="shared" si="40"/>
        <v>0</v>
      </c>
      <c r="AR120" s="39">
        <f t="shared" si="40"/>
        <v>0</v>
      </c>
      <c r="AS120" s="39">
        <f t="shared" si="40"/>
        <v>0</v>
      </c>
      <c r="AT120" s="39">
        <f t="shared" si="40"/>
        <v>0.11</v>
      </c>
      <c r="AU120" s="39">
        <f t="shared" si="40"/>
        <v>0</v>
      </c>
      <c r="AV120" s="39">
        <f t="shared" si="40"/>
        <v>0</v>
      </c>
      <c r="AW120" s="39">
        <f t="shared" si="40"/>
        <v>0</v>
      </c>
      <c r="AX120" s="39">
        <f t="shared" si="40"/>
        <v>0</v>
      </c>
      <c r="AY120" s="39">
        <f t="shared" si="40"/>
        <v>0</v>
      </c>
      <c r="AZ120" s="39">
        <f t="shared" si="40"/>
        <v>0</v>
      </c>
      <c r="BA120" s="39">
        <f t="shared" si="40"/>
        <v>0</v>
      </c>
      <c r="BB120" s="39">
        <f t="shared" si="40"/>
        <v>0</v>
      </c>
      <c r="BC120" s="39">
        <f t="shared" si="40"/>
        <v>0</v>
      </c>
      <c r="BD120" s="39">
        <f t="shared" si="40"/>
        <v>0</v>
      </c>
      <c r="BE120" s="39">
        <f t="shared" si="40"/>
        <v>0</v>
      </c>
      <c r="BF120" s="39">
        <f t="shared" si="40"/>
        <v>0</v>
      </c>
      <c r="BG120" s="39">
        <f t="shared" si="40"/>
        <v>0</v>
      </c>
      <c r="BH120" s="70"/>
      <c r="BI120" s="68"/>
      <c r="BJ120" s="68"/>
      <c r="BK120" s="35"/>
      <c r="BL120" s="70"/>
      <c r="BM120" s="68"/>
      <c r="BN120" s="41"/>
      <c r="BO120" s="143"/>
      <c r="BP120" s="20"/>
      <c r="BS120" s="19"/>
    </row>
    <row r="121" spans="1:69" ht="100.5" customHeight="1">
      <c r="A121" s="284">
        <f>A119+1</f>
        <v>60</v>
      </c>
      <c r="B121" s="90" t="s">
        <v>989</v>
      </c>
      <c r="C121" s="283" t="s">
        <v>82</v>
      </c>
      <c r="D121" s="4"/>
      <c r="E121" s="45">
        <f>F121+G121</f>
        <v>24</v>
      </c>
      <c r="F121" s="144"/>
      <c r="G121" s="104">
        <f>SUM(H121:M121,Q121,U121,Y121:BG121)</f>
        <v>24</v>
      </c>
      <c r="H121" s="97">
        <f aca="true" t="shared" si="41" ref="H121:BG121">H122+H123+H124</f>
        <v>1</v>
      </c>
      <c r="I121" s="97">
        <f t="shared" si="41"/>
        <v>0.5</v>
      </c>
      <c r="J121" s="97">
        <f t="shared" si="41"/>
        <v>0</v>
      </c>
      <c r="K121" s="97">
        <f t="shared" si="41"/>
        <v>1.73</v>
      </c>
      <c r="L121" s="97">
        <f t="shared" si="41"/>
        <v>2.02</v>
      </c>
      <c r="M121" s="97">
        <f t="shared" si="41"/>
        <v>0</v>
      </c>
      <c r="N121" s="97">
        <f t="shared" si="41"/>
        <v>0</v>
      </c>
      <c r="O121" s="97">
        <f t="shared" si="41"/>
        <v>0</v>
      </c>
      <c r="P121" s="97">
        <f t="shared" si="41"/>
        <v>0</v>
      </c>
      <c r="Q121" s="97">
        <f t="shared" si="41"/>
        <v>0</v>
      </c>
      <c r="R121" s="97">
        <f t="shared" si="41"/>
        <v>0</v>
      </c>
      <c r="S121" s="97">
        <f t="shared" si="41"/>
        <v>0</v>
      </c>
      <c r="T121" s="97">
        <f t="shared" si="41"/>
        <v>0</v>
      </c>
      <c r="U121" s="97">
        <f t="shared" si="41"/>
        <v>13.07</v>
      </c>
      <c r="V121" s="97">
        <f t="shared" si="41"/>
        <v>13.07</v>
      </c>
      <c r="W121" s="97">
        <f t="shared" si="41"/>
        <v>0</v>
      </c>
      <c r="X121" s="97">
        <f t="shared" si="41"/>
        <v>0</v>
      </c>
      <c r="Y121" s="97">
        <f t="shared" si="41"/>
        <v>0</v>
      </c>
      <c r="Z121" s="97">
        <f t="shared" si="41"/>
        <v>0</v>
      </c>
      <c r="AA121" s="97">
        <f t="shared" si="41"/>
        <v>0</v>
      </c>
      <c r="AB121" s="97">
        <f t="shared" si="41"/>
        <v>0</v>
      </c>
      <c r="AC121" s="97">
        <f t="shared" si="41"/>
        <v>0</v>
      </c>
      <c r="AD121" s="97">
        <f t="shared" si="41"/>
        <v>5.16</v>
      </c>
      <c r="AE121" s="97">
        <f t="shared" si="41"/>
        <v>0</v>
      </c>
      <c r="AF121" s="97">
        <f t="shared" si="41"/>
        <v>0.1</v>
      </c>
      <c r="AG121" s="97">
        <f t="shared" si="41"/>
        <v>0.05</v>
      </c>
      <c r="AH121" s="97">
        <f t="shared" si="41"/>
        <v>0</v>
      </c>
      <c r="AI121" s="97">
        <f t="shared" si="41"/>
        <v>0</v>
      </c>
      <c r="AJ121" s="97">
        <f t="shared" si="41"/>
        <v>0</v>
      </c>
      <c r="AK121" s="97">
        <f t="shared" si="41"/>
        <v>0</v>
      </c>
      <c r="AL121" s="97">
        <f t="shared" si="41"/>
        <v>0</v>
      </c>
      <c r="AM121" s="97">
        <f t="shared" si="41"/>
        <v>0</v>
      </c>
      <c r="AN121" s="97">
        <f t="shared" si="41"/>
        <v>0</v>
      </c>
      <c r="AO121" s="97">
        <f t="shared" si="41"/>
        <v>0</v>
      </c>
      <c r="AP121" s="97">
        <f t="shared" si="41"/>
        <v>0</v>
      </c>
      <c r="AQ121" s="97">
        <f t="shared" si="41"/>
        <v>0</v>
      </c>
      <c r="AR121" s="97">
        <f t="shared" si="41"/>
        <v>0</v>
      </c>
      <c r="AS121" s="97">
        <f t="shared" si="41"/>
        <v>0</v>
      </c>
      <c r="AT121" s="97">
        <f t="shared" si="41"/>
        <v>0.04</v>
      </c>
      <c r="AU121" s="97">
        <f t="shared" si="41"/>
        <v>0</v>
      </c>
      <c r="AV121" s="97">
        <f t="shared" si="41"/>
        <v>0</v>
      </c>
      <c r="AW121" s="97">
        <f t="shared" si="41"/>
        <v>0</v>
      </c>
      <c r="AX121" s="97">
        <f t="shared" si="41"/>
        <v>0</v>
      </c>
      <c r="AY121" s="97">
        <f t="shared" si="41"/>
        <v>0</v>
      </c>
      <c r="AZ121" s="97">
        <f t="shared" si="41"/>
        <v>0</v>
      </c>
      <c r="BA121" s="97">
        <f t="shared" si="41"/>
        <v>0</v>
      </c>
      <c r="BB121" s="97">
        <f t="shared" si="41"/>
        <v>0</v>
      </c>
      <c r="BC121" s="97">
        <f t="shared" si="41"/>
        <v>0</v>
      </c>
      <c r="BD121" s="97">
        <f t="shared" si="41"/>
        <v>0</v>
      </c>
      <c r="BE121" s="97">
        <f t="shared" si="41"/>
        <v>0</v>
      </c>
      <c r="BF121" s="97">
        <f t="shared" si="41"/>
        <v>0</v>
      </c>
      <c r="BG121" s="97">
        <f t="shared" si="41"/>
        <v>0.33</v>
      </c>
      <c r="BH121" s="306" t="s">
        <v>179</v>
      </c>
      <c r="BI121" s="283" t="s">
        <v>82</v>
      </c>
      <c r="BJ121" s="316" t="s">
        <v>180</v>
      </c>
      <c r="BK121" s="313" t="s">
        <v>68</v>
      </c>
      <c r="BL121" s="310" t="s">
        <v>181</v>
      </c>
      <c r="BM121" s="293" t="s">
        <v>935</v>
      </c>
      <c r="BN121" s="13" t="s">
        <v>1024</v>
      </c>
      <c r="BO121" s="15" t="s">
        <v>1147</v>
      </c>
      <c r="BQ121" s="17"/>
    </row>
    <row r="122" spans="1:69" ht="20.25" customHeight="1">
      <c r="A122" s="284"/>
      <c r="B122" s="145" t="s">
        <v>182</v>
      </c>
      <c r="C122" s="283"/>
      <c r="D122" s="103" t="s">
        <v>31</v>
      </c>
      <c r="E122" s="144">
        <f>F122+G122</f>
        <v>2.3</v>
      </c>
      <c r="F122" s="144"/>
      <c r="G122" s="104">
        <f>SUM(H122:M122,Q122,U122,Y122:BG122)</f>
        <v>2.3</v>
      </c>
      <c r="H122" s="146"/>
      <c r="I122" s="110"/>
      <c r="J122" s="110"/>
      <c r="K122" s="147"/>
      <c r="L122" s="110"/>
      <c r="M122" s="108"/>
      <c r="N122" s="110"/>
      <c r="O122" s="146"/>
      <c r="P122" s="110"/>
      <c r="Q122" s="105"/>
      <c r="R122" s="110"/>
      <c r="S122" s="110"/>
      <c r="T122" s="110"/>
      <c r="U122" s="105">
        <f>SUM(V122:X122)</f>
        <v>2.3</v>
      </c>
      <c r="V122" s="110">
        <v>2.3</v>
      </c>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c r="AU122" s="110"/>
      <c r="AV122" s="110"/>
      <c r="AW122" s="110"/>
      <c r="AX122" s="110"/>
      <c r="AY122" s="110"/>
      <c r="AZ122" s="110"/>
      <c r="BA122" s="110"/>
      <c r="BB122" s="110"/>
      <c r="BC122" s="110"/>
      <c r="BD122" s="110"/>
      <c r="BE122" s="110"/>
      <c r="BF122" s="110"/>
      <c r="BG122" s="147"/>
      <c r="BH122" s="306"/>
      <c r="BI122" s="283"/>
      <c r="BJ122" s="316"/>
      <c r="BK122" s="313"/>
      <c r="BL122" s="310"/>
      <c r="BM122" s="293"/>
      <c r="BN122" s="13"/>
      <c r="BO122" s="15"/>
      <c r="BQ122" s="17"/>
    </row>
    <row r="123" spans="1:69" ht="37.5" customHeight="1">
      <c r="A123" s="284"/>
      <c r="B123" s="145" t="s">
        <v>183</v>
      </c>
      <c r="C123" s="283"/>
      <c r="D123" s="111" t="s">
        <v>32</v>
      </c>
      <c r="E123" s="144">
        <f>F123+G123</f>
        <v>9.73</v>
      </c>
      <c r="F123" s="104"/>
      <c r="G123" s="104">
        <f>SUM(H123:M123,Q123,U123,Y123:BG123)</f>
        <v>9.73</v>
      </c>
      <c r="H123" s="105"/>
      <c r="I123" s="106"/>
      <c r="J123" s="106"/>
      <c r="K123" s="147">
        <v>0.53</v>
      </c>
      <c r="L123" s="146">
        <v>0.72</v>
      </c>
      <c r="M123" s="108"/>
      <c r="N123" s="105"/>
      <c r="O123" s="105"/>
      <c r="P123" s="105"/>
      <c r="Q123" s="105">
        <f>R123+S123+T123</f>
        <v>0</v>
      </c>
      <c r="R123" s="105"/>
      <c r="S123" s="105"/>
      <c r="T123" s="105"/>
      <c r="U123" s="148">
        <f>SUM(V123:X123)</f>
        <v>2.8</v>
      </c>
      <c r="V123" s="149">
        <v>2.8</v>
      </c>
      <c r="W123" s="108"/>
      <c r="X123" s="108"/>
      <c r="Y123" s="108"/>
      <c r="Z123" s="108"/>
      <c r="AA123" s="108"/>
      <c r="AB123" s="108"/>
      <c r="AC123" s="108"/>
      <c r="AD123" s="146">
        <v>5.16</v>
      </c>
      <c r="AE123" s="108"/>
      <c r="AF123" s="146">
        <v>0.1</v>
      </c>
      <c r="AG123" s="146">
        <v>0.05</v>
      </c>
      <c r="AH123" s="108"/>
      <c r="AI123" s="108"/>
      <c r="AJ123" s="108"/>
      <c r="AK123" s="108"/>
      <c r="AL123" s="108"/>
      <c r="AM123" s="108"/>
      <c r="AN123" s="108"/>
      <c r="AO123" s="108"/>
      <c r="AP123" s="108"/>
      <c r="AQ123" s="108"/>
      <c r="AR123" s="108"/>
      <c r="AS123" s="108"/>
      <c r="AT123" s="146">
        <v>0.04</v>
      </c>
      <c r="AU123" s="108"/>
      <c r="AV123" s="108"/>
      <c r="AW123" s="108"/>
      <c r="AX123" s="108"/>
      <c r="AY123" s="108"/>
      <c r="AZ123" s="108"/>
      <c r="BA123" s="108"/>
      <c r="BB123" s="108"/>
      <c r="BC123" s="146"/>
      <c r="BD123" s="108"/>
      <c r="BE123" s="108"/>
      <c r="BF123" s="108"/>
      <c r="BG123" s="146">
        <v>0.33</v>
      </c>
      <c r="BH123" s="306"/>
      <c r="BI123" s="283"/>
      <c r="BJ123" s="316"/>
      <c r="BK123" s="313"/>
      <c r="BL123" s="310"/>
      <c r="BM123" s="293"/>
      <c r="BN123" s="13"/>
      <c r="BO123" s="15"/>
      <c r="BQ123" s="17"/>
    </row>
    <row r="124" spans="1:69" ht="18.75" customHeight="1">
      <c r="A124" s="284"/>
      <c r="B124" s="145" t="s">
        <v>184</v>
      </c>
      <c r="C124" s="283"/>
      <c r="D124" s="103" t="s">
        <v>34</v>
      </c>
      <c r="E124" s="144">
        <f>F124+G124</f>
        <v>11.969999999999999</v>
      </c>
      <c r="F124" s="144"/>
      <c r="G124" s="89">
        <f>SUM(H124:BG124)-M124-Q124-U124</f>
        <v>11.969999999999999</v>
      </c>
      <c r="H124" s="110">
        <v>1</v>
      </c>
      <c r="I124" s="110">
        <v>0.5</v>
      </c>
      <c r="J124" s="110"/>
      <c r="K124" s="110">
        <v>1.2</v>
      </c>
      <c r="L124" s="110">
        <v>1.3</v>
      </c>
      <c r="M124" s="110"/>
      <c r="N124" s="110"/>
      <c r="O124" s="110"/>
      <c r="P124" s="110"/>
      <c r="Q124" s="110"/>
      <c r="R124" s="110"/>
      <c r="S124" s="110"/>
      <c r="T124" s="110"/>
      <c r="U124" s="6">
        <f>SUM(V124:X124)</f>
        <v>7.97</v>
      </c>
      <c r="V124" s="110">
        <v>7.97</v>
      </c>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306"/>
      <c r="BI124" s="283"/>
      <c r="BJ124" s="316"/>
      <c r="BK124" s="313"/>
      <c r="BL124" s="310"/>
      <c r="BM124" s="293"/>
      <c r="BN124" s="13"/>
      <c r="BO124" s="15"/>
      <c r="BQ124" s="17"/>
    </row>
    <row r="125" spans="1:69" ht="37.5" customHeight="1">
      <c r="A125" s="1">
        <f>A121+1</f>
        <v>61</v>
      </c>
      <c r="B125" s="15" t="s">
        <v>331</v>
      </c>
      <c r="C125" s="121" t="s">
        <v>332</v>
      </c>
      <c r="D125" s="13" t="s">
        <v>34</v>
      </c>
      <c r="E125" s="45">
        <f t="shared" si="30"/>
        <v>2</v>
      </c>
      <c r="F125" s="73"/>
      <c r="G125" s="88">
        <f aca="true" t="shared" si="42" ref="G125:G132">SUM(H125:BG125)-M125-Q125-U125</f>
        <v>2</v>
      </c>
      <c r="H125" s="140"/>
      <c r="I125" s="140"/>
      <c r="J125" s="140"/>
      <c r="K125" s="140"/>
      <c r="L125" s="140"/>
      <c r="M125" s="140"/>
      <c r="N125" s="140"/>
      <c r="O125" s="140"/>
      <c r="P125" s="140"/>
      <c r="Q125" s="140"/>
      <c r="R125" s="140"/>
      <c r="S125" s="140"/>
      <c r="T125" s="140"/>
      <c r="U125" s="6">
        <f aca="true" t="shared" si="43" ref="U125:U131">SUM(V125:X125)</f>
        <v>2</v>
      </c>
      <c r="V125" s="84">
        <v>2</v>
      </c>
      <c r="W125" s="84"/>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0"/>
      <c r="AY125" s="140"/>
      <c r="AZ125" s="140"/>
      <c r="BA125" s="140"/>
      <c r="BB125" s="140"/>
      <c r="BC125" s="140"/>
      <c r="BD125" s="140"/>
      <c r="BE125" s="140"/>
      <c r="BF125" s="140"/>
      <c r="BG125" s="140"/>
      <c r="BH125" s="10"/>
      <c r="BI125" s="121" t="s">
        <v>332</v>
      </c>
      <c r="BJ125" s="13"/>
      <c r="BK125" s="98" t="s">
        <v>120</v>
      </c>
      <c r="BL125" s="13" t="s">
        <v>974</v>
      </c>
      <c r="BM125" s="14" t="s">
        <v>935</v>
      </c>
      <c r="BN125" s="13" t="s">
        <v>1025</v>
      </c>
      <c r="BO125" s="15" t="s">
        <v>1147</v>
      </c>
      <c r="BQ125" s="17"/>
    </row>
    <row r="126" spans="1:69" ht="66.75" customHeight="1">
      <c r="A126" s="1">
        <f>A125+1</f>
        <v>62</v>
      </c>
      <c r="B126" s="47" t="s">
        <v>333</v>
      </c>
      <c r="C126" s="14" t="s">
        <v>334</v>
      </c>
      <c r="D126" s="4" t="s">
        <v>34</v>
      </c>
      <c r="E126" s="45">
        <f t="shared" si="30"/>
        <v>1.4</v>
      </c>
      <c r="F126" s="73"/>
      <c r="G126" s="88">
        <f t="shared" si="42"/>
        <v>1.4</v>
      </c>
      <c r="H126" s="78"/>
      <c r="I126" s="140"/>
      <c r="J126" s="140"/>
      <c r="K126" s="46">
        <v>0.5</v>
      </c>
      <c r="L126" s="78"/>
      <c r="M126" s="46"/>
      <c r="N126" s="46"/>
      <c r="O126" s="46"/>
      <c r="P126" s="46"/>
      <c r="Q126" s="46"/>
      <c r="R126" s="46"/>
      <c r="S126" s="46"/>
      <c r="T126" s="46"/>
      <c r="U126" s="6">
        <f t="shared" si="43"/>
        <v>0.9</v>
      </c>
      <c r="V126" s="46">
        <v>0.9</v>
      </c>
      <c r="W126" s="46"/>
      <c r="X126" s="78"/>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56"/>
      <c r="BI126" s="14" t="s">
        <v>334</v>
      </c>
      <c r="BJ126" s="14" t="s">
        <v>961</v>
      </c>
      <c r="BK126" s="98" t="s">
        <v>120</v>
      </c>
      <c r="BL126" s="58" t="s">
        <v>335</v>
      </c>
      <c r="BM126" s="14" t="s">
        <v>935</v>
      </c>
      <c r="BN126" s="13" t="s">
        <v>1025</v>
      </c>
      <c r="BO126" s="15" t="s">
        <v>1147</v>
      </c>
      <c r="BQ126" s="17"/>
    </row>
    <row r="127" spans="1:69" ht="35.25" customHeight="1">
      <c r="A127" s="1">
        <f>A126+1</f>
        <v>63</v>
      </c>
      <c r="B127" s="133" t="s">
        <v>336</v>
      </c>
      <c r="C127" s="60" t="s">
        <v>122</v>
      </c>
      <c r="D127" s="4" t="s">
        <v>34</v>
      </c>
      <c r="E127" s="45">
        <f t="shared" si="30"/>
        <v>0.8999999999999999</v>
      </c>
      <c r="F127" s="5"/>
      <c r="G127" s="88">
        <f t="shared" si="42"/>
        <v>0.8999999999999999</v>
      </c>
      <c r="H127" s="88"/>
      <c r="I127" s="88">
        <v>0.1</v>
      </c>
      <c r="J127" s="46"/>
      <c r="K127" s="88">
        <v>0.2</v>
      </c>
      <c r="L127" s="88">
        <v>0.1</v>
      </c>
      <c r="M127" s="46"/>
      <c r="N127" s="46"/>
      <c r="O127" s="46"/>
      <c r="P127" s="46"/>
      <c r="Q127" s="46"/>
      <c r="R127" s="46"/>
      <c r="S127" s="46"/>
      <c r="T127" s="46"/>
      <c r="U127" s="6">
        <f t="shared" si="43"/>
        <v>0.5</v>
      </c>
      <c r="V127" s="46">
        <v>0.5</v>
      </c>
      <c r="W127" s="46"/>
      <c r="X127" s="46"/>
      <c r="Y127" s="88"/>
      <c r="Z127" s="46"/>
      <c r="AA127" s="46"/>
      <c r="AB127" s="46"/>
      <c r="AC127" s="46"/>
      <c r="AD127" s="46"/>
      <c r="AE127" s="46"/>
      <c r="AF127" s="46"/>
      <c r="AG127" s="46"/>
      <c r="AH127" s="46"/>
      <c r="AI127" s="46"/>
      <c r="AJ127" s="46"/>
      <c r="AK127" s="46"/>
      <c r="AL127" s="46"/>
      <c r="AM127" s="46"/>
      <c r="AN127" s="46"/>
      <c r="AO127" s="46"/>
      <c r="AP127" s="46"/>
      <c r="AQ127" s="46"/>
      <c r="AR127" s="46"/>
      <c r="AS127" s="46"/>
      <c r="AT127" s="88"/>
      <c r="AU127" s="46"/>
      <c r="AV127" s="46"/>
      <c r="AW127" s="46"/>
      <c r="AX127" s="46"/>
      <c r="AY127" s="46"/>
      <c r="AZ127" s="46"/>
      <c r="BA127" s="46"/>
      <c r="BB127" s="46"/>
      <c r="BC127" s="46"/>
      <c r="BD127" s="88"/>
      <c r="BE127" s="46"/>
      <c r="BF127" s="46"/>
      <c r="BG127" s="46"/>
      <c r="BH127" s="10"/>
      <c r="BI127" s="60" t="s">
        <v>122</v>
      </c>
      <c r="BJ127" s="60" t="s">
        <v>962</v>
      </c>
      <c r="BK127" s="12" t="s">
        <v>374</v>
      </c>
      <c r="BL127" s="4" t="s">
        <v>337</v>
      </c>
      <c r="BM127" s="14" t="s">
        <v>935</v>
      </c>
      <c r="BN127" s="13" t="s">
        <v>1025</v>
      </c>
      <c r="BO127" s="15" t="s">
        <v>1147</v>
      </c>
      <c r="BQ127" s="17"/>
    </row>
    <row r="128" spans="1:69" ht="139.5" customHeight="1">
      <c r="A128" s="1">
        <f aca="true" t="shared" si="44" ref="A128:A133">+A127+1</f>
        <v>64</v>
      </c>
      <c r="B128" s="133" t="s">
        <v>1073</v>
      </c>
      <c r="C128" s="60" t="s">
        <v>147</v>
      </c>
      <c r="D128" s="4" t="s">
        <v>34</v>
      </c>
      <c r="E128" s="45">
        <f t="shared" si="30"/>
        <v>0.54</v>
      </c>
      <c r="F128" s="5"/>
      <c r="G128" s="88">
        <f t="shared" si="42"/>
        <v>0.54</v>
      </c>
      <c r="H128" s="88">
        <v>0.2</v>
      </c>
      <c r="I128" s="88">
        <v>0.1</v>
      </c>
      <c r="J128" s="46"/>
      <c r="K128" s="88">
        <v>0.1</v>
      </c>
      <c r="L128" s="88">
        <v>0.14</v>
      </c>
      <c r="M128" s="46"/>
      <c r="N128" s="46"/>
      <c r="O128" s="46"/>
      <c r="P128" s="46"/>
      <c r="Q128" s="46"/>
      <c r="R128" s="46"/>
      <c r="S128" s="46"/>
      <c r="T128" s="46"/>
      <c r="U128" s="6"/>
      <c r="V128" s="46"/>
      <c r="W128" s="46"/>
      <c r="X128" s="46"/>
      <c r="Y128" s="88"/>
      <c r="Z128" s="46"/>
      <c r="AA128" s="46"/>
      <c r="AB128" s="46"/>
      <c r="AC128" s="46"/>
      <c r="AD128" s="46"/>
      <c r="AE128" s="46"/>
      <c r="AF128" s="46"/>
      <c r="AG128" s="46"/>
      <c r="AH128" s="46"/>
      <c r="AI128" s="46"/>
      <c r="AJ128" s="46"/>
      <c r="AK128" s="46"/>
      <c r="AL128" s="46"/>
      <c r="AM128" s="46"/>
      <c r="AN128" s="46"/>
      <c r="AO128" s="46"/>
      <c r="AP128" s="46"/>
      <c r="AQ128" s="46"/>
      <c r="AR128" s="46"/>
      <c r="AS128" s="46"/>
      <c r="AT128" s="88"/>
      <c r="AU128" s="46"/>
      <c r="AV128" s="46"/>
      <c r="AW128" s="46"/>
      <c r="AX128" s="46"/>
      <c r="AY128" s="46"/>
      <c r="AZ128" s="46"/>
      <c r="BA128" s="46"/>
      <c r="BB128" s="46"/>
      <c r="BC128" s="46"/>
      <c r="BD128" s="88"/>
      <c r="BE128" s="46"/>
      <c r="BF128" s="46"/>
      <c r="BG128" s="46"/>
      <c r="BH128" s="10"/>
      <c r="BI128" s="60" t="s">
        <v>147</v>
      </c>
      <c r="BJ128" s="60" t="s">
        <v>1076</v>
      </c>
      <c r="BK128" s="12"/>
      <c r="BL128" s="328" t="s">
        <v>1074</v>
      </c>
      <c r="BM128" s="14"/>
      <c r="BN128" s="13"/>
      <c r="BO128" s="15" t="s">
        <v>194</v>
      </c>
      <c r="BP128" s="16" t="s">
        <v>1067</v>
      </c>
      <c r="BQ128" s="17"/>
    </row>
    <row r="129" spans="1:69" ht="46.5">
      <c r="A129" s="1">
        <f t="shared" si="44"/>
        <v>65</v>
      </c>
      <c r="B129" s="133" t="s">
        <v>1077</v>
      </c>
      <c r="C129" s="60" t="s">
        <v>147</v>
      </c>
      <c r="D129" s="4" t="s">
        <v>34</v>
      </c>
      <c r="E129" s="45">
        <f t="shared" si="30"/>
        <v>0.11000000000000001</v>
      </c>
      <c r="F129" s="5"/>
      <c r="G129" s="88">
        <f t="shared" si="42"/>
        <v>0.11000000000000001</v>
      </c>
      <c r="H129" s="88"/>
      <c r="I129" s="88"/>
      <c r="J129" s="46"/>
      <c r="K129" s="88">
        <v>0.04</v>
      </c>
      <c r="L129" s="88">
        <v>0.07</v>
      </c>
      <c r="M129" s="46"/>
      <c r="N129" s="46"/>
      <c r="O129" s="46"/>
      <c r="P129" s="46"/>
      <c r="Q129" s="46"/>
      <c r="R129" s="46"/>
      <c r="S129" s="46"/>
      <c r="T129" s="46"/>
      <c r="U129" s="6"/>
      <c r="V129" s="46"/>
      <c r="W129" s="46"/>
      <c r="X129" s="46"/>
      <c r="Y129" s="88"/>
      <c r="Z129" s="46"/>
      <c r="AA129" s="46"/>
      <c r="AB129" s="46"/>
      <c r="AC129" s="46"/>
      <c r="AD129" s="46"/>
      <c r="AE129" s="46"/>
      <c r="AF129" s="46"/>
      <c r="AG129" s="46"/>
      <c r="AH129" s="46"/>
      <c r="AI129" s="46"/>
      <c r="AJ129" s="46"/>
      <c r="AK129" s="46"/>
      <c r="AL129" s="46"/>
      <c r="AM129" s="46"/>
      <c r="AN129" s="46"/>
      <c r="AO129" s="46"/>
      <c r="AP129" s="46"/>
      <c r="AQ129" s="46"/>
      <c r="AR129" s="46"/>
      <c r="AS129" s="46"/>
      <c r="AT129" s="88"/>
      <c r="AU129" s="46"/>
      <c r="AV129" s="46"/>
      <c r="AW129" s="46"/>
      <c r="AX129" s="46"/>
      <c r="AY129" s="46"/>
      <c r="AZ129" s="46"/>
      <c r="BA129" s="46"/>
      <c r="BB129" s="46"/>
      <c r="BC129" s="46"/>
      <c r="BD129" s="88"/>
      <c r="BE129" s="46"/>
      <c r="BF129" s="46"/>
      <c r="BG129" s="46"/>
      <c r="BH129" s="10"/>
      <c r="BI129" s="60" t="s">
        <v>147</v>
      </c>
      <c r="BJ129" s="60" t="s">
        <v>1075</v>
      </c>
      <c r="BK129" s="12"/>
      <c r="BL129" s="329"/>
      <c r="BM129" s="14"/>
      <c r="BN129" s="13"/>
      <c r="BO129" s="15" t="s">
        <v>194</v>
      </c>
      <c r="BP129" s="16" t="s">
        <v>1067</v>
      </c>
      <c r="BQ129" s="17"/>
    </row>
    <row r="130" spans="1:69" ht="46.5">
      <c r="A130" s="1">
        <f t="shared" si="44"/>
        <v>66</v>
      </c>
      <c r="B130" s="47" t="s">
        <v>339</v>
      </c>
      <c r="C130" s="121" t="s">
        <v>134</v>
      </c>
      <c r="D130" s="4" t="s">
        <v>34</v>
      </c>
      <c r="E130" s="45">
        <f t="shared" si="30"/>
        <v>1</v>
      </c>
      <c r="F130" s="5"/>
      <c r="G130" s="88">
        <f t="shared" si="42"/>
        <v>1</v>
      </c>
      <c r="H130" s="140"/>
      <c r="I130" s="140"/>
      <c r="J130" s="140"/>
      <c r="K130" s="140">
        <v>0.23</v>
      </c>
      <c r="L130" s="140">
        <v>0.25</v>
      </c>
      <c r="M130" s="46">
        <v>0</v>
      </c>
      <c r="N130" s="140"/>
      <c r="O130" s="140"/>
      <c r="P130" s="140"/>
      <c r="Q130" s="140"/>
      <c r="R130" s="140"/>
      <c r="S130" s="140"/>
      <c r="T130" s="140"/>
      <c r="U130" s="6">
        <f t="shared" si="43"/>
        <v>0.52</v>
      </c>
      <c r="V130" s="84">
        <v>0.52</v>
      </c>
      <c r="W130" s="84"/>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c r="AW130" s="46"/>
      <c r="AX130" s="84"/>
      <c r="AY130" s="141"/>
      <c r="AZ130" s="46"/>
      <c r="BA130" s="84"/>
      <c r="BB130" s="84"/>
      <c r="BC130" s="140"/>
      <c r="BD130" s="140"/>
      <c r="BE130" s="140"/>
      <c r="BF130" s="140"/>
      <c r="BG130" s="140"/>
      <c r="BH130" s="60"/>
      <c r="BI130" s="121" t="s">
        <v>134</v>
      </c>
      <c r="BJ130" s="4" t="s">
        <v>340</v>
      </c>
      <c r="BK130" s="12" t="s">
        <v>374</v>
      </c>
      <c r="BL130" s="13" t="s">
        <v>341</v>
      </c>
      <c r="BM130" s="14" t="s">
        <v>935</v>
      </c>
      <c r="BN130" s="13" t="s">
        <v>1025</v>
      </c>
      <c r="BO130" s="15" t="s">
        <v>1147</v>
      </c>
      <c r="BP130" s="16" t="s">
        <v>1028</v>
      </c>
      <c r="BQ130" s="17"/>
    </row>
    <row r="131" spans="1:69" ht="46.5">
      <c r="A131" s="1">
        <f t="shared" si="44"/>
        <v>67</v>
      </c>
      <c r="B131" s="127" t="s">
        <v>342</v>
      </c>
      <c r="C131" s="59" t="s">
        <v>91</v>
      </c>
      <c r="D131" s="4" t="s">
        <v>34</v>
      </c>
      <c r="E131" s="45">
        <f t="shared" si="30"/>
        <v>1.0100000000000002</v>
      </c>
      <c r="F131" s="73">
        <v>0.3</v>
      </c>
      <c r="G131" s="88">
        <f t="shared" si="42"/>
        <v>0.7100000000000002</v>
      </c>
      <c r="H131" s="78">
        <v>0.1</v>
      </c>
      <c r="I131" s="140"/>
      <c r="J131" s="140"/>
      <c r="K131" s="46">
        <v>0.05</v>
      </c>
      <c r="L131" s="78"/>
      <c r="M131" s="46">
        <f>SUM(N131:P131)</f>
        <v>0</v>
      </c>
      <c r="N131" s="46"/>
      <c r="O131" s="46"/>
      <c r="P131" s="46"/>
      <c r="Q131" s="46">
        <f>R131+S131+T131</f>
        <v>0</v>
      </c>
      <c r="R131" s="46"/>
      <c r="S131" s="46"/>
      <c r="T131" s="46"/>
      <c r="U131" s="6">
        <f t="shared" si="43"/>
        <v>0.45</v>
      </c>
      <c r="V131" s="46">
        <v>0.45</v>
      </c>
      <c r="W131" s="46"/>
      <c r="X131" s="78"/>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78">
        <v>0.11</v>
      </c>
      <c r="AU131" s="46"/>
      <c r="AV131" s="46"/>
      <c r="AW131" s="46"/>
      <c r="AX131" s="46"/>
      <c r="AY131" s="46"/>
      <c r="AZ131" s="46"/>
      <c r="BA131" s="46"/>
      <c r="BB131" s="46"/>
      <c r="BC131" s="46"/>
      <c r="BD131" s="46"/>
      <c r="BE131" s="46"/>
      <c r="BF131" s="46"/>
      <c r="BG131" s="46"/>
      <c r="BH131" s="60" t="s">
        <v>932</v>
      </c>
      <c r="BI131" s="59" t="s">
        <v>91</v>
      </c>
      <c r="BJ131" s="59" t="s">
        <v>963</v>
      </c>
      <c r="BK131" s="12" t="s">
        <v>374</v>
      </c>
      <c r="BL131" s="13" t="s">
        <v>341</v>
      </c>
      <c r="BM131" s="14" t="s">
        <v>935</v>
      </c>
      <c r="BN131" s="13" t="s">
        <v>1025</v>
      </c>
      <c r="BO131" s="15" t="s">
        <v>1147</v>
      </c>
      <c r="BQ131" s="17"/>
    </row>
    <row r="132" spans="1:69" ht="117" customHeight="1">
      <c r="A132" s="1">
        <f t="shared" si="44"/>
        <v>68</v>
      </c>
      <c r="B132" s="47" t="s">
        <v>343</v>
      </c>
      <c r="C132" s="60" t="s">
        <v>993</v>
      </c>
      <c r="D132" s="4" t="s">
        <v>34</v>
      </c>
      <c r="E132" s="45">
        <f t="shared" si="30"/>
        <v>20</v>
      </c>
      <c r="F132" s="73">
        <v>20</v>
      </c>
      <c r="G132" s="88">
        <f t="shared" si="42"/>
        <v>0</v>
      </c>
      <c r="H132" s="150"/>
      <c r="I132" s="150"/>
      <c r="J132" s="150"/>
      <c r="K132" s="150"/>
      <c r="L132" s="150"/>
      <c r="M132" s="150"/>
      <c r="N132" s="150"/>
      <c r="O132" s="150"/>
      <c r="P132" s="150"/>
      <c r="Q132" s="150"/>
      <c r="R132" s="150"/>
      <c r="S132" s="150"/>
      <c r="T132" s="150"/>
      <c r="U132" s="6"/>
      <c r="V132" s="150"/>
      <c r="W132" s="150"/>
      <c r="X132" s="150"/>
      <c r="Y132" s="150"/>
      <c r="Z132" s="150"/>
      <c r="AA132" s="150"/>
      <c r="AB132" s="150"/>
      <c r="AC132" s="150"/>
      <c r="AD132" s="150"/>
      <c r="AE132" s="150"/>
      <c r="AF132" s="150"/>
      <c r="AG132" s="150"/>
      <c r="AH132" s="150"/>
      <c r="AI132" s="150"/>
      <c r="AJ132" s="150"/>
      <c r="AK132" s="150"/>
      <c r="AL132" s="150"/>
      <c r="AM132" s="150"/>
      <c r="AN132" s="150"/>
      <c r="AO132" s="150"/>
      <c r="AP132" s="150"/>
      <c r="AQ132" s="150"/>
      <c r="AR132" s="150"/>
      <c r="AS132" s="150"/>
      <c r="AT132" s="150"/>
      <c r="AU132" s="150"/>
      <c r="AV132" s="150"/>
      <c r="AW132" s="150"/>
      <c r="AX132" s="150"/>
      <c r="AY132" s="150"/>
      <c r="AZ132" s="150"/>
      <c r="BA132" s="150"/>
      <c r="BB132" s="150"/>
      <c r="BC132" s="150"/>
      <c r="BD132" s="150"/>
      <c r="BE132" s="150"/>
      <c r="BF132" s="150"/>
      <c r="BG132" s="150"/>
      <c r="BH132" s="10"/>
      <c r="BI132" s="60" t="s">
        <v>993</v>
      </c>
      <c r="BJ132" s="60"/>
      <c r="BK132" s="12" t="s">
        <v>74</v>
      </c>
      <c r="BL132" s="58" t="s">
        <v>1016</v>
      </c>
      <c r="BM132" s="13" t="s">
        <v>194</v>
      </c>
      <c r="BN132" s="13" t="s">
        <v>1025</v>
      </c>
      <c r="BO132" s="15" t="s">
        <v>1147</v>
      </c>
      <c r="BQ132" s="17"/>
    </row>
    <row r="133" spans="1:71" ht="30.75">
      <c r="A133" s="1">
        <f t="shared" si="44"/>
        <v>69</v>
      </c>
      <c r="B133" s="2" t="s">
        <v>1140</v>
      </c>
      <c r="C133" s="14"/>
      <c r="D133" s="4"/>
      <c r="E133" s="45">
        <f t="shared" si="30"/>
        <v>2</v>
      </c>
      <c r="F133" s="46">
        <v>0.5</v>
      </c>
      <c r="G133" s="46">
        <v>1.5</v>
      </c>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10" t="s">
        <v>1145</v>
      </c>
      <c r="BI133" s="14" t="s">
        <v>91</v>
      </c>
      <c r="BJ133" s="14"/>
      <c r="BK133" s="12"/>
      <c r="BL133" s="151" t="s">
        <v>1148</v>
      </c>
      <c r="BM133" s="14"/>
      <c r="BN133" s="13"/>
      <c r="BO133" s="15" t="s">
        <v>194</v>
      </c>
      <c r="BP133" s="18"/>
      <c r="BQ133" s="17"/>
      <c r="BS133" s="17"/>
    </row>
    <row r="134" spans="1:71" s="100" customFormat="1" ht="25.5" customHeight="1">
      <c r="A134" s="128" t="s">
        <v>314</v>
      </c>
      <c r="B134" s="129" t="s">
        <v>344</v>
      </c>
      <c r="C134" s="68"/>
      <c r="D134" s="36"/>
      <c r="E134" s="39">
        <f>E135+E136+E137+E141+E142</f>
        <v>82.27</v>
      </c>
      <c r="F134" s="39">
        <f>SUM(F142:F151)</f>
        <v>0.41000000000000003</v>
      </c>
      <c r="G134" s="39">
        <f>G135+G136+G137+G141+G142+G143+G144+G146</f>
        <v>94.41</v>
      </c>
      <c r="H134" s="39">
        <f>H135+H136+H137+H141+H142</f>
        <v>10.74</v>
      </c>
      <c r="I134" s="39">
        <f aca="true" t="shared" si="45" ref="I134:BG134">I135+I136+I137+I141+I142</f>
        <v>3.33</v>
      </c>
      <c r="J134" s="39">
        <f t="shared" si="45"/>
        <v>0</v>
      </c>
      <c r="K134" s="39">
        <f t="shared" si="45"/>
        <v>8.02</v>
      </c>
      <c r="L134" s="39">
        <f t="shared" si="45"/>
        <v>6.77</v>
      </c>
      <c r="M134" s="39">
        <f t="shared" si="45"/>
        <v>0</v>
      </c>
      <c r="N134" s="39">
        <f t="shared" si="45"/>
        <v>0</v>
      </c>
      <c r="O134" s="39">
        <f t="shared" si="45"/>
        <v>0</v>
      </c>
      <c r="P134" s="39">
        <f t="shared" si="45"/>
        <v>0</v>
      </c>
      <c r="Q134" s="39">
        <f t="shared" si="45"/>
        <v>0</v>
      </c>
      <c r="R134" s="39">
        <f t="shared" si="45"/>
        <v>0</v>
      </c>
      <c r="S134" s="39">
        <f t="shared" si="45"/>
        <v>0</v>
      </c>
      <c r="T134" s="39">
        <f t="shared" si="45"/>
        <v>0</v>
      </c>
      <c r="U134" s="39">
        <f t="shared" si="45"/>
        <v>47.32</v>
      </c>
      <c r="V134" s="39">
        <f t="shared" si="45"/>
        <v>31.69</v>
      </c>
      <c r="W134" s="39">
        <f t="shared" si="45"/>
        <v>15.63</v>
      </c>
      <c r="X134" s="39">
        <f t="shared" si="45"/>
        <v>0</v>
      </c>
      <c r="Y134" s="39">
        <f t="shared" si="45"/>
        <v>0.5</v>
      </c>
      <c r="Z134" s="39">
        <f t="shared" si="45"/>
        <v>0</v>
      </c>
      <c r="AA134" s="39">
        <f t="shared" si="45"/>
        <v>0</v>
      </c>
      <c r="AB134" s="39">
        <f t="shared" si="45"/>
        <v>0</v>
      </c>
      <c r="AC134" s="39">
        <f t="shared" si="45"/>
        <v>0</v>
      </c>
      <c r="AD134" s="39">
        <f t="shared" si="45"/>
        <v>0</v>
      </c>
      <c r="AE134" s="39">
        <f t="shared" si="45"/>
        <v>0</v>
      </c>
      <c r="AF134" s="39">
        <f t="shared" si="45"/>
        <v>0</v>
      </c>
      <c r="AG134" s="39">
        <f t="shared" si="45"/>
        <v>0.11</v>
      </c>
      <c r="AH134" s="39">
        <f t="shared" si="45"/>
        <v>0</v>
      </c>
      <c r="AI134" s="39">
        <f t="shared" si="45"/>
        <v>0</v>
      </c>
      <c r="AJ134" s="39">
        <f t="shared" si="45"/>
        <v>0</v>
      </c>
      <c r="AK134" s="39">
        <f t="shared" si="45"/>
        <v>0</v>
      </c>
      <c r="AL134" s="39">
        <f t="shared" si="45"/>
        <v>0.17</v>
      </c>
      <c r="AM134" s="39">
        <f t="shared" si="45"/>
        <v>0</v>
      </c>
      <c r="AN134" s="39">
        <f t="shared" si="45"/>
        <v>0</v>
      </c>
      <c r="AO134" s="39">
        <f t="shared" si="45"/>
        <v>0</v>
      </c>
      <c r="AP134" s="39">
        <f t="shared" si="45"/>
        <v>0</v>
      </c>
      <c r="AQ134" s="39">
        <f t="shared" si="45"/>
        <v>0</v>
      </c>
      <c r="AR134" s="39">
        <f t="shared" si="45"/>
        <v>0</v>
      </c>
      <c r="AS134" s="39">
        <f t="shared" si="45"/>
        <v>0</v>
      </c>
      <c r="AT134" s="39">
        <f t="shared" si="45"/>
        <v>1.7399999999999998</v>
      </c>
      <c r="AU134" s="39">
        <f t="shared" si="45"/>
        <v>0</v>
      </c>
      <c r="AV134" s="39">
        <f t="shared" si="45"/>
        <v>0</v>
      </c>
      <c r="AW134" s="39">
        <f t="shared" si="45"/>
        <v>0</v>
      </c>
      <c r="AX134" s="39">
        <f t="shared" si="45"/>
        <v>0.01</v>
      </c>
      <c r="AY134" s="39">
        <f t="shared" si="45"/>
        <v>0</v>
      </c>
      <c r="AZ134" s="39">
        <f t="shared" si="45"/>
        <v>0</v>
      </c>
      <c r="BA134" s="39">
        <f t="shared" si="45"/>
        <v>0</v>
      </c>
      <c r="BB134" s="39">
        <f t="shared" si="45"/>
        <v>0</v>
      </c>
      <c r="BC134" s="39">
        <f t="shared" si="45"/>
        <v>0.05</v>
      </c>
      <c r="BD134" s="39">
        <f t="shared" si="45"/>
        <v>2.01</v>
      </c>
      <c r="BE134" s="39">
        <f t="shared" si="45"/>
        <v>0</v>
      </c>
      <c r="BF134" s="39">
        <f t="shared" si="45"/>
        <v>0</v>
      </c>
      <c r="BG134" s="39">
        <f t="shared" si="45"/>
        <v>1.4</v>
      </c>
      <c r="BH134" s="70"/>
      <c r="BI134" s="68"/>
      <c r="BJ134" s="68"/>
      <c r="BK134" s="35"/>
      <c r="BL134" s="41"/>
      <c r="BM134" s="68"/>
      <c r="BN134" s="41"/>
      <c r="BO134" s="143"/>
      <c r="BP134" s="20"/>
      <c r="BS134" s="19"/>
    </row>
    <row r="135" spans="1:69" ht="46.5">
      <c r="A135" s="1">
        <f>+A133+1</f>
        <v>70</v>
      </c>
      <c r="B135" s="152" t="s">
        <v>345</v>
      </c>
      <c r="C135" s="101" t="s">
        <v>71</v>
      </c>
      <c r="D135" s="4" t="s">
        <v>34</v>
      </c>
      <c r="E135" s="45">
        <f aca="true" t="shared" si="46" ref="E135:E150">F135+G135</f>
        <v>15</v>
      </c>
      <c r="F135" s="10"/>
      <c r="G135" s="88">
        <f>SUM(H135:BG135)-M135-Q135-U135</f>
        <v>15</v>
      </c>
      <c r="H135" s="8">
        <v>5.18</v>
      </c>
      <c r="I135" s="8">
        <v>0.83</v>
      </c>
      <c r="J135" s="8"/>
      <c r="K135" s="8">
        <v>0.92</v>
      </c>
      <c r="L135" s="8">
        <v>0.43</v>
      </c>
      <c r="M135" s="10"/>
      <c r="N135" s="10"/>
      <c r="O135" s="10"/>
      <c r="P135" s="10"/>
      <c r="Q135" s="10"/>
      <c r="R135" s="10"/>
      <c r="S135" s="10"/>
      <c r="T135" s="10"/>
      <c r="U135" s="6">
        <f>SUM(V135:X135)</f>
        <v>2.25</v>
      </c>
      <c r="V135" s="10"/>
      <c r="W135" s="10">
        <v>2.25</v>
      </c>
      <c r="X135" s="10"/>
      <c r="Y135" s="10">
        <v>0.5</v>
      </c>
      <c r="Z135" s="10"/>
      <c r="AA135" s="10"/>
      <c r="AB135" s="10"/>
      <c r="AC135" s="10"/>
      <c r="AD135" s="10"/>
      <c r="AE135" s="10"/>
      <c r="AF135" s="10"/>
      <c r="AG135" s="10">
        <v>0.11</v>
      </c>
      <c r="AH135" s="10"/>
      <c r="AI135" s="10"/>
      <c r="AJ135" s="10"/>
      <c r="AK135" s="10"/>
      <c r="AL135" s="10">
        <v>0.17</v>
      </c>
      <c r="AM135" s="10"/>
      <c r="AN135" s="10"/>
      <c r="AO135" s="10"/>
      <c r="AP135" s="10"/>
      <c r="AQ135" s="10"/>
      <c r="AR135" s="10"/>
      <c r="AS135" s="10"/>
      <c r="AT135" s="10">
        <v>1.14</v>
      </c>
      <c r="AU135" s="10"/>
      <c r="AV135" s="10"/>
      <c r="AW135" s="10"/>
      <c r="AX135" s="10">
        <v>0.01</v>
      </c>
      <c r="AY135" s="10"/>
      <c r="AZ135" s="10"/>
      <c r="BA135" s="10"/>
      <c r="BB135" s="10"/>
      <c r="BC135" s="10">
        <v>0.05</v>
      </c>
      <c r="BD135" s="10">
        <v>2.01</v>
      </c>
      <c r="BE135" s="10"/>
      <c r="BF135" s="10"/>
      <c r="BG135" s="10">
        <v>1.4</v>
      </c>
      <c r="BH135" s="60" t="s">
        <v>346</v>
      </c>
      <c r="BI135" s="101" t="s">
        <v>71</v>
      </c>
      <c r="BJ135" s="55" t="s">
        <v>913</v>
      </c>
      <c r="BK135" s="12" t="s">
        <v>74</v>
      </c>
      <c r="BL135" s="13" t="s">
        <v>347</v>
      </c>
      <c r="BM135" s="13" t="s">
        <v>194</v>
      </c>
      <c r="BN135" s="13" t="s">
        <v>1025</v>
      </c>
      <c r="BO135" s="15" t="s">
        <v>1147</v>
      </c>
      <c r="BP135" s="16" t="s">
        <v>1053</v>
      </c>
      <c r="BQ135" s="139">
        <f>+G135-15</f>
        <v>0</v>
      </c>
    </row>
    <row r="136" spans="1:69" ht="42.75" customHeight="1">
      <c r="A136" s="1">
        <f>A135+1</f>
        <v>71</v>
      </c>
      <c r="B136" s="2" t="s">
        <v>348</v>
      </c>
      <c r="C136" s="14" t="s">
        <v>71</v>
      </c>
      <c r="D136" s="4" t="s">
        <v>34</v>
      </c>
      <c r="E136" s="45">
        <f t="shared" si="46"/>
        <v>8.93</v>
      </c>
      <c r="F136" s="73"/>
      <c r="G136" s="88">
        <f>SUM(H136:BG136)-M136-Q136-U136</f>
        <v>8.93</v>
      </c>
      <c r="H136" s="10"/>
      <c r="I136" s="10"/>
      <c r="J136" s="10"/>
      <c r="K136" s="10"/>
      <c r="L136" s="10"/>
      <c r="M136" s="10">
        <f>SUM(N136:P136)</f>
        <v>0</v>
      </c>
      <c r="N136" s="10"/>
      <c r="O136" s="10"/>
      <c r="P136" s="10"/>
      <c r="Q136" s="6">
        <f>R136+S136+T136</f>
        <v>0</v>
      </c>
      <c r="R136" s="10"/>
      <c r="S136" s="10"/>
      <c r="T136" s="10"/>
      <c r="U136" s="6">
        <f>SUM(V136:X136)</f>
        <v>8.93</v>
      </c>
      <c r="V136" s="10"/>
      <c r="W136" s="10">
        <f>6.93+2</f>
        <v>8.93</v>
      </c>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3" t="s">
        <v>349</v>
      </c>
      <c r="BI136" s="14" t="s">
        <v>71</v>
      </c>
      <c r="BJ136" s="14" t="s">
        <v>263</v>
      </c>
      <c r="BK136" s="138" t="s">
        <v>964</v>
      </c>
      <c r="BL136" s="13" t="s">
        <v>347</v>
      </c>
      <c r="BM136" s="14" t="s">
        <v>935</v>
      </c>
      <c r="BN136" s="13" t="s">
        <v>1025</v>
      </c>
      <c r="BO136" s="15" t="s">
        <v>1147</v>
      </c>
      <c r="BQ136" s="17"/>
    </row>
    <row r="137" spans="1:69" ht="53.25" customHeight="1">
      <c r="A137" s="1">
        <f>A136+1</f>
        <v>72</v>
      </c>
      <c r="B137" s="2" t="s">
        <v>350</v>
      </c>
      <c r="C137" s="14" t="s">
        <v>71</v>
      </c>
      <c r="D137" s="4" t="s">
        <v>34</v>
      </c>
      <c r="E137" s="45">
        <f t="shared" si="46"/>
        <v>8.7</v>
      </c>
      <c r="F137" s="73"/>
      <c r="G137" s="88">
        <f>SUM(H137:BG137)-M137-Q137-U137</f>
        <v>8.7</v>
      </c>
      <c r="H137" s="46">
        <v>3.23</v>
      </c>
      <c r="I137" s="46">
        <v>1</v>
      </c>
      <c r="J137" s="46"/>
      <c r="K137" s="46">
        <f>2.98+0.59-0.6</f>
        <v>2.9699999999999998</v>
      </c>
      <c r="L137" s="46"/>
      <c r="M137" s="46"/>
      <c r="N137" s="46"/>
      <c r="O137" s="46"/>
      <c r="P137" s="46"/>
      <c r="Q137" s="46"/>
      <c r="R137" s="46"/>
      <c r="S137" s="46"/>
      <c r="T137" s="46"/>
      <c r="U137" s="6">
        <f>SUM(V137:X137)</f>
        <v>1.5</v>
      </c>
      <c r="V137" s="46">
        <v>1.5</v>
      </c>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10" t="s">
        <v>72</v>
      </c>
      <c r="BI137" s="14" t="s">
        <v>71</v>
      </c>
      <c r="BJ137" s="14" t="s">
        <v>263</v>
      </c>
      <c r="BK137" s="12" t="s">
        <v>351</v>
      </c>
      <c r="BL137" s="13" t="s">
        <v>352</v>
      </c>
      <c r="BM137" s="14" t="s">
        <v>935</v>
      </c>
      <c r="BN137" s="13" t="s">
        <v>1025</v>
      </c>
      <c r="BO137" s="15" t="s">
        <v>1147</v>
      </c>
      <c r="BQ137" s="17"/>
    </row>
    <row r="138" spans="1:69" ht="54" customHeight="1">
      <c r="A138" s="1">
        <f>A137+1</f>
        <v>73</v>
      </c>
      <c r="B138" s="153" t="s">
        <v>353</v>
      </c>
      <c r="C138" s="101" t="s">
        <v>71</v>
      </c>
      <c r="D138" s="13"/>
      <c r="E138" s="5">
        <f t="shared" si="46"/>
        <v>58.08</v>
      </c>
      <c r="F138" s="45"/>
      <c r="G138" s="5">
        <f>SUM(H138:M138,Q138,U138,Y138:BG138)</f>
        <v>58.08</v>
      </c>
      <c r="H138" s="48">
        <f>SUM(H139:H141)</f>
        <v>2.71</v>
      </c>
      <c r="I138" s="48">
        <f aca="true" t="shared" si="47" ref="I138:BG138">SUM(I139:I141)</f>
        <v>1.5</v>
      </c>
      <c r="J138" s="48">
        <f t="shared" si="47"/>
        <v>0</v>
      </c>
      <c r="K138" s="48">
        <f t="shared" si="47"/>
        <v>5.1899999999999995</v>
      </c>
      <c r="L138" s="48">
        <f t="shared" si="47"/>
        <v>6</v>
      </c>
      <c r="M138" s="48">
        <f t="shared" si="47"/>
        <v>0</v>
      </c>
      <c r="N138" s="48">
        <f t="shared" si="47"/>
        <v>0</v>
      </c>
      <c r="O138" s="48">
        <f t="shared" si="47"/>
        <v>0</v>
      </c>
      <c r="P138" s="48">
        <f t="shared" si="47"/>
        <v>0</v>
      </c>
      <c r="Q138" s="48">
        <f t="shared" si="47"/>
        <v>0</v>
      </c>
      <c r="R138" s="48">
        <f t="shared" si="47"/>
        <v>0</v>
      </c>
      <c r="S138" s="48">
        <f t="shared" si="47"/>
        <v>0</v>
      </c>
      <c r="T138" s="48">
        <f t="shared" si="47"/>
        <v>0</v>
      </c>
      <c r="U138" s="48">
        <f t="shared" si="47"/>
        <v>39.44</v>
      </c>
      <c r="V138" s="48">
        <f>SUM(V139:V141)</f>
        <v>35.05</v>
      </c>
      <c r="W138" s="48">
        <f t="shared" si="47"/>
        <v>4.39</v>
      </c>
      <c r="X138" s="48">
        <f t="shared" si="47"/>
        <v>0</v>
      </c>
      <c r="Y138" s="48">
        <f t="shared" si="47"/>
        <v>0</v>
      </c>
      <c r="Z138" s="48">
        <f t="shared" si="47"/>
        <v>0</v>
      </c>
      <c r="AA138" s="48">
        <f t="shared" si="47"/>
        <v>0</v>
      </c>
      <c r="AB138" s="48">
        <f t="shared" si="47"/>
        <v>0</v>
      </c>
      <c r="AC138" s="48">
        <f t="shared" si="47"/>
        <v>0</v>
      </c>
      <c r="AD138" s="48">
        <f t="shared" si="47"/>
        <v>0</v>
      </c>
      <c r="AE138" s="48">
        <f t="shared" si="47"/>
        <v>0</v>
      </c>
      <c r="AF138" s="48">
        <f t="shared" si="47"/>
        <v>0.1</v>
      </c>
      <c r="AG138" s="48">
        <f t="shared" si="47"/>
        <v>0</v>
      </c>
      <c r="AH138" s="48">
        <f t="shared" si="47"/>
        <v>0</v>
      </c>
      <c r="AI138" s="48">
        <f t="shared" si="47"/>
        <v>0</v>
      </c>
      <c r="AJ138" s="48">
        <f t="shared" si="47"/>
        <v>0</v>
      </c>
      <c r="AK138" s="48">
        <f t="shared" si="47"/>
        <v>0</v>
      </c>
      <c r="AL138" s="48">
        <f t="shared" si="47"/>
        <v>0</v>
      </c>
      <c r="AM138" s="48">
        <f t="shared" si="47"/>
        <v>0</v>
      </c>
      <c r="AN138" s="48">
        <f t="shared" si="47"/>
        <v>0</v>
      </c>
      <c r="AO138" s="48">
        <f t="shared" si="47"/>
        <v>0</v>
      </c>
      <c r="AP138" s="48">
        <f t="shared" si="47"/>
        <v>0</v>
      </c>
      <c r="AQ138" s="48">
        <f t="shared" si="47"/>
        <v>0</v>
      </c>
      <c r="AR138" s="48">
        <f t="shared" si="47"/>
        <v>0</v>
      </c>
      <c r="AS138" s="48">
        <f t="shared" si="47"/>
        <v>0</v>
      </c>
      <c r="AT138" s="48">
        <f t="shared" si="47"/>
        <v>0</v>
      </c>
      <c r="AU138" s="48">
        <f t="shared" si="47"/>
        <v>0</v>
      </c>
      <c r="AV138" s="48">
        <f t="shared" si="47"/>
        <v>0</v>
      </c>
      <c r="AW138" s="48">
        <f t="shared" si="47"/>
        <v>0</v>
      </c>
      <c r="AX138" s="48">
        <f t="shared" si="47"/>
        <v>0</v>
      </c>
      <c r="AY138" s="48">
        <f t="shared" si="47"/>
        <v>0</v>
      </c>
      <c r="AZ138" s="48">
        <f t="shared" si="47"/>
        <v>0</v>
      </c>
      <c r="BA138" s="48">
        <f t="shared" si="47"/>
        <v>0</v>
      </c>
      <c r="BB138" s="48">
        <f t="shared" si="47"/>
        <v>0</v>
      </c>
      <c r="BC138" s="48">
        <f t="shared" si="47"/>
        <v>0</v>
      </c>
      <c r="BD138" s="48">
        <f t="shared" si="47"/>
        <v>0</v>
      </c>
      <c r="BE138" s="48">
        <f t="shared" si="47"/>
        <v>0</v>
      </c>
      <c r="BF138" s="48">
        <f t="shared" si="47"/>
        <v>0</v>
      </c>
      <c r="BG138" s="48">
        <f t="shared" si="47"/>
        <v>3.14</v>
      </c>
      <c r="BH138" s="10" t="s">
        <v>951</v>
      </c>
      <c r="BI138" s="101" t="s">
        <v>71</v>
      </c>
      <c r="BJ138" s="55" t="s">
        <v>912</v>
      </c>
      <c r="BK138" s="91" t="s">
        <v>374</v>
      </c>
      <c r="BL138" s="13" t="s">
        <v>354</v>
      </c>
      <c r="BM138" s="14" t="s">
        <v>935</v>
      </c>
      <c r="BN138" s="13" t="s">
        <v>1025</v>
      </c>
      <c r="BO138" s="15" t="s">
        <v>1147</v>
      </c>
      <c r="BQ138" s="17"/>
    </row>
    <row r="139" spans="1:71" s="114" customFormat="1" ht="24" customHeight="1" hidden="1">
      <c r="A139" s="154"/>
      <c r="B139" s="145" t="s">
        <v>355</v>
      </c>
      <c r="C139" s="155" t="s">
        <v>71</v>
      </c>
      <c r="D139" s="103" t="s">
        <v>31</v>
      </c>
      <c r="E139" s="144">
        <f t="shared" si="46"/>
        <v>7.61</v>
      </c>
      <c r="F139" s="144"/>
      <c r="G139" s="89">
        <f>SUM(H139:BG139)-M139-Q139-U139</f>
        <v>7.61</v>
      </c>
      <c r="H139" s="149">
        <v>0.71</v>
      </c>
      <c r="I139" s="110"/>
      <c r="J139" s="110"/>
      <c r="K139" s="156">
        <f>1.54+0.15</f>
        <v>1.69</v>
      </c>
      <c r="L139" s="110"/>
      <c r="M139" s="108">
        <f>SUM(N139:P139)</f>
        <v>0</v>
      </c>
      <c r="N139" s="110"/>
      <c r="O139" s="149"/>
      <c r="P139" s="110"/>
      <c r="Q139" s="105">
        <f>R139+S139+T139</f>
        <v>0</v>
      </c>
      <c r="R139" s="110"/>
      <c r="S139" s="110"/>
      <c r="T139" s="110"/>
      <c r="U139" s="105">
        <f aca="true" t="shared" si="48" ref="U139:U146">SUM(V139:X139)</f>
        <v>1.97</v>
      </c>
      <c r="V139" s="110">
        <v>1.97</v>
      </c>
      <c r="W139" s="110"/>
      <c r="X139" s="110"/>
      <c r="Y139" s="110"/>
      <c r="Z139" s="110"/>
      <c r="AA139" s="110"/>
      <c r="AB139" s="110"/>
      <c r="AC139" s="110"/>
      <c r="AD139" s="110"/>
      <c r="AE139" s="110"/>
      <c r="AF139" s="110">
        <v>0.1</v>
      </c>
      <c r="AG139" s="110"/>
      <c r="AH139" s="110"/>
      <c r="AI139" s="110"/>
      <c r="AJ139" s="110"/>
      <c r="AK139" s="110"/>
      <c r="AL139" s="110"/>
      <c r="AM139" s="110"/>
      <c r="AN139" s="110"/>
      <c r="AO139" s="110"/>
      <c r="AP139" s="110"/>
      <c r="AQ139" s="110"/>
      <c r="AR139" s="110"/>
      <c r="AS139" s="110"/>
      <c r="AT139" s="110"/>
      <c r="AU139" s="110"/>
      <c r="AV139" s="110"/>
      <c r="AW139" s="110"/>
      <c r="AX139" s="110"/>
      <c r="AY139" s="110"/>
      <c r="AZ139" s="110"/>
      <c r="BA139" s="110"/>
      <c r="BB139" s="110"/>
      <c r="BC139" s="110"/>
      <c r="BD139" s="110"/>
      <c r="BE139" s="110"/>
      <c r="BF139" s="110"/>
      <c r="BG139" s="147">
        <f>3.29-0.15</f>
        <v>3.14</v>
      </c>
      <c r="BH139" s="108" t="s">
        <v>356</v>
      </c>
      <c r="BI139" s="155" t="s">
        <v>71</v>
      </c>
      <c r="BJ139" s="155"/>
      <c r="BK139" s="157" t="s">
        <v>374</v>
      </c>
      <c r="BL139" s="111"/>
      <c r="BM139" s="111"/>
      <c r="BN139" s="111"/>
      <c r="BO139" s="15" t="s">
        <v>1147</v>
      </c>
      <c r="BP139" s="113"/>
      <c r="BS139" s="115"/>
    </row>
    <row r="140" spans="1:71" s="114" customFormat="1" ht="24" customHeight="1" hidden="1">
      <c r="A140" s="158"/>
      <c r="B140" s="159" t="s">
        <v>357</v>
      </c>
      <c r="C140" s="160" t="s">
        <v>71</v>
      </c>
      <c r="D140" s="111" t="s">
        <v>32</v>
      </c>
      <c r="E140" s="104">
        <f t="shared" si="46"/>
        <v>3.33</v>
      </c>
      <c r="F140" s="144"/>
      <c r="G140" s="104">
        <f>SUM(H140:M140,Q140,U140,Y140:BG140)</f>
        <v>3.33</v>
      </c>
      <c r="H140" s="110"/>
      <c r="I140" s="110"/>
      <c r="J140" s="110"/>
      <c r="K140" s="110"/>
      <c r="L140" s="108"/>
      <c r="M140" s="110"/>
      <c r="N140" s="110"/>
      <c r="O140" s="110"/>
      <c r="P140" s="110"/>
      <c r="Q140" s="110"/>
      <c r="R140" s="110"/>
      <c r="S140" s="110"/>
      <c r="T140" s="105"/>
      <c r="U140" s="105">
        <f t="shared" si="48"/>
        <v>3.33</v>
      </c>
      <c r="V140" s="110">
        <v>3.33</v>
      </c>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0"/>
      <c r="AY140" s="110"/>
      <c r="AZ140" s="110"/>
      <c r="BA140" s="110"/>
      <c r="BB140" s="110"/>
      <c r="BC140" s="110"/>
      <c r="BD140" s="110"/>
      <c r="BE140" s="110"/>
      <c r="BF140" s="110"/>
      <c r="BG140" s="108"/>
      <c r="BH140" s="108" t="s">
        <v>356</v>
      </c>
      <c r="BI140" s="160" t="s">
        <v>71</v>
      </c>
      <c r="BJ140" s="161"/>
      <c r="BK140" s="157" t="s">
        <v>374</v>
      </c>
      <c r="BL140" s="111"/>
      <c r="BM140" s="111"/>
      <c r="BN140" s="111"/>
      <c r="BO140" s="15" t="s">
        <v>1147</v>
      </c>
      <c r="BP140" s="113"/>
      <c r="BS140" s="115"/>
    </row>
    <row r="141" spans="1:71" s="114" customFormat="1" ht="24" customHeight="1" hidden="1">
      <c r="A141" s="154"/>
      <c r="B141" s="162" t="s">
        <v>184</v>
      </c>
      <c r="C141" s="155" t="s">
        <v>71</v>
      </c>
      <c r="D141" s="103" t="s">
        <v>34</v>
      </c>
      <c r="E141" s="104">
        <f t="shared" si="46"/>
        <v>47.14</v>
      </c>
      <c r="F141" s="163"/>
      <c r="G141" s="89">
        <f>SUM(H141:BG141)-M141-Q141-U141</f>
        <v>47.14</v>
      </c>
      <c r="H141" s="108">
        <v>2</v>
      </c>
      <c r="I141" s="108">
        <v>1.5</v>
      </c>
      <c r="J141" s="108"/>
      <c r="K141" s="108">
        <f>4.5-1</f>
        <v>3.5</v>
      </c>
      <c r="L141" s="108">
        <v>6</v>
      </c>
      <c r="M141" s="108"/>
      <c r="N141" s="108"/>
      <c r="O141" s="108"/>
      <c r="P141" s="108"/>
      <c r="Q141" s="105"/>
      <c r="R141" s="108"/>
      <c r="S141" s="108"/>
      <c r="T141" s="108"/>
      <c r="U141" s="105">
        <f t="shared" si="48"/>
        <v>34.14</v>
      </c>
      <c r="V141" s="108">
        <f>29.35-0.6+1</f>
        <v>29.75</v>
      </c>
      <c r="W141" s="108">
        <f>3.79+0.6</f>
        <v>4.39</v>
      </c>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t="s">
        <v>356</v>
      </c>
      <c r="BI141" s="155" t="s">
        <v>71</v>
      </c>
      <c r="BJ141" s="155"/>
      <c r="BK141" s="157" t="s">
        <v>374</v>
      </c>
      <c r="BL141" s="111"/>
      <c r="BM141" s="111"/>
      <c r="BN141" s="111"/>
      <c r="BO141" s="15" t="s">
        <v>1147</v>
      </c>
      <c r="BP141" s="113"/>
      <c r="BS141" s="115"/>
    </row>
    <row r="142" spans="1:67" ht="78">
      <c r="A142" s="124">
        <f>A138+1</f>
        <v>74</v>
      </c>
      <c r="B142" s="164" t="s">
        <v>358</v>
      </c>
      <c r="C142" s="42" t="s">
        <v>138</v>
      </c>
      <c r="D142" s="4" t="s">
        <v>34</v>
      </c>
      <c r="E142" s="45">
        <f t="shared" si="46"/>
        <v>2.5000000000000004</v>
      </c>
      <c r="F142" s="46">
        <v>0.1</v>
      </c>
      <c r="G142" s="89">
        <f>SUM(H142:BG142)-M142-Q142-U142</f>
        <v>2.4000000000000004</v>
      </c>
      <c r="H142" s="46">
        <v>0.33</v>
      </c>
      <c r="I142" s="46"/>
      <c r="J142" s="46"/>
      <c r="K142" s="46">
        <v>0.63</v>
      </c>
      <c r="L142" s="46">
        <v>0.34</v>
      </c>
      <c r="M142" s="46">
        <f>SUM(N142:P142)</f>
        <v>0</v>
      </c>
      <c r="N142" s="46"/>
      <c r="O142" s="46"/>
      <c r="P142" s="46"/>
      <c r="Q142" s="46">
        <f>SUM(R142:T142)</f>
        <v>0</v>
      </c>
      <c r="R142" s="46"/>
      <c r="S142" s="46"/>
      <c r="T142" s="46"/>
      <c r="U142" s="6">
        <f t="shared" si="48"/>
        <v>0.5</v>
      </c>
      <c r="V142" s="46">
        <v>0.44</v>
      </c>
      <c r="W142" s="46">
        <v>0.06</v>
      </c>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v>0.6</v>
      </c>
      <c r="AU142" s="46"/>
      <c r="AV142" s="46"/>
      <c r="AW142" s="46"/>
      <c r="AX142" s="46"/>
      <c r="AY142" s="46"/>
      <c r="AZ142" s="46"/>
      <c r="BA142" s="46"/>
      <c r="BB142" s="46"/>
      <c r="BC142" s="46"/>
      <c r="BD142" s="46"/>
      <c r="BE142" s="46"/>
      <c r="BF142" s="46"/>
      <c r="BG142" s="46"/>
      <c r="BH142" s="10" t="s">
        <v>203</v>
      </c>
      <c r="BI142" s="42" t="s">
        <v>138</v>
      </c>
      <c r="BJ142" s="4" t="s">
        <v>359</v>
      </c>
      <c r="BK142" s="82" t="s">
        <v>120</v>
      </c>
      <c r="BL142" s="13" t="s">
        <v>338</v>
      </c>
      <c r="BM142" s="14" t="s">
        <v>935</v>
      </c>
      <c r="BN142" s="13" t="s">
        <v>1025</v>
      </c>
      <c r="BO142" s="15" t="s">
        <v>1147</v>
      </c>
    </row>
    <row r="143" spans="1:69" ht="34.5" customHeight="1">
      <c r="A143" s="124">
        <f>A142+1</f>
        <v>75</v>
      </c>
      <c r="B143" s="133" t="s">
        <v>361</v>
      </c>
      <c r="C143" s="60" t="s">
        <v>362</v>
      </c>
      <c r="D143" s="4" t="s">
        <v>34</v>
      </c>
      <c r="E143" s="45">
        <f>F143+G143</f>
        <v>1</v>
      </c>
      <c r="F143" s="5"/>
      <c r="G143" s="88">
        <f aca="true" t="shared" si="49" ref="G143:G148">SUM(H143:BG143)-M143-Q143-U143</f>
        <v>1</v>
      </c>
      <c r="H143" s="88"/>
      <c r="I143" s="88">
        <v>0.2</v>
      </c>
      <c r="J143" s="46"/>
      <c r="K143" s="88">
        <v>0.15</v>
      </c>
      <c r="L143" s="88">
        <v>0.2</v>
      </c>
      <c r="M143" s="46"/>
      <c r="N143" s="46"/>
      <c r="O143" s="46"/>
      <c r="P143" s="46"/>
      <c r="Q143" s="46"/>
      <c r="R143" s="46"/>
      <c r="S143" s="46"/>
      <c r="T143" s="46"/>
      <c r="U143" s="6">
        <f t="shared" si="48"/>
        <v>0.45</v>
      </c>
      <c r="V143" s="46">
        <v>0.45</v>
      </c>
      <c r="W143" s="46"/>
      <c r="X143" s="46"/>
      <c r="Y143" s="88"/>
      <c r="Z143" s="46"/>
      <c r="AA143" s="46"/>
      <c r="AB143" s="46"/>
      <c r="AC143" s="46"/>
      <c r="AD143" s="46"/>
      <c r="AE143" s="46"/>
      <c r="AF143" s="46"/>
      <c r="AG143" s="46"/>
      <c r="AH143" s="46"/>
      <c r="AI143" s="46"/>
      <c r="AJ143" s="46"/>
      <c r="AK143" s="46"/>
      <c r="AL143" s="46"/>
      <c r="AM143" s="46"/>
      <c r="AN143" s="46"/>
      <c r="AO143" s="46"/>
      <c r="AP143" s="46"/>
      <c r="AQ143" s="46"/>
      <c r="AR143" s="46"/>
      <c r="AS143" s="46"/>
      <c r="AT143" s="88"/>
      <c r="AU143" s="46"/>
      <c r="AV143" s="46"/>
      <c r="AW143" s="46"/>
      <c r="AX143" s="46"/>
      <c r="AY143" s="46"/>
      <c r="AZ143" s="46"/>
      <c r="BA143" s="46"/>
      <c r="BB143" s="46"/>
      <c r="BC143" s="46"/>
      <c r="BD143" s="88"/>
      <c r="BE143" s="46"/>
      <c r="BF143" s="46"/>
      <c r="BG143" s="46"/>
      <c r="BH143" s="10"/>
      <c r="BI143" s="60" t="s">
        <v>362</v>
      </c>
      <c r="BJ143" s="60"/>
      <c r="BK143" s="12" t="s">
        <v>374</v>
      </c>
      <c r="BL143" s="13" t="s">
        <v>190</v>
      </c>
      <c r="BM143" s="14" t="s">
        <v>935</v>
      </c>
      <c r="BN143" s="13" t="s">
        <v>1025</v>
      </c>
      <c r="BO143" s="15" t="s">
        <v>1147</v>
      </c>
      <c r="BQ143" s="17"/>
    </row>
    <row r="144" spans="1:69" ht="55.5" customHeight="1">
      <c r="A144" s="124">
        <f>+A143+1</f>
        <v>76</v>
      </c>
      <c r="B144" s="133" t="s">
        <v>365</v>
      </c>
      <c r="C144" s="165" t="s">
        <v>366</v>
      </c>
      <c r="D144" s="4" t="s">
        <v>34</v>
      </c>
      <c r="E144" s="45">
        <f>F144+G144</f>
        <v>5.59</v>
      </c>
      <c r="F144" s="46">
        <v>0.31</v>
      </c>
      <c r="G144" s="88">
        <f t="shared" si="49"/>
        <v>5.28</v>
      </c>
      <c r="H144" s="88">
        <v>0.04</v>
      </c>
      <c r="I144" s="88"/>
      <c r="J144" s="46"/>
      <c r="K144" s="166">
        <v>0.02</v>
      </c>
      <c r="L144" s="88">
        <v>0.44</v>
      </c>
      <c r="M144" s="46"/>
      <c r="N144" s="46"/>
      <c r="O144" s="46"/>
      <c r="P144" s="46"/>
      <c r="Q144" s="46"/>
      <c r="R144" s="46"/>
      <c r="S144" s="46"/>
      <c r="T144" s="46"/>
      <c r="U144" s="6">
        <f>SUM(V144:X144)</f>
        <v>4.46</v>
      </c>
      <c r="V144" s="46">
        <v>2.05</v>
      </c>
      <c r="W144" s="46">
        <v>2.16</v>
      </c>
      <c r="X144" s="46">
        <v>0.25</v>
      </c>
      <c r="Y144" s="88"/>
      <c r="Z144" s="46"/>
      <c r="AA144" s="46"/>
      <c r="AB144" s="46"/>
      <c r="AC144" s="46"/>
      <c r="AD144" s="46"/>
      <c r="AE144" s="46"/>
      <c r="AF144" s="46"/>
      <c r="AG144" s="46"/>
      <c r="AH144" s="46"/>
      <c r="AI144" s="46"/>
      <c r="AJ144" s="46"/>
      <c r="AK144" s="46"/>
      <c r="AL144" s="46"/>
      <c r="AM144" s="46"/>
      <c r="AN144" s="46"/>
      <c r="AO144" s="46"/>
      <c r="AP144" s="46"/>
      <c r="AQ144" s="46"/>
      <c r="AR144" s="46"/>
      <c r="AS144" s="46"/>
      <c r="AT144" s="88">
        <v>0.05</v>
      </c>
      <c r="AU144" s="46"/>
      <c r="AV144" s="46"/>
      <c r="AW144" s="46"/>
      <c r="AX144" s="46"/>
      <c r="AY144" s="46"/>
      <c r="AZ144" s="46"/>
      <c r="BA144" s="46"/>
      <c r="BB144" s="46"/>
      <c r="BC144" s="46"/>
      <c r="BD144" s="88">
        <v>0.08</v>
      </c>
      <c r="BE144" s="46"/>
      <c r="BF144" s="46"/>
      <c r="BG144" s="46">
        <v>0.19</v>
      </c>
      <c r="BH144" s="10" t="s">
        <v>367</v>
      </c>
      <c r="BI144" s="165" t="s">
        <v>366</v>
      </c>
      <c r="BJ144" s="14"/>
      <c r="BK144" s="12" t="s">
        <v>120</v>
      </c>
      <c r="BL144" s="13" t="s">
        <v>368</v>
      </c>
      <c r="BM144" s="14" t="s">
        <v>194</v>
      </c>
      <c r="BN144" s="13" t="s">
        <v>1024</v>
      </c>
      <c r="BO144" s="15" t="s">
        <v>1147</v>
      </c>
      <c r="BQ144" s="17"/>
    </row>
    <row r="145" spans="1:69" ht="34.5" customHeight="1">
      <c r="A145" s="124">
        <f>A144+1</f>
        <v>77</v>
      </c>
      <c r="B145" s="133" t="s">
        <v>1140</v>
      </c>
      <c r="C145" s="60" t="s">
        <v>362</v>
      </c>
      <c r="D145" s="4" t="s">
        <v>34</v>
      </c>
      <c r="E145" s="45">
        <f>F145+G145</f>
        <v>1</v>
      </c>
      <c r="F145" s="5"/>
      <c r="G145" s="88">
        <f t="shared" si="49"/>
        <v>1</v>
      </c>
      <c r="H145" s="88"/>
      <c r="I145" s="88">
        <v>0.2</v>
      </c>
      <c r="J145" s="46"/>
      <c r="K145" s="88">
        <v>0.15</v>
      </c>
      <c r="L145" s="88">
        <v>0.2</v>
      </c>
      <c r="M145" s="46"/>
      <c r="N145" s="46"/>
      <c r="O145" s="46"/>
      <c r="P145" s="46"/>
      <c r="Q145" s="46"/>
      <c r="R145" s="46"/>
      <c r="S145" s="46"/>
      <c r="T145" s="46"/>
      <c r="U145" s="6">
        <f>SUM(V145:X145)</f>
        <v>0.45</v>
      </c>
      <c r="V145" s="46">
        <v>0.45</v>
      </c>
      <c r="W145" s="46"/>
      <c r="X145" s="46"/>
      <c r="Y145" s="88"/>
      <c r="Z145" s="46"/>
      <c r="AA145" s="46"/>
      <c r="AB145" s="46"/>
      <c r="AC145" s="46"/>
      <c r="AD145" s="46"/>
      <c r="AE145" s="46"/>
      <c r="AF145" s="46"/>
      <c r="AG145" s="46"/>
      <c r="AH145" s="46"/>
      <c r="AI145" s="46"/>
      <c r="AJ145" s="46"/>
      <c r="AK145" s="46"/>
      <c r="AL145" s="46"/>
      <c r="AM145" s="46"/>
      <c r="AN145" s="46"/>
      <c r="AO145" s="46"/>
      <c r="AP145" s="46"/>
      <c r="AQ145" s="46"/>
      <c r="AR145" s="46"/>
      <c r="AS145" s="46"/>
      <c r="AT145" s="88"/>
      <c r="AU145" s="46"/>
      <c r="AV145" s="46"/>
      <c r="AW145" s="46"/>
      <c r="AX145" s="46"/>
      <c r="AY145" s="46"/>
      <c r="AZ145" s="46"/>
      <c r="BA145" s="46"/>
      <c r="BB145" s="46"/>
      <c r="BC145" s="46"/>
      <c r="BD145" s="88"/>
      <c r="BE145" s="46"/>
      <c r="BF145" s="46"/>
      <c r="BG145" s="46"/>
      <c r="BH145" s="10"/>
      <c r="BI145" s="60" t="s">
        <v>362</v>
      </c>
      <c r="BJ145" s="60"/>
      <c r="BK145" s="12" t="s">
        <v>374</v>
      </c>
      <c r="BL145" s="13" t="s">
        <v>190</v>
      </c>
      <c r="BM145" s="14" t="s">
        <v>935</v>
      </c>
      <c r="BN145" s="13" t="s">
        <v>1025</v>
      </c>
      <c r="BO145" s="15" t="s">
        <v>1147</v>
      </c>
      <c r="BQ145" s="17"/>
    </row>
    <row r="146" spans="1:69" ht="78">
      <c r="A146" s="124">
        <f>+A145+1</f>
        <v>78</v>
      </c>
      <c r="B146" s="133" t="s">
        <v>1078</v>
      </c>
      <c r="C146" s="165" t="s">
        <v>71</v>
      </c>
      <c r="D146" s="4" t="s">
        <v>34</v>
      </c>
      <c r="E146" s="45">
        <f>F146+G146</f>
        <v>5.96</v>
      </c>
      <c r="F146" s="46"/>
      <c r="G146" s="88">
        <f t="shared" si="49"/>
        <v>5.96</v>
      </c>
      <c r="H146" s="88">
        <v>1.58</v>
      </c>
      <c r="I146" s="88">
        <v>0.53</v>
      </c>
      <c r="J146" s="46"/>
      <c r="K146" s="166">
        <v>0.55</v>
      </c>
      <c r="L146" s="88">
        <v>0.36</v>
      </c>
      <c r="M146" s="46"/>
      <c r="N146" s="46"/>
      <c r="O146" s="46"/>
      <c r="P146" s="46"/>
      <c r="Q146" s="46"/>
      <c r="R146" s="46"/>
      <c r="S146" s="46"/>
      <c r="T146" s="46"/>
      <c r="U146" s="6">
        <f t="shared" si="48"/>
        <v>1.03</v>
      </c>
      <c r="V146" s="46">
        <v>1.03</v>
      </c>
      <c r="W146" s="46"/>
      <c r="X146" s="46"/>
      <c r="Y146" s="88"/>
      <c r="Z146" s="46"/>
      <c r="AA146" s="46"/>
      <c r="AB146" s="46"/>
      <c r="AC146" s="46"/>
      <c r="AD146" s="46"/>
      <c r="AE146" s="46"/>
      <c r="AF146" s="46">
        <v>1.21</v>
      </c>
      <c r="AG146" s="46"/>
      <c r="AH146" s="46"/>
      <c r="AI146" s="46"/>
      <c r="AJ146" s="46"/>
      <c r="AK146" s="46"/>
      <c r="AL146" s="46"/>
      <c r="AM146" s="46"/>
      <c r="AN146" s="46"/>
      <c r="AO146" s="46"/>
      <c r="AP146" s="46"/>
      <c r="AQ146" s="46"/>
      <c r="AR146" s="46"/>
      <c r="AS146" s="46"/>
      <c r="AT146" s="88">
        <v>0.2</v>
      </c>
      <c r="AU146" s="46"/>
      <c r="AV146" s="46"/>
      <c r="AW146" s="46"/>
      <c r="AX146" s="46"/>
      <c r="AY146" s="46"/>
      <c r="AZ146" s="46"/>
      <c r="BA146" s="46"/>
      <c r="BB146" s="46"/>
      <c r="BC146" s="46"/>
      <c r="BD146" s="88"/>
      <c r="BE146" s="46"/>
      <c r="BF146" s="46"/>
      <c r="BG146" s="46">
        <v>0.5</v>
      </c>
      <c r="BH146" s="10" t="s">
        <v>1079</v>
      </c>
      <c r="BI146" s="165" t="s">
        <v>71</v>
      </c>
      <c r="BJ146" s="14" t="s">
        <v>1080</v>
      </c>
      <c r="BK146" s="12" t="s">
        <v>120</v>
      </c>
      <c r="BL146" s="13"/>
      <c r="BM146" s="14" t="s">
        <v>194</v>
      </c>
      <c r="BN146" s="13"/>
      <c r="BO146" s="15" t="s">
        <v>194</v>
      </c>
      <c r="BP146" s="16" t="s">
        <v>1067</v>
      </c>
      <c r="BQ146" s="17" t="s">
        <v>1081</v>
      </c>
    </row>
    <row r="147" spans="1:71" s="100" customFormat="1" ht="33.75" customHeight="1">
      <c r="A147" s="167" t="s">
        <v>314</v>
      </c>
      <c r="B147" s="129" t="s">
        <v>360</v>
      </c>
      <c r="C147" s="128"/>
      <c r="D147" s="36"/>
      <c r="E147" s="123">
        <f t="shared" si="46"/>
        <v>37.298000000000016</v>
      </c>
      <c r="F147" s="123"/>
      <c r="G147" s="38">
        <f t="shared" si="49"/>
        <v>0</v>
      </c>
      <c r="H147" s="39">
        <f aca="true" t="shared" si="50" ref="H147:AM147">SUM(H143:H151)</f>
        <v>0</v>
      </c>
      <c r="I147" s="39">
        <f t="shared" si="50"/>
        <v>1.05</v>
      </c>
      <c r="J147" s="39">
        <f t="shared" si="50"/>
        <v>0</v>
      </c>
      <c r="K147" s="39">
        <f t="shared" si="50"/>
        <v>3.09</v>
      </c>
      <c r="L147" s="39">
        <f t="shared" si="50"/>
        <v>2.292</v>
      </c>
      <c r="M147" s="39">
        <f t="shared" si="50"/>
        <v>0</v>
      </c>
      <c r="N147" s="39">
        <f t="shared" si="50"/>
        <v>0</v>
      </c>
      <c r="O147" s="39">
        <f t="shared" si="50"/>
        <v>0</v>
      </c>
      <c r="P147" s="39">
        <f t="shared" si="50"/>
        <v>0</v>
      </c>
      <c r="Q147" s="39">
        <f t="shared" si="50"/>
        <v>0</v>
      </c>
      <c r="R147" s="39">
        <f t="shared" si="50"/>
        <v>0</v>
      </c>
      <c r="S147" s="39">
        <f t="shared" si="50"/>
        <v>0</v>
      </c>
      <c r="T147" s="39">
        <f t="shared" si="50"/>
        <v>0</v>
      </c>
      <c r="U147" s="39">
        <f t="shared" si="50"/>
        <v>27.5</v>
      </c>
      <c r="V147" s="39">
        <f t="shared" si="50"/>
        <v>23.620000000000005</v>
      </c>
      <c r="W147" s="39">
        <f t="shared" si="50"/>
        <v>3.63</v>
      </c>
      <c r="X147" s="39">
        <f t="shared" si="50"/>
        <v>0.25</v>
      </c>
      <c r="Y147" s="39">
        <f t="shared" si="50"/>
        <v>0.060000000000000005</v>
      </c>
      <c r="Z147" s="39">
        <f t="shared" si="50"/>
        <v>0</v>
      </c>
      <c r="AA147" s="39">
        <f t="shared" si="50"/>
        <v>0</v>
      </c>
      <c r="AB147" s="39">
        <f t="shared" si="50"/>
        <v>0</v>
      </c>
      <c r="AC147" s="39">
        <f t="shared" si="50"/>
        <v>0</v>
      </c>
      <c r="AD147" s="39">
        <f t="shared" si="50"/>
        <v>0</v>
      </c>
      <c r="AE147" s="39">
        <f t="shared" si="50"/>
        <v>0</v>
      </c>
      <c r="AF147" s="39">
        <f t="shared" si="50"/>
        <v>0.16999999999999998</v>
      </c>
      <c r="AG147" s="39">
        <f t="shared" si="50"/>
        <v>0.03</v>
      </c>
      <c r="AH147" s="39">
        <f t="shared" si="50"/>
        <v>0</v>
      </c>
      <c r="AI147" s="39">
        <f t="shared" si="50"/>
        <v>0</v>
      </c>
      <c r="AJ147" s="39">
        <f t="shared" si="50"/>
        <v>0</v>
      </c>
      <c r="AK147" s="39">
        <f t="shared" si="50"/>
        <v>0</v>
      </c>
      <c r="AL147" s="39">
        <f t="shared" si="50"/>
        <v>0</v>
      </c>
      <c r="AM147" s="39">
        <f t="shared" si="50"/>
        <v>0</v>
      </c>
      <c r="AN147" s="39">
        <f aca="true" t="shared" si="51" ref="AN147:BG147">SUM(AN143:AN151)</f>
        <v>0</v>
      </c>
      <c r="AO147" s="39">
        <f t="shared" si="51"/>
        <v>0</v>
      </c>
      <c r="AP147" s="39">
        <f t="shared" si="51"/>
        <v>0</v>
      </c>
      <c r="AQ147" s="39">
        <f t="shared" si="51"/>
        <v>0</v>
      </c>
      <c r="AR147" s="39">
        <f t="shared" si="51"/>
        <v>0</v>
      </c>
      <c r="AS147" s="39">
        <f t="shared" si="51"/>
        <v>0</v>
      </c>
      <c r="AT147" s="39">
        <f t="shared" si="51"/>
        <v>0.15000000000000002</v>
      </c>
      <c r="AU147" s="39">
        <f t="shared" si="51"/>
        <v>0</v>
      </c>
      <c r="AV147" s="39">
        <f t="shared" si="51"/>
        <v>0</v>
      </c>
      <c r="AW147" s="39">
        <f t="shared" si="51"/>
        <v>0</v>
      </c>
      <c r="AX147" s="39">
        <f t="shared" si="51"/>
        <v>0</v>
      </c>
      <c r="AY147" s="39">
        <f t="shared" si="51"/>
        <v>0</v>
      </c>
      <c r="AZ147" s="39">
        <f t="shared" si="51"/>
        <v>0</v>
      </c>
      <c r="BA147" s="39">
        <f t="shared" si="51"/>
        <v>0</v>
      </c>
      <c r="BB147" s="39">
        <f t="shared" si="51"/>
        <v>0</v>
      </c>
      <c r="BC147" s="39">
        <f t="shared" si="51"/>
        <v>0</v>
      </c>
      <c r="BD147" s="39">
        <f t="shared" si="51"/>
        <v>0.601</v>
      </c>
      <c r="BE147" s="39">
        <f t="shared" si="51"/>
        <v>0</v>
      </c>
      <c r="BF147" s="39">
        <f t="shared" si="51"/>
        <v>0</v>
      </c>
      <c r="BG147" s="39">
        <f t="shared" si="51"/>
        <v>0.815</v>
      </c>
      <c r="BH147" s="70"/>
      <c r="BI147" s="128"/>
      <c r="BJ147" s="36"/>
      <c r="BK147" s="168"/>
      <c r="BL147" s="41"/>
      <c r="BM147" s="68"/>
      <c r="BN147" s="41"/>
      <c r="BO147" s="143"/>
      <c r="BP147" s="20"/>
      <c r="BS147" s="19"/>
    </row>
    <row r="148" spans="1:69" ht="34.5" customHeight="1">
      <c r="A148" s="124">
        <f>+A146+1</f>
        <v>79</v>
      </c>
      <c r="B148" s="133" t="s">
        <v>363</v>
      </c>
      <c r="C148" s="165" t="s">
        <v>134</v>
      </c>
      <c r="D148" s="4" t="s">
        <v>34</v>
      </c>
      <c r="E148" s="45">
        <f t="shared" si="46"/>
        <v>0.61</v>
      </c>
      <c r="F148" s="5"/>
      <c r="G148" s="88">
        <f t="shared" si="49"/>
        <v>0.61</v>
      </c>
      <c r="H148" s="88"/>
      <c r="I148" s="88">
        <v>0.08</v>
      </c>
      <c r="J148" s="46"/>
      <c r="K148" s="166">
        <v>0.15</v>
      </c>
      <c r="L148" s="88">
        <v>0.1</v>
      </c>
      <c r="M148" s="46"/>
      <c r="N148" s="46"/>
      <c r="O148" s="46"/>
      <c r="P148" s="46"/>
      <c r="Q148" s="46"/>
      <c r="R148" s="46"/>
      <c r="S148" s="46"/>
      <c r="T148" s="46"/>
      <c r="U148" s="6">
        <f>SUM(V148:X148)</f>
        <v>0.28</v>
      </c>
      <c r="V148" s="46">
        <v>0.28</v>
      </c>
      <c r="W148" s="46"/>
      <c r="X148" s="46"/>
      <c r="Y148" s="88"/>
      <c r="Z148" s="46"/>
      <c r="AA148" s="46"/>
      <c r="AB148" s="46"/>
      <c r="AC148" s="46"/>
      <c r="AD148" s="46"/>
      <c r="AE148" s="46"/>
      <c r="AF148" s="46"/>
      <c r="AG148" s="46"/>
      <c r="AH148" s="46"/>
      <c r="AI148" s="46"/>
      <c r="AJ148" s="46"/>
      <c r="AK148" s="46"/>
      <c r="AL148" s="46"/>
      <c r="AM148" s="46"/>
      <c r="AN148" s="46"/>
      <c r="AO148" s="46"/>
      <c r="AP148" s="46"/>
      <c r="AQ148" s="46"/>
      <c r="AR148" s="46"/>
      <c r="AS148" s="46"/>
      <c r="AT148" s="88"/>
      <c r="AU148" s="46"/>
      <c r="AV148" s="46"/>
      <c r="AW148" s="46"/>
      <c r="AX148" s="46"/>
      <c r="AY148" s="46"/>
      <c r="AZ148" s="46"/>
      <c r="BA148" s="46"/>
      <c r="BB148" s="46"/>
      <c r="BC148" s="46"/>
      <c r="BD148" s="88"/>
      <c r="BE148" s="46"/>
      <c r="BF148" s="46"/>
      <c r="BG148" s="46"/>
      <c r="BH148" s="10"/>
      <c r="BI148" s="165" t="s">
        <v>134</v>
      </c>
      <c r="BJ148" s="14" t="s">
        <v>364</v>
      </c>
      <c r="BK148" s="12" t="s">
        <v>374</v>
      </c>
      <c r="BL148" s="13" t="s">
        <v>190</v>
      </c>
      <c r="BM148" s="14" t="s">
        <v>935</v>
      </c>
      <c r="BN148" s="13" t="s">
        <v>1055</v>
      </c>
      <c r="BO148" s="15" t="s">
        <v>1147</v>
      </c>
      <c r="BP148" s="16" t="s">
        <v>1028</v>
      </c>
      <c r="BQ148" s="17"/>
    </row>
    <row r="149" spans="1:69" ht="55.5" customHeight="1">
      <c r="A149" s="124">
        <f>+A148+1</f>
        <v>80</v>
      </c>
      <c r="B149" s="133" t="s">
        <v>983</v>
      </c>
      <c r="C149" s="165" t="s">
        <v>82</v>
      </c>
      <c r="D149" s="4" t="s">
        <v>34</v>
      </c>
      <c r="E149" s="45">
        <f t="shared" si="46"/>
        <v>0.3</v>
      </c>
      <c r="F149" s="5"/>
      <c r="G149" s="169">
        <f>SUM(H149:BI149)-O149-S149-W149</f>
        <v>0.3</v>
      </c>
      <c r="H149" s="88"/>
      <c r="I149" s="88"/>
      <c r="J149" s="46"/>
      <c r="K149" s="166"/>
      <c r="L149" s="88"/>
      <c r="M149" s="46"/>
      <c r="N149" s="46"/>
      <c r="O149" s="46"/>
      <c r="P149" s="46"/>
      <c r="Q149" s="46"/>
      <c r="R149" s="46"/>
      <c r="S149" s="46"/>
      <c r="T149" s="46"/>
      <c r="U149" s="6"/>
      <c r="V149" s="46"/>
      <c r="W149" s="46"/>
      <c r="X149" s="46"/>
      <c r="Y149" s="88"/>
      <c r="Z149" s="46"/>
      <c r="AA149" s="46"/>
      <c r="AB149" s="46"/>
      <c r="AC149" s="46"/>
      <c r="AD149" s="46"/>
      <c r="AE149" s="46"/>
      <c r="AF149" s="46"/>
      <c r="AG149" s="46"/>
      <c r="AH149" s="46"/>
      <c r="AI149" s="46"/>
      <c r="AJ149" s="46"/>
      <c r="AK149" s="46"/>
      <c r="AL149" s="46"/>
      <c r="AM149" s="46"/>
      <c r="AN149" s="46"/>
      <c r="AO149" s="46"/>
      <c r="AP149" s="46"/>
      <c r="AQ149" s="46"/>
      <c r="AR149" s="46"/>
      <c r="AS149" s="46"/>
      <c r="AT149" s="88"/>
      <c r="AU149" s="46"/>
      <c r="AV149" s="46"/>
      <c r="AW149" s="46"/>
      <c r="AX149" s="46"/>
      <c r="AY149" s="46"/>
      <c r="AZ149" s="46"/>
      <c r="BA149" s="46"/>
      <c r="BB149" s="46"/>
      <c r="BC149" s="46"/>
      <c r="BD149" s="88"/>
      <c r="BE149" s="46"/>
      <c r="BF149" s="46"/>
      <c r="BG149" s="46">
        <v>0.3</v>
      </c>
      <c r="BH149" s="10"/>
      <c r="BI149" s="165" t="s">
        <v>82</v>
      </c>
      <c r="BJ149" s="14"/>
      <c r="BK149" s="12" t="s">
        <v>120</v>
      </c>
      <c r="BL149" s="13" t="s">
        <v>984</v>
      </c>
      <c r="BM149" s="14" t="s">
        <v>194</v>
      </c>
      <c r="BN149" s="13" t="s">
        <v>1055</v>
      </c>
      <c r="BO149" s="15" t="s">
        <v>1147</v>
      </c>
      <c r="BQ149" s="17"/>
    </row>
    <row r="150" spans="1:69" ht="108.75">
      <c r="A150" s="124">
        <f>+A149+1</f>
        <v>81</v>
      </c>
      <c r="B150" s="133" t="s">
        <v>1090</v>
      </c>
      <c r="C150" s="165" t="s">
        <v>65</v>
      </c>
      <c r="D150" s="4" t="s">
        <v>34</v>
      </c>
      <c r="E150" s="45">
        <f t="shared" si="46"/>
        <v>4.55</v>
      </c>
      <c r="F150" s="5"/>
      <c r="G150" s="170">
        <f>SUM(H150:BI150)-O150-S150-U150</f>
        <v>4.55</v>
      </c>
      <c r="H150" s="88">
        <v>0.5</v>
      </c>
      <c r="I150" s="88">
        <v>0.5</v>
      </c>
      <c r="J150" s="46"/>
      <c r="K150" s="171">
        <v>0.75</v>
      </c>
      <c r="L150" s="88">
        <v>1.3</v>
      </c>
      <c r="M150" s="46"/>
      <c r="N150" s="46"/>
      <c r="O150" s="46"/>
      <c r="P150" s="46"/>
      <c r="Q150" s="46"/>
      <c r="R150" s="46"/>
      <c r="S150" s="46"/>
      <c r="T150" s="46"/>
      <c r="U150" s="6"/>
      <c r="V150" s="46"/>
      <c r="W150" s="46"/>
      <c r="X150" s="46"/>
      <c r="Y150" s="88"/>
      <c r="Z150" s="46"/>
      <c r="AA150" s="46"/>
      <c r="AB150" s="46"/>
      <c r="AC150" s="46"/>
      <c r="AD150" s="46"/>
      <c r="AE150" s="46"/>
      <c r="AF150" s="46">
        <v>1</v>
      </c>
      <c r="AG150" s="46"/>
      <c r="AH150" s="46"/>
      <c r="AI150" s="46"/>
      <c r="AJ150" s="46"/>
      <c r="AK150" s="46"/>
      <c r="AL150" s="46"/>
      <c r="AM150" s="46"/>
      <c r="AN150" s="46"/>
      <c r="AO150" s="46"/>
      <c r="AP150" s="46"/>
      <c r="AQ150" s="46"/>
      <c r="AR150" s="46"/>
      <c r="AS150" s="46"/>
      <c r="AT150" s="88"/>
      <c r="AU150" s="46">
        <v>0.5</v>
      </c>
      <c r="AV150" s="46"/>
      <c r="AW150" s="46"/>
      <c r="AX150" s="46"/>
      <c r="AY150" s="46"/>
      <c r="AZ150" s="46"/>
      <c r="BA150" s="46"/>
      <c r="BB150" s="46"/>
      <c r="BC150" s="46"/>
      <c r="BD150" s="88"/>
      <c r="BE150" s="46"/>
      <c r="BF150" s="46"/>
      <c r="BG150" s="46"/>
      <c r="BH150" s="10" t="s">
        <v>1092</v>
      </c>
      <c r="BI150" s="165" t="s">
        <v>65</v>
      </c>
      <c r="BJ150" s="14"/>
      <c r="BK150" s="12"/>
      <c r="BL150" s="14" t="s">
        <v>1091</v>
      </c>
      <c r="BM150" s="14"/>
      <c r="BN150" s="13"/>
      <c r="BO150" s="15" t="s">
        <v>194</v>
      </c>
      <c r="BP150" s="16" t="s">
        <v>1067</v>
      </c>
      <c r="BQ150" s="17"/>
    </row>
    <row r="151" spans="1:69" ht="37.5" customHeight="1">
      <c r="A151" s="124">
        <f>+A150+1</f>
        <v>82</v>
      </c>
      <c r="B151" s="133" t="s">
        <v>369</v>
      </c>
      <c r="C151" s="165" t="s">
        <v>370</v>
      </c>
      <c r="D151" s="4" t="s">
        <v>34</v>
      </c>
      <c r="E151" s="45">
        <f>F151+G151</f>
        <v>23.49800000000001</v>
      </c>
      <c r="F151" s="5"/>
      <c r="G151" s="88">
        <f>SUM(H151:BG151)-M151-Q151-U151</f>
        <v>23.49800000000001</v>
      </c>
      <c r="H151" s="88">
        <v>1.5000000000000002</v>
      </c>
      <c r="I151" s="88">
        <v>0.77</v>
      </c>
      <c r="J151" s="88">
        <v>0</v>
      </c>
      <c r="K151" s="88">
        <v>2.77</v>
      </c>
      <c r="L151" s="88">
        <v>1.552</v>
      </c>
      <c r="M151" s="88">
        <v>0</v>
      </c>
      <c r="N151" s="88">
        <v>0</v>
      </c>
      <c r="O151" s="88">
        <v>0</v>
      </c>
      <c r="P151" s="88">
        <v>0</v>
      </c>
      <c r="Q151" s="88">
        <v>0</v>
      </c>
      <c r="R151" s="88">
        <v>0</v>
      </c>
      <c r="S151" s="88">
        <v>0</v>
      </c>
      <c r="T151" s="88">
        <v>0</v>
      </c>
      <c r="U151" s="88">
        <v>22.310000000000002</v>
      </c>
      <c r="V151" s="88">
        <f>20.84-6.61</f>
        <v>14.23</v>
      </c>
      <c r="W151" s="88">
        <v>1.47</v>
      </c>
      <c r="X151" s="88">
        <v>0</v>
      </c>
      <c r="Y151" s="88">
        <v>0.060000000000000005</v>
      </c>
      <c r="Z151" s="88">
        <v>0</v>
      </c>
      <c r="AA151" s="88">
        <v>0</v>
      </c>
      <c r="AB151" s="88">
        <v>0</v>
      </c>
      <c r="AC151" s="88">
        <v>0</v>
      </c>
      <c r="AD151" s="88">
        <v>0</v>
      </c>
      <c r="AE151" s="88">
        <v>0</v>
      </c>
      <c r="AF151" s="88">
        <v>0.16999999999999998</v>
      </c>
      <c r="AG151" s="88">
        <v>0.03</v>
      </c>
      <c r="AH151" s="88">
        <v>0</v>
      </c>
      <c r="AI151" s="88">
        <v>0</v>
      </c>
      <c r="AJ151" s="88">
        <v>0</v>
      </c>
      <c r="AK151" s="88">
        <v>0</v>
      </c>
      <c r="AL151" s="88">
        <v>0</v>
      </c>
      <c r="AM151" s="88">
        <v>0</v>
      </c>
      <c r="AN151" s="88">
        <v>0</v>
      </c>
      <c r="AO151" s="88">
        <v>0</v>
      </c>
      <c r="AP151" s="88">
        <v>0</v>
      </c>
      <c r="AQ151" s="88">
        <v>0</v>
      </c>
      <c r="AR151" s="88">
        <v>0</v>
      </c>
      <c r="AS151" s="88">
        <v>0</v>
      </c>
      <c r="AT151" s="88">
        <v>0.1</v>
      </c>
      <c r="AU151" s="88">
        <v>0</v>
      </c>
      <c r="AV151" s="88">
        <v>0</v>
      </c>
      <c r="AW151" s="88">
        <v>0</v>
      </c>
      <c r="AX151" s="88">
        <v>0</v>
      </c>
      <c r="AY151" s="88">
        <v>0</v>
      </c>
      <c r="AZ151" s="88">
        <v>0</v>
      </c>
      <c r="BA151" s="88">
        <v>0</v>
      </c>
      <c r="BB151" s="88">
        <v>0</v>
      </c>
      <c r="BC151" s="88">
        <v>0</v>
      </c>
      <c r="BD151" s="88">
        <v>0.521</v>
      </c>
      <c r="BE151" s="88">
        <v>0</v>
      </c>
      <c r="BF151" s="88">
        <v>0</v>
      </c>
      <c r="BG151" s="88">
        <v>0.32499999999999996</v>
      </c>
      <c r="BH151" s="10"/>
      <c r="BI151" s="165" t="s">
        <v>370</v>
      </c>
      <c r="BJ151" s="14"/>
      <c r="BK151" s="12" t="s">
        <v>371</v>
      </c>
      <c r="BL151" s="13" t="s">
        <v>190</v>
      </c>
      <c r="BM151" s="14" t="s">
        <v>935</v>
      </c>
      <c r="BN151" s="13" t="s">
        <v>1024</v>
      </c>
      <c r="BO151" s="15" t="s">
        <v>1147</v>
      </c>
      <c r="BQ151" s="17"/>
    </row>
    <row r="152" spans="1:69" ht="18.75" customHeight="1">
      <c r="A152" s="66" t="s">
        <v>375</v>
      </c>
      <c r="B152" s="85" t="s">
        <v>376</v>
      </c>
      <c r="C152" s="46"/>
      <c r="D152" s="36"/>
      <c r="E152" s="69">
        <f aca="true" t="shared" si="52" ref="E152:AJ152">SUM(E153:E157)</f>
        <v>22.71</v>
      </c>
      <c r="F152" s="69">
        <f t="shared" si="52"/>
        <v>0</v>
      </c>
      <c r="G152" s="69">
        <f t="shared" si="52"/>
        <v>22.71</v>
      </c>
      <c r="H152" s="69">
        <f t="shared" si="52"/>
        <v>1.097</v>
      </c>
      <c r="I152" s="69">
        <f t="shared" si="52"/>
        <v>0.743</v>
      </c>
      <c r="J152" s="69">
        <f t="shared" si="52"/>
        <v>0</v>
      </c>
      <c r="K152" s="69">
        <f t="shared" si="52"/>
        <v>5.97</v>
      </c>
      <c r="L152" s="69">
        <f t="shared" si="52"/>
        <v>0.98</v>
      </c>
      <c r="M152" s="69">
        <f t="shared" si="52"/>
        <v>0</v>
      </c>
      <c r="N152" s="69">
        <f t="shared" si="52"/>
        <v>0</v>
      </c>
      <c r="O152" s="69">
        <f t="shared" si="52"/>
        <v>0</v>
      </c>
      <c r="P152" s="69">
        <f t="shared" si="52"/>
        <v>0</v>
      </c>
      <c r="Q152" s="69">
        <f t="shared" si="52"/>
        <v>0</v>
      </c>
      <c r="R152" s="69">
        <f t="shared" si="52"/>
        <v>0</v>
      </c>
      <c r="S152" s="69">
        <f t="shared" si="52"/>
        <v>0</v>
      </c>
      <c r="T152" s="69">
        <f t="shared" si="52"/>
        <v>0</v>
      </c>
      <c r="U152" s="69">
        <f t="shared" si="52"/>
        <v>11.29</v>
      </c>
      <c r="V152" s="69">
        <f t="shared" si="52"/>
        <v>10.19</v>
      </c>
      <c r="W152" s="69">
        <f t="shared" si="52"/>
        <v>1.28</v>
      </c>
      <c r="X152" s="69">
        <f t="shared" si="52"/>
        <v>0.38</v>
      </c>
      <c r="Y152" s="69">
        <f t="shared" si="52"/>
        <v>0.03</v>
      </c>
      <c r="Z152" s="69">
        <f t="shared" si="52"/>
        <v>0</v>
      </c>
      <c r="AA152" s="69">
        <f t="shared" si="52"/>
        <v>0</v>
      </c>
      <c r="AB152" s="69">
        <f t="shared" si="52"/>
        <v>0</v>
      </c>
      <c r="AC152" s="69">
        <f t="shared" si="52"/>
        <v>0</v>
      </c>
      <c r="AD152" s="69">
        <f t="shared" si="52"/>
        <v>0</v>
      </c>
      <c r="AE152" s="69">
        <f t="shared" si="52"/>
        <v>0</v>
      </c>
      <c r="AF152" s="69">
        <f t="shared" si="52"/>
        <v>0.32</v>
      </c>
      <c r="AG152" s="69">
        <f t="shared" si="52"/>
        <v>0.02</v>
      </c>
      <c r="AH152" s="69">
        <f t="shared" si="52"/>
        <v>0</v>
      </c>
      <c r="AI152" s="69">
        <f t="shared" si="52"/>
        <v>0</v>
      </c>
      <c r="AJ152" s="69">
        <f t="shared" si="52"/>
        <v>0</v>
      </c>
      <c r="AK152" s="69">
        <f aca="true" t="shared" si="53" ref="AK152:BG152">SUM(AK153:AK157)</f>
        <v>0</v>
      </c>
      <c r="AL152" s="69">
        <f t="shared" si="53"/>
        <v>0</v>
      </c>
      <c r="AM152" s="69">
        <f t="shared" si="53"/>
        <v>0</v>
      </c>
      <c r="AN152" s="69">
        <f t="shared" si="53"/>
        <v>0</v>
      </c>
      <c r="AO152" s="69">
        <f t="shared" si="53"/>
        <v>0</v>
      </c>
      <c r="AP152" s="69">
        <f t="shared" si="53"/>
        <v>0</v>
      </c>
      <c r="AQ152" s="69">
        <f t="shared" si="53"/>
        <v>0</v>
      </c>
      <c r="AR152" s="69">
        <f t="shared" si="53"/>
        <v>0</v>
      </c>
      <c r="AS152" s="69">
        <f t="shared" si="53"/>
        <v>0</v>
      </c>
      <c r="AT152" s="69">
        <f t="shared" si="53"/>
        <v>0.09</v>
      </c>
      <c r="AU152" s="69">
        <f t="shared" si="53"/>
        <v>0</v>
      </c>
      <c r="AV152" s="69">
        <f t="shared" si="53"/>
        <v>0</v>
      </c>
      <c r="AW152" s="69">
        <f t="shared" si="53"/>
        <v>0</v>
      </c>
      <c r="AX152" s="69">
        <f t="shared" si="53"/>
        <v>0.01</v>
      </c>
      <c r="AY152" s="69">
        <f t="shared" si="53"/>
        <v>0</v>
      </c>
      <c r="AZ152" s="69">
        <f t="shared" si="53"/>
        <v>0</v>
      </c>
      <c r="BA152" s="69">
        <f t="shared" si="53"/>
        <v>0</v>
      </c>
      <c r="BB152" s="69">
        <f t="shared" si="53"/>
        <v>0</v>
      </c>
      <c r="BC152" s="69">
        <f t="shared" si="53"/>
        <v>0</v>
      </c>
      <c r="BD152" s="69">
        <f t="shared" si="53"/>
        <v>1.8699999999999999</v>
      </c>
      <c r="BE152" s="69">
        <f t="shared" si="53"/>
        <v>0</v>
      </c>
      <c r="BF152" s="69">
        <f t="shared" si="53"/>
        <v>0</v>
      </c>
      <c r="BG152" s="69">
        <f t="shared" si="53"/>
        <v>0.29000000000000004</v>
      </c>
      <c r="BH152" s="46"/>
      <c r="BI152" s="46"/>
      <c r="BJ152" s="46"/>
      <c r="BK152" s="46"/>
      <c r="BL152" s="46"/>
      <c r="BM152" s="46"/>
      <c r="BN152" s="13"/>
      <c r="BO152" s="15"/>
      <c r="BQ152" s="17"/>
    </row>
    <row r="153" spans="1:69" ht="46.5">
      <c r="A153" s="1">
        <f>A151+1</f>
        <v>83</v>
      </c>
      <c r="B153" s="15" t="s">
        <v>377</v>
      </c>
      <c r="C153" s="121" t="s">
        <v>332</v>
      </c>
      <c r="D153" s="13" t="s">
        <v>35</v>
      </c>
      <c r="E153" s="45">
        <f aca="true" t="shared" si="54" ref="E153:E174">F153+G153</f>
        <v>0.43</v>
      </c>
      <c r="F153" s="45"/>
      <c r="G153" s="5">
        <f>SUM(H153:M153,Q153,U153,Y153:BG153)</f>
        <v>0.43</v>
      </c>
      <c r="H153" s="74"/>
      <c r="I153" s="74"/>
      <c r="J153" s="74"/>
      <c r="K153" s="74">
        <v>0.43</v>
      </c>
      <c r="L153" s="74"/>
      <c r="M153" s="74"/>
      <c r="N153" s="74"/>
      <c r="O153" s="74"/>
      <c r="P153" s="74"/>
      <c r="Q153" s="74"/>
      <c r="R153" s="74"/>
      <c r="S153" s="74"/>
      <c r="T153" s="74"/>
      <c r="U153" s="74"/>
      <c r="V153" s="49"/>
      <c r="W153" s="49"/>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10"/>
      <c r="BI153" s="121" t="s">
        <v>332</v>
      </c>
      <c r="BJ153" s="13"/>
      <c r="BK153" s="12" t="s">
        <v>120</v>
      </c>
      <c r="BL153" s="13" t="s">
        <v>975</v>
      </c>
      <c r="BM153" s="14" t="s">
        <v>935</v>
      </c>
      <c r="BN153" s="13" t="s">
        <v>1025</v>
      </c>
      <c r="BO153" s="15" t="s">
        <v>1147</v>
      </c>
      <c r="BQ153" s="17"/>
    </row>
    <row r="154" spans="1:69" ht="54.75" customHeight="1">
      <c r="A154" s="42">
        <f>A153+1</f>
        <v>84</v>
      </c>
      <c r="B154" s="47" t="s">
        <v>378</v>
      </c>
      <c r="C154" s="121" t="s">
        <v>332</v>
      </c>
      <c r="D154" s="13" t="s">
        <v>35</v>
      </c>
      <c r="E154" s="45">
        <f t="shared" si="54"/>
        <v>0.78</v>
      </c>
      <c r="F154" s="45"/>
      <c r="G154" s="5">
        <f>SUM(H154:M154,Q154,U154,Y154:BG154)</f>
        <v>0.78</v>
      </c>
      <c r="H154" s="74"/>
      <c r="I154" s="74"/>
      <c r="J154" s="74"/>
      <c r="K154" s="74">
        <v>0.78</v>
      </c>
      <c r="L154" s="74"/>
      <c r="M154" s="74"/>
      <c r="N154" s="74"/>
      <c r="O154" s="74"/>
      <c r="P154" s="74"/>
      <c r="Q154" s="74"/>
      <c r="R154" s="74"/>
      <c r="S154" s="74"/>
      <c r="T154" s="74"/>
      <c r="U154" s="74"/>
      <c r="V154" s="49"/>
      <c r="W154" s="49"/>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10"/>
      <c r="BI154" s="121" t="s">
        <v>332</v>
      </c>
      <c r="BJ154" s="13"/>
      <c r="BK154" s="12" t="s">
        <v>120</v>
      </c>
      <c r="BL154" s="172" t="s">
        <v>379</v>
      </c>
      <c r="BM154" s="14" t="s">
        <v>935</v>
      </c>
      <c r="BN154" s="13" t="s">
        <v>1025</v>
      </c>
      <c r="BO154" s="15" t="s">
        <v>1147</v>
      </c>
      <c r="BQ154" s="17"/>
    </row>
    <row r="155" spans="1:69" ht="218.25">
      <c r="A155" s="42">
        <f>A154+1</f>
        <v>85</v>
      </c>
      <c r="B155" s="15" t="s">
        <v>380</v>
      </c>
      <c r="C155" s="13" t="s">
        <v>381</v>
      </c>
      <c r="D155" s="4" t="s">
        <v>35</v>
      </c>
      <c r="E155" s="45">
        <f t="shared" si="54"/>
        <v>3.5999999999999996</v>
      </c>
      <c r="F155" s="73"/>
      <c r="G155" s="5">
        <f>SUM(H155:M155,Q155,U155,Y155:BG155)</f>
        <v>3.5999999999999996</v>
      </c>
      <c r="H155" s="49">
        <v>0.55</v>
      </c>
      <c r="I155" s="49">
        <v>0.15</v>
      </c>
      <c r="J155" s="74"/>
      <c r="K155" s="49">
        <v>0.88</v>
      </c>
      <c r="L155" s="49">
        <v>0.28</v>
      </c>
      <c r="M155" s="49"/>
      <c r="N155" s="74"/>
      <c r="O155" s="74"/>
      <c r="P155" s="74"/>
      <c r="Q155" s="74"/>
      <c r="R155" s="74"/>
      <c r="S155" s="74"/>
      <c r="T155" s="74"/>
      <c r="U155" s="6">
        <f>SUM(V155:X155)</f>
        <v>0.91</v>
      </c>
      <c r="V155" s="49">
        <v>0.91</v>
      </c>
      <c r="W155" s="49"/>
      <c r="X155" s="49"/>
      <c r="Y155" s="49">
        <v>0.03</v>
      </c>
      <c r="Z155" s="74"/>
      <c r="AA155" s="74"/>
      <c r="AB155" s="74"/>
      <c r="AC155" s="49"/>
      <c r="AD155" s="49"/>
      <c r="AE155" s="49"/>
      <c r="AF155" s="49">
        <v>0.25</v>
      </c>
      <c r="AG155" s="49">
        <v>0.02</v>
      </c>
      <c r="AH155" s="74"/>
      <c r="AI155" s="49"/>
      <c r="AJ155" s="49"/>
      <c r="AK155" s="49"/>
      <c r="AL155" s="49"/>
      <c r="AM155" s="49"/>
      <c r="AN155" s="49"/>
      <c r="AO155" s="74"/>
      <c r="AP155" s="74"/>
      <c r="AQ155" s="74"/>
      <c r="AR155" s="74"/>
      <c r="AS155" s="74"/>
      <c r="AT155" s="49">
        <v>0.09</v>
      </c>
      <c r="AU155" s="49"/>
      <c r="AV155" s="49"/>
      <c r="AW155" s="49"/>
      <c r="AX155" s="49">
        <v>0.01</v>
      </c>
      <c r="AY155" s="49"/>
      <c r="AZ155" s="49"/>
      <c r="BA155" s="49"/>
      <c r="BB155" s="49"/>
      <c r="BC155" s="49"/>
      <c r="BD155" s="49">
        <v>0.17</v>
      </c>
      <c r="BE155" s="49"/>
      <c r="BF155" s="49"/>
      <c r="BG155" s="49">
        <v>0.26</v>
      </c>
      <c r="BH155" s="10" t="s">
        <v>1082</v>
      </c>
      <c r="BI155" s="13" t="s">
        <v>381</v>
      </c>
      <c r="BJ155" s="13" t="s">
        <v>1083</v>
      </c>
      <c r="BK155" s="12" t="s">
        <v>120</v>
      </c>
      <c r="BL155" s="13" t="s">
        <v>1084</v>
      </c>
      <c r="BM155" s="14" t="s">
        <v>935</v>
      </c>
      <c r="BN155" s="13" t="s">
        <v>1024</v>
      </c>
      <c r="BO155" s="15" t="s">
        <v>1147</v>
      </c>
      <c r="BP155" s="16" t="s">
        <v>1029</v>
      </c>
      <c r="BQ155" s="17" t="s">
        <v>1085</v>
      </c>
    </row>
    <row r="156" spans="1:67" ht="108" customHeight="1">
      <c r="A156" s="42">
        <f>A155+1</f>
        <v>86</v>
      </c>
      <c r="B156" s="15" t="s">
        <v>382</v>
      </c>
      <c r="C156" s="121" t="s">
        <v>138</v>
      </c>
      <c r="D156" s="4" t="s">
        <v>35</v>
      </c>
      <c r="E156" s="45">
        <f t="shared" si="54"/>
        <v>7.1</v>
      </c>
      <c r="F156" s="73"/>
      <c r="G156" s="5">
        <f>SUM(H156:M156,Q156,U156,Y156:BG156)</f>
        <v>7.1</v>
      </c>
      <c r="H156" s="74"/>
      <c r="I156" s="74"/>
      <c r="J156" s="74"/>
      <c r="K156" s="74"/>
      <c r="L156" s="74"/>
      <c r="M156" s="74"/>
      <c r="N156" s="74"/>
      <c r="O156" s="74"/>
      <c r="P156" s="74"/>
      <c r="Q156" s="74"/>
      <c r="R156" s="74"/>
      <c r="S156" s="74"/>
      <c r="T156" s="74"/>
      <c r="U156" s="6">
        <f>SUM(V156:X156)</f>
        <v>7.1</v>
      </c>
      <c r="V156" s="49">
        <v>7.1</v>
      </c>
      <c r="W156" s="49"/>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10" t="s">
        <v>247</v>
      </c>
      <c r="BI156" s="121" t="s">
        <v>138</v>
      </c>
      <c r="BJ156" s="13" t="s">
        <v>383</v>
      </c>
      <c r="BK156" s="12" t="s">
        <v>374</v>
      </c>
      <c r="BL156" s="13" t="s">
        <v>372</v>
      </c>
      <c r="BM156" s="14" t="s">
        <v>935</v>
      </c>
      <c r="BN156" s="13" t="s">
        <v>1025</v>
      </c>
      <c r="BO156" s="15" t="s">
        <v>1147</v>
      </c>
    </row>
    <row r="157" spans="1:69" ht="46.5">
      <c r="A157" s="42">
        <f>A156+1</f>
        <v>87</v>
      </c>
      <c r="B157" s="15" t="s">
        <v>385</v>
      </c>
      <c r="C157" s="121" t="s">
        <v>370</v>
      </c>
      <c r="D157" s="4" t="s">
        <v>35</v>
      </c>
      <c r="E157" s="45">
        <f t="shared" si="54"/>
        <v>10.799999999999999</v>
      </c>
      <c r="F157" s="73"/>
      <c r="G157" s="5">
        <f>SUM(H157:M157,Q157,U157,Y157:BG157)</f>
        <v>10.799999999999999</v>
      </c>
      <c r="H157" s="62">
        <v>0.547</v>
      </c>
      <c r="I157" s="62">
        <v>0.593</v>
      </c>
      <c r="J157" s="62">
        <v>0</v>
      </c>
      <c r="K157" s="62">
        <v>3.88</v>
      </c>
      <c r="L157" s="62">
        <v>0.7</v>
      </c>
      <c r="M157" s="62">
        <v>0</v>
      </c>
      <c r="N157" s="62">
        <v>0</v>
      </c>
      <c r="O157" s="62">
        <v>0</v>
      </c>
      <c r="P157" s="62">
        <v>0</v>
      </c>
      <c r="Q157" s="62">
        <v>0</v>
      </c>
      <c r="R157" s="62">
        <v>0</v>
      </c>
      <c r="S157" s="62">
        <v>0</v>
      </c>
      <c r="T157" s="62">
        <v>0</v>
      </c>
      <c r="U157" s="62">
        <v>3.28</v>
      </c>
      <c r="V157" s="62">
        <f>1.62+0.6-0.04</f>
        <v>2.18</v>
      </c>
      <c r="W157" s="62">
        <v>1.28</v>
      </c>
      <c r="X157" s="62">
        <v>0.38</v>
      </c>
      <c r="Y157" s="62">
        <v>0</v>
      </c>
      <c r="Z157" s="62">
        <v>0</v>
      </c>
      <c r="AA157" s="62">
        <v>0</v>
      </c>
      <c r="AB157" s="62">
        <v>0</v>
      </c>
      <c r="AC157" s="62">
        <v>0</v>
      </c>
      <c r="AD157" s="62">
        <v>0</v>
      </c>
      <c r="AE157" s="62">
        <v>0</v>
      </c>
      <c r="AF157" s="62">
        <v>0.07</v>
      </c>
      <c r="AG157" s="62">
        <v>0</v>
      </c>
      <c r="AH157" s="62">
        <v>0</v>
      </c>
      <c r="AI157" s="62">
        <v>0</v>
      </c>
      <c r="AJ157" s="62">
        <v>0</v>
      </c>
      <c r="AK157" s="62">
        <v>0</v>
      </c>
      <c r="AL157" s="62">
        <v>0</v>
      </c>
      <c r="AM157" s="62">
        <v>0</v>
      </c>
      <c r="AN157" s="62">
        <v>0</v>
      </c>
      <c r="AO157" s="62">
        <v>0</v>
      </c>
      <c r="AP157" s="62">
        <v>0</v>
      </c>
      <c r="AQ157" s="62">
        <v>0</v>
      </c>
      <c r="AR157" s="62">
        <v>0</v>
      </c>
      <c r="AS157" s="62">
        <v>0</v>
      </c>
      <c r="AT157" s="62">
        <v>0</v>
      </c>
      <c r="AU157" s="62">
        <v>0</v>
      </c>
      <c r="AV157" s="62">
        <v>0</v>
      </c>
      <c r="AW157" s="62">
        <v>0</v>
      </c>
      <c r="AX157" s="62">
        <v>0</v>
      </c>
      <c r="AY157" s="62">
        <v>0</v>
      </c>
      <c r="AZ157" s="62">
        <v>0</v>
      </c>
      <c r="BA157" s="62">
        <v>0</v>
      </c>
      <c r="BB157" s="62">
        <v>0</v>
      </c>
      <c r="BC157" s="62">
        <v>0</v>
      </c>
      <c r="BD157" s="62">
        <v>1.7</v>
      </c>
      <c r="BE157" s="62">
        <v>0</v>
      </c>
      <c r="BF157" s="62">
        <v>0</v>
      </c>
      <c r="BG157" s="62">
        <v>0.03</v>
      </c>
      <c r="BH157" s="10"/>
      <c r="BI157" s="121" t="s">
        <v>370</v>
      </c>
      <c r="BJ157" s="13"/>
      <c r="BK157" s="12" t="s">
        <v>386</v>
      </c>
      <c r="BL157" s="12" t="s">
        <v>387</v>
      </c>
      <c r="BM157" s="12" t="s">
        <v>935</v>
      </c>
      <c r="BN157" s="13" t="s">
        <v>1024</v>
      </c>
      <c r="BO157" s="15" t="s">
        <v>1147</v>
      </c>
      <c r="BQ157" s="17"/>
    </row>
    <row r="158" spans="1:69" ht="23.25" customHeight="1">
      <c r="A158" s="66" t="s">
        <v>390</v>
      </c>
      <c r="B158" s="173" t="s">
        <v>391</v>
      </c>
      <c r="C158" s="14"/>
      <c r="D158" s="36" t="s">
        <v>38</v>
      </c>
      <c r="E158" s="69">
        <f>F158+G158</f>
        <v>6.41</v>
      </c>
      <c r="F158" s="86">
        <f>SUM(F159:F169)</f>
        <v>0</v>
      </c>
      <c r="G158" s="86">
        <f aca="true" t="shared" si="55" ref="G158:AL158">SUM(G159:G174)</f>
        <v>6.41</v>
      </c>
      <c r="H158" s="86">
        <f t="shared" si="55"/>
        <v>1.11</v>
      </c>
      <c r="I158" s="86">
        <f t="shared" si="55"/>
        <v>0.09</v>
      </c>
      <c r="J158" s="86">
        <f t="shared" si="55"/>
        <v>0</v>
      </c>
      <c r="K158" s="86">
        <f t="shared" si="55"/>
        <v>2.2199999999999998</v>
      </c>
      <c r="L158" s="86">
        <f t="shared" si="55"/>
        <v>1.07</v>
      </c>
      <c r="M158" s="86">
        <f t="shared" si="55"/>
        <v>0</v>
      </c>
      <c r="N158" s="86">
        <f t="shared" si="55"/>
        <v>0</v>
      </c>
      <c r="O158" s="86">
        <f t="shared" si="55"/>
        <v>0</v>
      </c>
      <c r="P158" s="86">
        <f t="shared" si="55"/>
        <v>0</v>
      </c>
      <c r="Q158" s="86">
        <f t="shared" si="55"/>
        <v>0</v>
      </c>
      <c r="R158" s="86">
        <f t="shared" si="55"/>
        <v>0</v>
      </c>
      <c r="S158" s="86">
        <f t="shared" si="55"/>
        <v>0</v>
      </c>
      <c r="T158" s="86">
        <f t="shared" si="55"/>
        <v>0</v>
      </c>
      <c r="U158" s="86">
        <f t="shared" si="55"/>
        <v>2.5</v>
      </c>
      <c r="V158" s="86">
        <f t="shared" si="55"/>
        <v>2.42</v>
      </c>
      <c r="W158" s="86">
        <f t="shared" si="55"/>
        <v>0.05</v>
      </c>
      <c r="X158" s="86">
        <f t="shared" si="55"/>
        <v>0.03</v>
      </c>
      <c r="Y158" s="86">
        <f t="shared" si="55"/>
        <v>0</v>
      </c>
      <c r="Z158" s="86">
        <f t="shared" si="55"/>
        <v>0</v>
      </c>
      <c r="AA158" s="86">
        <f t="shared" si="55"/>
        <v>0</v>
      </c>
      <c r="AB158" s="86">
        <f t="shared" si="55"/>
        <v>0</v>
      </c>
      <c r="AC158" s="86">
        <f t="shared" si="55"/>
        <v>0</v>
      </c>
      <c r="AD158" s="86">
        <f t="shared" si="55"/>
        <v>0</v>
      </c>
      <c r="AE158" s="86">
        <f t="shared" si="55"/>
        <v>0</v>
      </c>
      <c r="AF158" s="86">
        <f t="shared" si="55"/>
        <v>0.09999999999999999</v>
      </c>
      <c r="AG158" s="86">
        <f t="shared" si="55"/>
        <v>0</v>
      </c>
      <c r="AH158" s="86">
        <f t="shared" si="55"/>
        <v>0</v>
      </c>
      <c r="AI158" s="86">
        <f t="shared" si="55"/>
        <v>0</v>
      </c>
      <c r="AJ158" s="86">
        <f t="shared" si="55"/>
        <v>0</v>
      </c>
      <c r="AK158" s="86">
        <f t="shared" si="55"/>
        <v>0</v>
      </c>
      <c r="AL158" s="86">
        <f t="shared" si="55"/>
        <v>0.13</v>
      </c>
      <c r="AM158" s="86">
        <f aca="true" t="shared" si="56" ref="AM158:BG158">SUM(AM159:AM174)</f>
        <v>0</v>
      </c>
      <c r="AN158" s="86">
        <f t="shared" si="56"/>
        <v>0</v>
      </c>
      <c r="AO158" s="86">
        <f t="shared" si="56"/>
        <v>0</v>
      </c>
      <c r="AP158" s="86">
        <f t="shared" si="56"/>
        <v>0</v>
      </c>
      <c r="AQ158" s="86">
        <f t="shared" si="56"/>
        <v>0</v>
      </c>
      <c r="AR158" s="86">
        <f t="shared" si="56"/>
        <v>0</v>
      </c>
      <c r="AS158" s="86">
        <f t="shared" si="56"/>
        <v>0</v>
      </c>
      <c r="AT158" s="86">
        <f t="shared" si="56"/>
        <v>0</v>
      </c>
      <c r="AU158" s="86">
        <f t="shared" si="56"/>
        <v>0.1</v>
      </c>
      <c r="AV158" s="86">
        <f t="shared" si="56"/>
        <v>0.15999999999999998</v>
      </c>
      <c r="AW158" s="86">
        <f t="shared" si="56"/>
        <v>0</v>
      </c>
      <c r="AX158" s="86">
        <f t="shared" si="56"/>
        <v>0</v>
      </c>
      <c r="AY158" s="86">
        <f t="shared" si="56"/>
        <v>0</v>
      </c>
      <c r="AZ158" s="86">
        <f t="shared" si="56"/>
        <v>0</v>
      </c>
      <c r="BA158" s="86">
        <f t="shared" si="56"/>
        <v>0</v>
      </c>
      <c r="BB158" s="86">
        <f t="shared" si="56"/>
        <v>0</v>
      </c>
      <c r="BC158" s="86">
        <f t="shared" si="56"/>
        <v>0</v>
      </c>
      <c r="BD158" s="86">
        <f t="shared" si="56"/>
        <v>0.05</v>
      </c>
      <c r="BE158" s="86">
        <f t="shared" si="56"/>
        <v>0</v>
      </c>
      <c r="BF158" s="86">
        <f t="shared" si="56"/>
        <v>0</v>
      </c>
      <c r="BG158" s="86">
        <f t="shared" si="56"/>
        <v>0.23</v>
      </c>
      <c r="BH158" s="10"/>
      <c r="BI158" s="14"/>
      <c r="BJ158" s="14"/>
      <c r="BK158" s="12"/>
      <c r="BL158" s="13"/>
      <c r="BM158" s="14"/>
      <c r="BN158" s="13"/>
      <c r="BO158" s="15"/>
      <c r="BQ158" s="17"/>
    </row>
    <row r="159" spans="1:69" ht="46.5">
      <c r="A159" s="1">
        <f>+A157+1</f>
        <v>88</v>
      </c>
      <c r="B159" s="174" t="s">
        <v>1035</v>
      </c>
      <c r="C159" s="14" t="s">
        <v>65</v>
      </c>
      <c r="D159" s="4" t="s">
        <v>38</v>
      </c>
      <c r="E159" s="5">
        <f>F159+G159</f>
        <v>0.48</v>
      </c>
      <c r="F159" s="45"/>
      <c r="G159" s="5">
        <f>SUM(H159:M159,Q159,U159,Y159:BG159)</f>
        <v>0.48</v>
      </c>
      <c r="H159" s="74">
        <v>0.43</v>
      </c>
      <c r="I159" s="74"/>
      <c r="J159" s="74"/>
      <c r="K159" s="74"/>
      <c r="L159" s="74">
        <v>0.01</v>
      </c>
      <c r="M159" s="74"/>
      <c r="N159" s="74"/>
      <c r="O159" s="74"/>
      <c r="P159" s="74"/>
      <c r="Q159" s="74"/>
      <c r="R159" s="74"/>
      <c r="S159" s="74"/>
      <c r="T159" s="74"/>
      <c r="U159" s="6"/>
      <c r="V159" s="49"/>
      <c r="W159" s="49"/>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v>0.04</v>
      </c>
      <c r="BH159" s="10" t="s">
        <v>112</v>
      </c>
      <c r="BI159" s="14" t="s">
        <v>65</v>
      </c>
      <c r="BJ159" s="46" t="s">
        <v>1086</v>
      </c>
      <c r="BK159" s="98" t="s">
        <v>374</v>
      </c>
      <c r="BL159" s="13" t="s">
        <v>491</v>
      </c>
      <c r="BM159" s="14" t="s">
        <v>935</v>
      </c>
      <c r="BN159" s="13"/>
      <c r="BO159" s="15" t="s">
        <v>194</v>
      </c>
      <c r="BP159" s="16" t="s">
        <v>1067</v>
      </c>
      <c r="BQ159" s="17"/>
    </row>
    <row r="160" spans="1:69" ht="46.5">
      <c r="A160" s="1">
        <f>+A159+1</f>
        <v>89</v>
      </c>
      <c r="B160" s="174" t="s">
        <v>392</v>
      </c>
      <c r="C160" s="14" t="s">
        <v>122</v>
      </c>
      <c r="D160" s="4" t="s">
        <v>38</v>
      </c>
      <c r="E160" s="5">
        <f>F160+G160</f>
        <v>0.1</v>
      </c>
      <c r="F160" s="45"/>
      <c r="G160" s="5">
        <f>SUM(H160:M160,Q160,U160,Y160:BG160)</f>
        <v>0.1</v>
      </c>
      <c r="H160" s="74"/>
      <c r="I160" s="74"/>
      <c r="J160" s="74"/>
      <c r="K160" s="74">
        <v>0.1</v>
      </c>
      <c r="L160" s="74"/>
      <c r="M160" s="74"/>
      <c r="N160" s="74"/>
      <c r="O160" s="74"/>
      <c r="P160" s="74"/>
      <c r="Q160" s="74"/>
      <c r="R160" s="74"/>
      <c r="S160" s="74"/>
      <c r="T160" s="74"/>
      <c r="U160" s="6"/>
      <c r="V160" s="49"/>
      <c r="W160" s="49"/>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10" t="s">
        <v>123</v>
      </c>
      <c r="BI160" s="14" t="s">
        <v>122</v>
      </c>
      <c r="BJ160" s="46" t="s">
        <v>393</v>
      </c>
      <c r="BK160" s="98" t="s">
        <v>374</v>
      </c>
      <c r="BL160" s="13" t="s">
        <v>190</v>
      </c>
      <c r="BM160" s="14" t="s">
        <v>935</v>
      </c>
      <c r="BN160" s="13" t="s">
        <v>1025</v>
      </c>
      <c r="BO160" s="15" t="s">
        <v>1147</v>
      </c>
      <c r="BQ160" s="17"/>
    </row>
    <row r="161" spans="1:69" ht="46.5">
      <c r="A161" s="1">
        <f>+A160+1</f>
        <v>90</v>
      </c>
      <c r="B161" s="174" t="s">
        <v>394</v>
      </c>
      <c r="C161" s="14" t="s">
        <v>87</v>
      </c>
      <c r="D161" s="4" t="s">
        <v>38</v>
      </c>
      <c r="E161" s="45">
        <f t="shared" si="54"/>
        <v>0.04</v>
      </c>
      <c r="F161" s="73"/>
      <c r="G161" s="5">
        <f aca="true" t="shared" si="57" ref="G161:G167">SUM(H161:M161,Q161,U161,Y161:BG161)</f>
        <v>0.04</v>
      </c>
      <c r="H161" s="10"/>
      <c r="I161" s="10"/>
      <c r="J161" s="10"/>
      <c r="K161" s="76"/>
      <c r="L161" s="10"/>
      <c r="M161" s="10"/>
      <c r="N161" s="10"/>
      <c r="O161" s="10"/>
      <c r="P161" s="10"/>
      <c r="Q161" s="10"/>
      <c r="R161" s="10"/>
      <c r="S161" s="10"/>
      <c r="T161" s="10"/>
      <c r="U161" s="6">
        <f aca="true" t="shared" si="58" ref="U161:U167">SUM(V161:X161)</f>
        <v>0</v>
      </c>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76"/>
      <c r="AU161" s="10"/>
      <c r="AV161" s="10">
        <v>0.04</v>
      </c>
      <c r="AW161" s="10"/>
      <c r="AX161" s="10"/>
      <c r="AY161" s="10"/>
      <c r="AZ161" s="10"/>
      <c r="BA161" s="10"/>
      <c r="BB161" s="10"/>
      <c r="BC161" s="10"/>
      <c r="BD161" s="10"/>
      <c r="BE161" s="10"/>
      <c r="BF161" s="10"/>
      <c r="BG161" s="10"/>
      <c r="BH161" s="60" t="s">
        <v>127</v>
      </c>
      <c r="BI161" s="14" t="s">
        <v>87</v>
      </c>
      <c r="BJ161" s="14" t="s">
        <v>395</v>
      </c>
      <c r="BK161" s="12" t="s">
        <v>120</v>
      </c>
      <c r="BL161" s="13" t="s">
        <v>190</v>
      </c>
      <c r="BM161" s="14" t="s">
        <v>194</v>
      </c>
      <c r="BN161" s="13" t="s">
        <v>1025</v>
      </c>
      <c r="BO161" s="15" t="s">
        <v>1147</v>
      </c>
      <c r="BQ161" s="17"/>
    </row>
    <row r="162" spans="1:69" ht="46.5">
      <c r="A162" s="1">
        <f aca="true" t="shared" si="59" ref="A162:A170">A161+1</f>
        <v>91</v>
      </c>
      <c r="B162" s="174" t="s">
        <v>396</v>
      </c>
      <c r="C162" s="14" t="s">
        <v>130</v>
      </c>
      <c r="D162" s="4" t="s">
        <v>38</v>
      </c>
      <c r="E162" s="45">
        <f t="shared" si="54"/>
        <v>0.03</v>
      </c>
      <c r="F162" s="73"/>
      <c r="G162" s="5">
        <f t="shared" si="57"/>
        <v>0.03</v>
      </c>
      <c r="H162" s="46"/>
      <c r="I162" s="46"/>
      <c r="J162" s="46"/>
      <c r="K162" s="46"/>
      <c r="L162" s="46"/>
      <c r="M162" s="46"/>
      <c r="N162" s="46"/>
      <c r="O162" s="46"/>
      <c r="P162" s="46"/>
      <c r="Q162" s="46"/>
      <c r="R162" s="46"/>
      <c r="S162" s="46"/>
      <c r="T162" s="46"/>
      <c r="U162" s="6">
        <f t="shared" si="58"/>
        <v>0.02</v>
      </c>
      <c r="V162" s="46">
        <v>0.02</v>
      </c>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v>0.01</v>
      </c>
      <c r="AW162" s="46"/>
      <c r="AX162" s="46"/>
      <c r="AY162" s="46"/>
      <c r="AZ162" s="46"/>
      <c r="BA162" s="46"/>
      <c r="BB162" s="46"/>
      <c r="BC162" s="46"/>
      <c r="BD162" s="46"/>
      <c r="BE162" s="46"/>
      <c r="BF162" s="46"/>
      <c r="BG162" s="46"/>
      <c r="BH162" s="46" t="s">
        <v>131</v>
      </c>
      <c r="BI162" s="14" t="s">
        <v>130</v>
      </c>
      <c r="BJ162" s="175" t="s">
        <v>397</v>
      </c>
      <c r="BK162" s="12" t="s">
        <v>120</v>
      </c>
      <c r="BL162" s="13" t="s">
        <v>190</v>
      </c>
      <c r="BM162" s="14" t="s">
        <v>194</v>
      </c>
      <c r="BN162" s="13" t="s">
        <v>1025</v>
      </c>
      <c r="BO162" s="15" t="s">
        <v>1147</v>
      </c>
      <c r="BQ162" s="17"/>
    </row>
    <row r="163" spans="1:69" ht="46.5">
      <c r="A163" s="1">
        <f t="shared" si="59"/>
        <v>92</v>
      </c>
      <c r="B163" s="174" t="s">
        <v>398</v>
      </c>
      <c r="C163" s="14" t="s">
        <v>134</v>
      </c>
      <c r="D163" s="4" t="s">
        <v>38</v>
      </c>
      <c r="E163" s="45">
        <f t="shared" si="54"/>
        <v>0.09999999999999999</v>
      </c>
      <c r="F163" s="45"/>
      <c r="G163" s="5">
        <f t="shared" si="57"/>
        <v>0.09999999999999999</v>
      </c>
      <c r="H163" s="76"/>
      <c r="I163" s="76">
        <v>0.08</v>
      </c>
      <c r="J163" s="76"/>
      <c r="K163" s="76"/>
      <c r="L163" s="76"/>
      <c r="M163" s="10"/>
      <c r="N163" s="76"/>
      <c r="O163" s="76"/>
      <c r="P163" s="76"/>
      <c r="Q163" s="76"/>
      <c r="R163" s="76"/>
      <c r="S163" s="76"/>
      <c r="T163" s="76"/>
      <c r="U163" s="6">
        <f t="shared" si="58"/>
        <v>0</v>
      </c>
      <c r="V163" s="76"/>
      <c r="W163" s="76"/>
      <c r="X163" s="76"/>
      <c r="Y163" s="76"/>
      <c r="Z163" s="76"/>
      <c r="AA163" s="76"/>
      <c r="AB163" s="76"/>
      <c r="AC163" s="76"/>
      <c r="AD163" s="76"/>
      <c r="AE163" s="76"/>
      <c r="AF163" s="76">
        <v>0.01</v>
      </c>
      <c r="AG163" s="76"/>
      <c r="AH163" s="76"/>
      <c r="AI163" s="76"/>
      <c r="AJ163" s="76"/>
      <c r="AK163" s="76"/>
      <c r="AL163" s="76"/>
      <c r="AM163" s="76"/>
      <c r="AN163" s="76"/>
      <c r="AO163" s="76"/>
      <c r="AP163" s="76"/>
      <c r="AQ163" s="76"/>
      <c r="AR163" s="76"/>
      <c r="AS163" s="76"/>
      <c r="AT163" s="76"/>
      <c r="AU163" s="76"/>
      <c r="AV163" s="76">
        <v>0.01</v>
      </c>
      <c r="AW163" s="76"/>
      <c r="AX163" s="76"/>
      <c r="AY163" s="76"/>
      <c r="AZ163" s="76"/>
      <c r="BA163" s="76"/>
      <c r="BB163" s="76"/>
      <c r="BC163" s="76"/>
      <c r="BD163" s="76"/>
      <c r="BE163" s="76"/>
      <c r="BF163" s="76"/>
      <c r="BG163" s="76"/>
      <c r="BH163" s="56" t="s">
        <v>135</v>
      </c>
      <c r="BI163" s="14" t="s">
        <v>134</v>
      </c>
      <c r="BJ163" s="14" t="s">
        <v>399</v>
      </c>
      <c r="BK163" s="12" t="s">
        <v>120</v>
      </c>
      <c r="BL163" s="13" t="s">
        <v>190</v>
      </c>
      <c r="BM163" s="14" t="s">
        <v>935</v>
      </c>
      <c r="BN163" s="13" t="s">
        <v>1025</v>
      </c>
      <c r="BO163" s="15" t="s">
        <v>1147</v>
      </c>
      <c r="BP163" s="16" t="s">
        <v>1030</v>
      </c>
      <c r="BQ163" s="17"/>
    </row>
    <row r="164" spans="1:69" ht="46.5">
      <c r="A164" s="1">
        <f t="shared" si="59"/>
        <v>93</v>
      </c>
      <c r="B164" s="174" t="s">
        <v>401</v>
      </c>
      <c r="C164" s="14" t="s">
        <v>150</v>
      </c>
      <c r="D164" s="4" t="s">
        <v>38</v>
      </c>
      <c r="E164" s="45">
        <f t="shared" si="54"/>
        <v>0.05</v>
      </c>
      <c r="F164" s="176"/>
      <c r="G164" s="5">
        <f t="shared" si="57"/>
        <v>0.05</v>
      </c>
      <c r="H164" s="10"/>
      <c r="I164" s="76">
        <v>0.01</v>
      </c>
      <c r="J164" s="76"/>
      <c r="K164" s="10">
        <v>0.01</v>
      </c>
      <c r="L164" s="75"/>
      <c r="M164" s="10"/>
      <c r="N164" s="10"/>
      <c r="O164" s="10"/>
      <c r="P164" s="10"/>
      <c r="Q164" s="10"/>
      <c r="R164" s="10"/>
      <c r="S164" s="10"/>
      <c r="T164" s="10"/>
      <c r="U164" s="6">
        <f t="shared" si="58"/>
        <v>0</v>
      </c>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v>0.03</v>
      </c>
      <c r="AW164" s="10"/>
      <c r="AX164" s="10"/>
      <c r="AY164" s="10"/>
      <c r="AZ164" s="10"/>
      <c r="BA164" s="10"/>
      <c r="BB164" s="10"/>
      <c r="BC164" s="10"/>
      <c r="BD164" s="10"/>
      <c r="BE164" s="10"/>
      <c r="BF164" s="10"/>
      <c r="BG164" s="10"/>
      <c r="BH164" s="177" t="s">
        <v>151</v>
      </c>
      <c r="BI164" s="14" t="s">
        <v>150</v>
      </c>
      <c r="BJ164" s="177" t="s">
        <v>402</v>
      </c>
      <c r="BK164" s="12" t="s">
        <v>120</v>
      </c>
      <c r="BL164" s="13" t="s">
        <v>190</v>
      </c>
      <c r="BM164" s="14" t="s">
        <v>935</v>
      </c>
      <c r="BN164" s="13" t="s">
        <v>1024</v>
      </c>
      <c r="BO164" s="15" t="s">
        <v>1147</v>
      </c>
      <c r="BQ164" s="17"/>
    </row>
    <row r="165" spans="1:69" ht="46.5">
      <c r="A165" s="1">
        <f t="shared" si="59"/>
        <v>94</v>
      </c>
      <c r="B165" s="174" t="s">
        <v>403</v>
      </c>
      <c r="C165" s="56" t="s">
        <v>106</v>
      </c>
      <c r="D165" s="4" t="s">
        <v>38</v>
      </c>
      <c r="E165" s="45">
        <f t="shared" si="54"/>
        <v>0.2</v>
      </c>
      <c r="F165" s="73"/>
      <c r="G165" s="5">
        <f t="shared" si="57"/>
        <v>0.2</v>
      </c>
      <c r="H165" s="10"/>
      <c r="I165" s="10"/>
      <c r="J165" s="10"/>
      <c r="K165" s="76">
        <v>0.2</v>
      </c>
      <c r="L165" s="10"/>
      <c r="M165" s="10">
        <f>SUM(N165:P165)</f>
        <v>0</v>
      </c>
      <c r="N165" s="10"/>
      <c r="O165" s="10"/>
      <c r="P165" s="10"/>
      <c r="Q165" s="10"/>
      <c r="R165" s="10"/>
      <c r="S165" s="10"/>
      <c r="T165" s="10"/>
      <c r="U165" s="6">
        <f t="shared" si="58"/>
        <v>0</v>
      </c>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76"/>
      <c r="AU165" s="10"/>
      <c r="AV165" s="10"/>
      <c r="AW165" s="10"/>
      <c r="AX165" s="10"/>
      <c r="AY165" s="10"/>
      <c r="AZ165" s="10"/>
      <c r="BA165" s="10"/>
      <c r="BB165" s="10"/>
      <c r="BC165" s="10"/>
      <c r="BD165" s="10"/>
      <c r="BE165" s="10"/>
      <c r="BF165" s="10"/>
      <c r="BG165" s="10"/>
      <c r="BH165" s="3" t="s">
        <v>107</v>
      </c>
      <c r="BI165" s="56" t="s">
        <v>106</v>
      </c>
      <c r="BJ165" s="56" t="s">
        <v>404</v>
      </c>
      <c r="BK165" s="12" t="s">
        <v>120</v>
      </c>
      <c r="BL165" s="13" t="s">
        <v>190</v>
      </c>
      <c r="BM165" s="14" t="s">
        <v>935</v>
      </c>
      <c r="BN165" s="13" t="s">
        <v>1025</v>
      </c>
      <c r="BO165" s="15" t="s">
        <v>1147</v>
      </c>
      <c r="BQ165" s="17"/>
    </row>
    <row r="166" spans="1:71" s="93" customFormat="1" ht="46.5">
      <c r="A166" s="1">
        <f t="shared" si="59"/>
        <v>95</v>
      </c>
      <c r="B166" s="174" t="s">
        <v>405</v>
      </c>
      <c r="C166" s="14" t="s">
        <v>154</v>
      </c>
      <c r="D166" s="4" t="s">
        <v>38</v>
      </c>
      <c r="E166" s="45">
        <f t="shared" si="54"/>
        <v>0.05</v>
      </c>
      <c r="F166" s="73"/>
      <c r="G166" s="5">
        <f t="shared" si="57"/>
        <v>0.05</v>
      </c>
      <c r="H166" s="10"/>
      <c r="I166" s="76"/>
      <c r="J166" s="76"/>
      <c r="K166" s="10"/>
      <c r="L166" s="10"/>
      <c r="M166" s="10"/>
      <c r="N166" s="10"/>
      <c r="O166" s="10"/>
      <c r="P166" s="10"/>
      <c r="Q166" s="10"/>
      <c r="R166" s="10"/>
      <c r="S166" s="10"/>
      <c r="T166" s="10"/>
      <c r="U166" s="6">
        <f t="shared" si="58"/>
        <v>0.05</v>
      </c>
      <c r="V166" s="10"/>
      <c r="W166" s="10">
        <v>0.05</v>
      </c>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78" t="s">
        <v>155</v>
      </c>
      <c r="BI166" s="14" t="s">
        <v>154</v>
      </c>
      <c r="BJ166" s="14" t="s">
        <v>406</v>
      </c>
      <c r="BK166" s="91" t="s">
        <v>68</v>
      </c>
      <c r="BL166" s="13" t="s">
        <v>190</v>
      </c>
      <c r="BM166" s="14" t="s">
        <v>194</v>
      </c>
      <c r="BN166" s="46" t="s">
        <v>1024</v>
      </c>
      <c r="BO166" s="179" t="s">
        <v>1147</v>
      </c>
      <c r="BP166" s="92"/>
      <c r="BS166" s="94"/>
    </row>
    <row r="167" spans="1:69" ht="46.5">
      <c r="A167" s="1">
        <f t="shared" si="59"/>
        <v>96</v>
      </c>
      <c r="B167" s="180" t="s">
        <v>994</v>
      </c>
      <c r="C167" s="56" t="s">
        <v>99</v>
      </c>
      <c r="D167" s="4" t="s">
        <v>38</v>
      </c>
      <c r="E167" s="45">
        <f t="shared" si="54"/>
        <v>0.16</v>
      </c>
      <c r="F167" s="73"/>
      <c r="G167" s="5">
        <f t="shared" si="57"/>
        <v>0.16</v>
      </c>
      <c r="H167" s="10"/>
      <c r="I167" s="10"/>
      <c r="J167" s="10"/>
      <c r="K167" s="8"/>
      <c r="L167" s="10"/>
      <c r="M167" s="10">
        <f>SUM(N167:P167)</f>
        <v>0</v>
      </c>
      <c r="N167" s="10"/>
      <c r="O167" s="10"/>
      <c r="P167" s="10"/>
      <c r="Q167" s="10"/>
      <c r="R167" s="10"/>
      <c r="S167" s="10"/>
      <c r="T167" s="10"/>
      <c r="U167" s="6">
        <f t="shared" si="58"/>
        <v>0</v>
      </c>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v>0.16</v>
      </c>
      <c r="BH167" s="56" t="s">
        <v>100</v>
      </c>
      <c r="BI167" s="56" t="s">
        <v>99</v>
      </c>
      <c r="BJ167" s="14" t="s">
        <v>152</v>
      </c>
      <c r="BK167" s="12" t="s">
        <v>120</v>
      </c>
      <c r="BL167" s="13" t="s">
        <v>190</v>
      </c>
      <c r="BM167" s="14" t="s">
        <v>935</v>
      </c>
      <c r="BN167" s="13" t="s">
        <v>1024</v>
      </c>
      <c r="BO167" s="15" t="s">
        <v>1147</v>
      </c>
      <c r="BP167" s="16" t="s">
        <v>1040</v>
      </c>
      <c r="BQ167" s="17"/>
    </row>
    <row r="168" spans="1:67" ht="46.5">
      <c r="A168" s="1">
        <f t="shared" si="59"/>
        <v>97</v>
      </c>
      <c r="B168" s="180" t="s">
        <v>407</v>
      </c>
      <c r="C168" s="14" t="s">
        <v>138</v>
      </c>
      <c r="D168" s="4" t="s">
        <v>38</v>
      </c>
      <c r="E168" s="45">
        <f t="shared" si="54"/>
        <v>0.01</v>
      </c>
      <c r="F168" s="73"/>
      <c r="G168" s="5">
        <f>SUM(H168:M168,Q168,U168,Y168:BG168)</f>
        <v>0.01</v>
      </c>
      <c r="H168" s="10"/>
      <c r="I168" s="10"/>
      <c r="J168" s="10"/>
      <c r="K168" s="76"/>
      <c r="L168" s="10"/>
      <c r="M168" s="10">
        <f>SUM(N168:P168)</f>
        <v>0</v>
      </c>
      <c r="N168" s="10"/>
      <c r="O168" s="10"/>
      <c r="P168" s="10"/>
      <c r="Q168" s="10"/>
      <c r="R168" s="10"/>
      <c r="S168" s="10"/>
      <c r="T168" s="10"/>
      <c r="U168" s="6">
        <f aca="true" t="shared" si="60" ref="U168:U174">SUM(V168:X168)</f>
        <v>0</v>
      </c>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76"/>
      <c r="AU168" s="10"/>
      <c r="AV168" s="10">
        <v>0.01</v>
      </c>
      <c r="AW168" s="10"/>
      <c r="AX168" s="10"/>
      <c r="AY168" s="10"/>
      <c r="AZ168" s="10"/>
      <c r="BA168" s="10"/>
      <c r="BB168" s="10"/>
      <c r="BC168" s="10"/>
      <c r="BD168" s="10"/>
      <c r="BE168" s="10"/>
      <c r="BF168" s="10"/>
      <c r="BG168" s="10"/>
      <c r="BH168" s="60" t="s">
        <v>139</v>
      </c>
      <c r="BI168" s="14" t="s">
        <v>138</v>
      </c>
      <c r="BJ168" s="14" t="s">
        <v>408</v>
      </c>
      <c r="BK168" s="12" t="s">
        <v>120</v>
      </c>
      <c r="BL168" s="13" t="s">
        <v>190</v>
      </c>
      <c r="BM168" s="14" t="s">
        <v>935</v>
      </c>
      <c r="BN168" s="13" t="s">
        <v>1025</v>
      </c>
      <c r="BO168" s="15" t="s">
        <v>1147</v>
      </c>
    </row>
    <row r="169" spans="1:71" s="93" customFormat="1" ht="46.5">
      <c r="A169" s="1">
        <f t="shared" si="59"/>
        <v>98</v>
      </c>
      <c r="B169" s="118" t="s">
        <v>409</v>
      </c>
      <c r="C169" s="14" t="s">
        <v>65</v>
      </c>
      <c r="D169" s="4" t="s">
        <v>38</v>
      </c>
      <c r="E169" s="45">
        <f t="shared" si="54"/>
        <v>1.4000000000000004</v>
      </c>
      <c r="F169" s="73"/>
      <c r="G169" s="5">
        <f>SUM(H169:M169,Q169,U169,Y169:BG169)</f>
        <v>1.4000000000000004</v>
      </c>
      <c r="H169" s="10">
        <v>0.68</v>
      </c>
      <c r="I169" s="76"/>
      <c r="J169" s="76"/>
      <c r="K169" s="10">
        <v>0.45</v>
      </c>
      <c r="L169" s="10"/>
      <c r="M169" s="10"/>
      <c r="N169" s="10"/>
      <c r="O169" s="10"/>
      <c r="P169" s="10"/>
      <c r="Q169" s="10"/>
      <c r="R169" s="10"/>
      <c r="S169" s="10"/>
      <c r="T169" s="10"/>
      <c r="U169" s="6">
        <f t="shared" si="60"/>
        <v>0</v>
      </c>
      <c r="V169" s="10"/>
      <c r="W169" s="10"/>
      <c r="X169" s="10"/>
      <c r="Y169" s="10"/>
      <c r="Z169" s="10"/>
      <c r="AA169" s="10"/>
      <c r="AB169" s="10"/>
      <c r="AC169" s="10"/>
      <c r="AD169" s="10"/>
      <c r="AE169" s="10"/>
      <c r="AF169" s="10">
        <v>0.09</v>
      </c>
      <c r="AG169" s="10"/>
      <c r="AH169" s="10"/>
      <c r="AI169" s="10"/>
      <c r="AJ169" s="10"/>
      <c r="AK169" s="10"/>
      <c r="AL169" s="10"/>
      <c r="AM169" s="10"/>
      <c r="AN169" s="10"/>
      <c r="AO169" s="10"/>
      <c r="AP169" s="10"/>
      <c r="AQ169" s="10"/>
      <c r="AR169" s="10"/>
      <c r="AS169" s="10"/>
      <c r="AT169" s="10"/>
      <c r="AU169" s="10">
        <v>0.1</v>
      </c>
      <c r="AV169" s="10"/>
      <c r="AW169" s="10"/>
      <c r="AX169" s="10"/>
      <c r="AY169" s="10"/>
      <c r="AZ169" s="10"/>
      <c r="BA169" s="10"/>
      <c r="BB169" s="10"/>
      <c r="BC169" s="10"/>
      <c r="BD169" s="10">
        <v>0.05</v>
      </c>
      <c r="BE169" s="10"/>
      <c r="BF169" s="10"/>
      <c r="BG169" s="10">
        <v>0.03</v>
      </c>
      <c r="BH169" s="178" t="s">
        <v>1088</v>
      </c>
      <c r="BI169" s="14" t="s">
        <v>65</v>
      </c>
      <c r="BJ169" s="14" t="s">
        <v>1087</v>
      </c>
      <c r="BK169" s="12" t="s">
        <v>120</v>
      </c>
      <c r="BL169" s="13" t="s">
        <v>923</v>
      </c>
      <c r="BM169" s="14" t="s">
        <v>194</v>
      </c>
      <c r="BN169" s="46" t="s">
        <v>1025</v>
      </c>
      <c r="BO169" s="15" t="s">
        <v>1147</v>
      </c>
      <c r="BP169" s="92" t="s">
        <v>1036</v>
      </c>
      <c r="BS169" s="94"/>
    </row>
    <row r="170" spans="1:69" ht="50.25" customHeight="1">
      <c r="A170" s="1">
        <f t="shared" si="59"/>
        <v>99</v>
      </c>
      <c r="B170" s="47" t="s">
        <v>410</v>
      </c>
      <c r="C170" s="14" t="s">
        <v>71</v>
      </c>
      <c r="D170" s="4" t="s">
        <v>38</v>
      </c>
      <c r="E170" s="45">
        <f t="shared" si="54"/>
        <v>0.23</v>
      </c>
      <c r="F170" s="45">
        <v>0.03</v>
      </c>
      <c r="G170" s="5">
        <f>SUM(H170:M170,Q170,U170,Y170:BG170)</f>
        <v>0.2</v>
      </c>
      <c r="H170" s="6"/>
      <c r="I170" s="7"/>
      <c r="J170" s="7"/>
      <c r="K170" s="7"/>
      <c r="L170" s="7"/>
      <c r="M170" s="10"/>
      <c r="N170" s="6"/>
      <c r="O170" s="6"/>
      <c r="P170" s="6"/>
      <c r="Q170" s="6"/>
      <c r="R170" s="6"/>
      <c r="S170" s="6"/>
      <c r="T170" s="6"/>
      <c r="U170" s="46">
        <f t="shared" si="60"/>
        <v>0.2</v>
      </c>
      <c r="V170" s="181">
        <f>0.05+0.15</f>
        <v>0.2</v>
      </c>
      <c r="W170" s="181"/>
      <c r="X170" s="181"/>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82" t="s">
        <v>76</v>
      </c>
      <c r="BI170" s="14" t="s">
        <v>71</v>
      </c>
      <c r="BJ170" s="14" t="s">
        <v>411</v>
      </c>
      <c r="BK170" s="12" t="s">
        <v>68</v>
      </c>
      <c r="BL170" s="13" t="s">
        <v>412</v>
      </c>
      <c r="BM170" s="14" t="s">
        <v>194</v>
      </c>
      <c r="BN170" s="13" t="s">
        <v>1025</v>
      </c>
      <c r="BO170" s="15" t="s">
        <v>1147</v>
      </c>
      <c r="BQ170" s="17"/>
    </row>
    <row r="171" spans="1:69" ht="51.75" customHeight="1">
      <c r="A171" s="71">
        <f>A170+1</f>
        <v>100</v>
      </c>
      <c r="B171" s="47" t="s">
        <v>413</v>
      </c>
      <c r="C171" s="14" t="s">
        <v>99</v>
      </c>
      <c r="D171" s="4" t="s">
        <v>38</v>
      </c>
      <c r="E171" s="5">
        <f t="shared" si="54"/>
        <v>0.06999999999999999</v>
      </c>
      <c r="F171" s="73">
        <v>0.01</v>
      </c>
      <c r="G171" s="5">
        <f>SUM(H171:M171,Q171,U171,Y171:BG171)</f>
        <v>0.06</v>
      </c>
      <c r="H171" s="10"/>
      <c r="I171" s="181"/>
      <c r="J171" s="181"/>
      <c r="K171" s="10"/>
      <c r="L171" s="10"/>
      <c r="M171" s="10">
        <f>SUM(N171:P171)</f>
        <v>0</v>
      </c>
      <c r="N171" s="10"/>
      <c r="O171" s="10"/>
      <c r="P171" s="10"/>
      <c r="Q171" s="10"/>
      <c r="R171" s="10"/>
      <c r="S171" s="10"/>
      <c r="T171" s="10"/>
      <c r="U171" s="46">
        <f t="shared" si="60"/>
        <v>0.06</v>
      </c>
      <c r="V171" s="166">
        <v>0.06</v>
      </c>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t="s">
        <v>384</v>
      </c>
      <c r="BI171" s="14" t="s">
        <v>99</v>
      </c>
      <c r="BJ171" s="14" t="s">
        <v>414</v>
      </c>
      <c r="BK171" s="12" t="s">
        <v>120</v>
      </c>
      <c r="BL171" s="13" t="s">
        <v>190</v>
      </c>
      <c r="BM171" s="14" t="s">
        <v>194</v>
      </c>
      <c r="BN171" s="13" t="s">
        <v>1025</v>
      </c>
      <c r="BO171" s="15" t="s">
        <v>1147</v>
      </c>
      <c r="BQ171" s="17"/>
    </row>
    <row r="172" spans="1:69" ht="51.75" customHeight="1">
      <c r="A172" s="71">
        <f>A171+1</f>
        <v>101</v>
      </c>
      <c r="B172" s="47" t="s">
        <v>415</v>
      </c>
      <c r="C172" s="14" t="s">
        <v>106</v>
      </c>
      <c r="D172" s="4" t="s">
        <v>38</v>
      </c>
      <c r="E172" s="5">
        <f t="shared" si="54"/>
        <v>0.06</v>
      </c>
      <c r="F172" s="73">
        <v>0.03</v>
      </c>
      <c r="G172" s="5">
        <f>SUM(H172:M172,Q172,U172,Y172:BG172)</f>
        <v>0.03</v>
      </c>
      <c r="H172" s="10"/>
      <c r="I172" s="181"/>
      <c r="J172" s="181"/>
      <c r="K172" s="10"/>
      <c r="L172" s="10"/>
      <c r="M172" s="10">
        <f>SUM(N172:P172)</f>
        <v>0</v>
      </c>
      <c r="N172" s="10"/>
      <c r="O172" s="10"/>
      <c r="P172" s="10"/>
      <c r="Q172" s="10"/>
      <c r="R172" s="10"/>
      <c r="S172" s="10"/>
      <c r="T172" s="10"/>
      <c r="U172" s="46">
        <f t="shared" si="60"/>
        <v>0.03</v>
      </c>
      <c r="V172" s="166"/>
      <c r="W172" s="10"/>
      <c r="X172" s="10">
        <v>0.03</v>
      </c>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t="s">
        <v>107</v>
      </c>
      <c r="BI172" s="14" t="s">
        <v>106</v>
      </c>
      <c r="BJ172" s="14" t="s">
        <v>416</v>
      </c>
      <c r="BK172" s="12" t="s">
        <v>120</v>
      </c>
      <c r="BL172" s="13" t="s">
        <v>190</v>
      </c>
      <c r="BM172" s="14" t="s">
        <v>194</v>
      </c>
      <c r="BN172" s="13" t="s">
        <v>1025</v>
      </c>
      <c r="BO172" s="15" t="s">
        <v>1147</v>
      </c>
      <c r="BQ172" s="17"/>
    </row>
    <row r="173" spans="1:71" s="93" customFormat="1" ht="46.5">
      <c r="A173" s="71">
        <f>+A172+1</f>
        <v>102</v>
      </c>
      <c r="B173" s="118" t="s">
        <v>706</v>
      </c>
      <c r="C173" s="46" t="s">
        <v>134</v>
      </c>
      <c r="D173" s="46" t="s">
        <v>38</v>
      </c>
      <c r="E173" s="45">
        <f t="shared" si="54"/>
        <v>0.19</v>
      </c>
      <c r="F173" s="73"/>
      <c r="G173" s="5">
        <v>0.19</v>
      </c>
      <c r="H173" s="48">
        <v>0</v>
      </c>
      <c r="I173" s="48">
        <v>0</v>
      </c>
      <c r="J173" s="48">
        <v>0</v>
      </c>
      <c r="K173" s="48">
        <v>0</v>
      </c>
      <c r="L173" s="48">
        <v>0.06</v>
      </c>
      <c r="M173" s="48">
        <v>0</v>
      </c>
      <c r="N173" s="48">
        <v>0</v>
      </c>
      <c r="O173" s="48">
        <v>0</v>
      </c>
      <c r="P173" s="48">
        <v>0</v>
      </c>
      <c r="Q173" s="48">
        <v>0</v>
      </c>
      <c r="R173" s="48">
        <v>0</v>
      </c>
      <c r="S173" s="48">
        <v>0</v>
      </c>
      <c r="T173" s="48">
        <v>0</v>
      </c>
      <c r="U173" s="48">
        <v>0</v>
      </c>
      <c r="V173" s="48">
        <v>0</v>
      </c>
      <c r="W173" s="48">
        <v>0</v>
      </c>
      <c r="X173" s="48">
        <v>0</v>
      </c>
      <c r="Y173" s="48">
        <v>0</v>
      </c>
      <c r="Z173" s="48">
        <v>0</v>
      </c>
      <c r="AA173" s="48">
        <v>0</v>
      </c>
      <c r="AB173" s="48">
        <v>0</v>
      </c>
      <c r="AC173" s="48">
        <v>0</v>
      </c>
      <c r="AD173" s="48">
        <v>0</v>
      </c>
      <c r="AE173" s="48">
        <v>0</v>
      </c>
      <c r="AF173" s="48">
        <v>0</v>
      </c>
      <c r="AG173" s="48">
        <v>0</v>
      </c>
      <c r="AH173" s="48">
        <v>0</v>
      </c>
      <c r="AI173" s="48">
        <v>0</v>
      </c>
      <c r="AJ173" s="48">
        <v>0</v>
      </c>
      <c r="AK173" s="48">
        <v>0</v>
      </c>
      <c r="AL173" s="48">
        <v>0.13</v>
      </c>
      <c r="AM173" s="48">
        <v>0</v>
      </c>
      <c r="AN173" s="48">
        <v>0</v>
      </c>
      <c r="AO173" s="48">
        <v>0</v>
      </c>
      <c r="AP173" s="48">
        <v>0</v>
      </c>
      <c r="AQ173" s="48">
        <v>0</v>
      </c>
      <c r="AR173" s="48">
        <v>0</v>
      </c>
      <c r="AS173" s="48">
        <v>0</v>
      </c>
      <c r="AT173" s="48">
        <v>0</v>
      </c>
      <c r="AU173" s="48">
        <v>0</v>
      </c>
      <c r="AV173" s="48">
        <v>0.06</v>
      </c>
      <c r="AW173" s="48">
        <v>0</v>
      </c>
      <c r="AX173" s="48">
        <v>0</v>
      </c>
      <c r="AY173" s="48">
        <v>0</v>
      </c>
      <c r="AZ173" s="48">
        <v>0</v>
      </c>
      <c r="BA173" s="48">
        <v>0</v>
      </c>
      <c r="BB173" s="48">
        <v>0</v>
      </c>
      <c r="BC173" s="48">
        <v>0</v>
      </c>
      <c r="BD173" s="48">
        <v>0</v>
      </c>
      <c r="BE173" s="48">
        <v>0</v>
      </c>
      <c r="BF173" s="48">
        <v>0</v>
      </c>
      <c r="BG173" s="48">
        <v>0</v>
      </c>
      <c r="BH173" s="46" t="s">
        <v>1154</v>
      </c>
      <c r="BI173" s="46" t="s">
        <v>134</v>
      </c>
      <c r="BJ173" s="46" t="s">
        <v>1155</v>
      </c>
      <c r="BK173" s="98" t="s">
        <v>120</v>
      </c>
      <c r="BL173" s="13" t="s">
        <v>190</v>
      </c>
      <c r="BM173" s="14" t="s">
        <v>935</v>
      </c>
      <c r="BN173" s="46" t="s">
        <v>1024</v>
      </c>
      <c r="BO173" s="179" t="s">
        <v>1147</v>
      </c>
      <c r="BP173" s="92"/>
      <c r="BS173" s="94"/>
    </row>
    <row r="174" spans="1:71" s="93" customFormat="1" ht="46.5">
      <c r="A174" s="71">
        <f>+A173+1</f>
        <v>103</v>
      </c>
      <c r="B174" s="118" t="s">
        <v>417</v>
      </c>
      <c r="C174" s="14" t="s">
        <v>370</v>
      </c>
      <c r="D174" s="4" t="s">
        <v>38</v>
      </c>
      <c r="E174" s="45">
        <f t="shared" si="54"/>
        <v>3.3099999999999996</v>
      </c>
      <c r="F174" s="73"/>
      <c r="G174" s="5">
        <f>SUM(H174:M174,Q174,U174,Y174:BG174)-1.29</f>
        <v>3.3099999999999996</v>
      </c>
      <c r="H174" s="10"/>
      <c r="I174" s="76"/>
      <c r="J174" s="76"/>
      <c r="K174" s="10">
        <v>1.46</v>
      </c>
      <c r="L174" s="10">
        <v>1</v>
      </c>
      <c r="M174" s="10"/>
      <c r="N174" s="10"/>
      <c r="O174" s="10"/>
      <c r="P174" s="10"/>
      <c r="Q174" s="10"/>
      <c r="R174" s="10"/>
      <c r="S174" s="10"/>
      <c r="T174" s="10"/>
      <c r="U174" s="6">
        <f t="shared" si="60"/>
        <v>2.14</v>
      </c>
      <c r="V174" s="10">
        <f>2.14+0.15-0.15</f>
        <v>2.14</v>
      </c>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78"/>
      <c r="BI174" s="14" t="s">
        <v>370</v>
      </c>
      <c r="BJ174" s="14"/>
      <c r="BK174" s="46" t="s">
        <v>374</v>
      </c>
      <c r="BL174" s="13"/>
      <c r="BM174" s="14" t="s">
        <v>194</v>
      </c>
      <c r="BN174" s="46" t="s">
        <v>1025</v>
      </c>
      <c r="BO174" s="179" t="s">
        <v>1147</v>
      </c>
      <c r="BP174" s="92"/>
      <c r="BS174" s="94"/>
    </row>
    <row r="175" spans="1:71" s="93" customFormat="1" ht="27.75" customHeight="1">
      <c r="A175" s="66" t="s">
        <v>418</v>
      </c>
      <c r="B175" s="85" t="s">
        <v>419</v>
      </c>
      <c r="C175" s="86"/>
      <c r="D175" s="36"/>
      <c r="E175" s="69">
        <f>G175+F175</f>
        <v>4.53</v>
      </c>
      <c r="F175" s="69">
        <f>SUM(F177:F182)</f>
        <v>0.15000000000000002</v>
      </c>
      <c r="G175" s="69">
        <f>SUM(G176:G182)</f>
        <v>4.38</v>
      </c>
      <c r="H175" s="69">
        <f>SUM(H176:H182)</f>
        <v>0.09</v>
      </c>
      <c r="I175" s="69">
        <f aca="true" t="shared" si="61" ref="I175:BG175">SUM(I176:I182)</f>
        <v>0.05</v>
      </c>
      <c r="J175" s="69">
        <f t="shared" si="61"/>
        <v>0</v>
      </c>
      <c r="K175" s="69">
        <f t="shared" si="61"/>
        <v>0.23</v>
      </c>
      <c r="L175" s="69">
        <f t="shared" si="61"/>
        <v>0</v>
      </c>
      <c r="M175" s="69">
        <f t="shared" si="61"/>
        <v>0.02</v>
      </c>
      <c r="N175" s="69">
        <f t="shared" si="61"/>
        <v>0</v>
      </c>
      <c r="O175" s="69">
        <f t="shared" si="61"/>
        <v>0</v>
      </c>
      <c r="P175" s="69">
        <f t="shared" si="61"/>
        <v>0</v>
      </c>
      <c r="Q175" s="69">
        <f t="shared" si="61"/>
        <v>0</v>
      </c>
      <c r="R175" s="69">
        <f t="shared" si="61"/>
        <v>0</v>
      </c>
      <c r="S175" s="69">
        <f t="shared" si="61"/>
        <v>0</v>
      </c>
      <c r="T175" s="69">
        <f t="shared" si="61"/>
        <v>0</v>
      </c>
      <c r="U175" s="69">
        <f t="shared" si="61"/>
        <v>3.28</v>
      </c>
      <c r="V175" s="69">
        <f t="shared" si="61"/>
        <v>2.9299999999999997</v>
      </c>
      <c r="W175" s="69">
        <f t="shared" si="61"/>
        <v>0.15</v>
      </c>
      <c r="X175" s="69">
        <f t="shared" si="61"/>
        <v>0.2</v>
      </c>
      <c r="Y175" s="69">
        <f t="shared" si="61"/>
        <v>0</v>
      </c>
      <c r="Z175" s="69">
        <f t="shared" si="61"/>
        <v>0</v>
      </c>
      <c r="AA175" s="69">
        <f t="shared" si="61"/>
        <v>0</v>
      </c>
      <c r="AB175" s="69">
        <f t="shared" si="61"/>
        <v>0</v>
      </c>
      <c r="AC175" s="69">
        <f t="shared" si="61"/>
        <v>0</v>
      </c>
      <c r="AD175" s="69">
        <f t="shared" si="61"/>
        <v>0</v>
      </c>
      <c r="AE175" s="69">
        <f t="shared" si="61"/>
        <v>0</v>
      </c>
      <c r="AF175" s="69">
        <f t="shared" si="61"/>
        <v>0.09999999999999999</v>
      </c>
      <c r="AG175" s="69">
        <f t="shared" si="61"/>
        <v>0</v>
      </c>
      <c r="AH175" s="69">
        <f t="shared" si="61"/>
        <v>0</v>
      </c>
      <c r="AI175" s="69">
        <f t="shared" si="61"/>
        <v>0</v>
      </c>
      <c r="AJ175" s="69">
        <f t="shared" si="61"/>
        <v>0</v>
      </c>
      <c r="AK175" s="69">
        <f t="shared" si="61"/>
        <v>0</v>
      </c>
      <c r="AL175" s="69">
        <f t="shared" si="61"/>
        <v>0</v>
      </c>
      <c r="AM175" s="69">
        <f t="shared" si="61"/>
        <v>0</v>
      </c>
      <c r="AN175" s="69">
        <f t="shared" si="61"/>
        <v>0</v>
      </c>
      <c r="AO175" s="69">
        <f t="shared" si="61"/>
        <v>0</v>
      </c>
      <c r="AP175" s="69">
        <f t="shared" si="61"/>
        <v>0</v>
      </c>
      <c r="AQ175" s="69">
        <f t="shared" si="61"/>
        <v>0</v>
      </c>
      <c r="AR175" s="69">
        <f t="shared" si="61"/>
        <v>0</v>
      </c>
      <c r="AS175" s="69">
        <f t="shared" si="61"/>
        <v>0</v>
      </c>
      <c r="AT175" s="69">
        <f t="shared" si="61"/>
        <v>0.01</v>
      </c>
      <c r="AU175" s="69">
        <f t="shared" si="61"/>
        <v>0</v>
      </c>
      <c r="AV175" s="69">
        <f t="shared" si="61"/>
        <v>0.06999999999999999</v>
      </c>
      <c r="AW175" s="69">
        <f t="shared" si="61"/>
        <v>0</v>
      </c>
      <c r="AX175" s="69">
        <f t="shared" si="61"/>
        <v>0</v>
      </c>
      <c r="AY175" s="69">
        <f t="shared" si="61"/>
        <v>0</v>
      </c>
      <c r="AZ175" s="69">
        <f t="shared" si="61"/>
        <v>0</v>
      </c>
      <c r="BA175" s="69">
        <f t="shared" si="61"/>
        <v>0</v>
      </c>
      <c r="BB175" s="69">
        <f t="shared" si="61"/>
        <v>0</v>
      </c>
      <c r="BC175" s="69">
        <f t="shared" si="61"/>
        <v>0</v>
      </c>
      <c r="BD175" s="69">
        <f t="shared" si="61"/>
        <v>0.08</v>
      </c>
      <c r="BE175" s="69">
        <f t="shared" si="61"/>
        <v>0</v>
      </c>
      <c r="BF175" s="69">
        <f t="shared" si="61"/>
        <v>0</v>
      </c>
      <c r="BG175" s="69">
        <f t="shared" si="61"/>
        <v>0.45</v>
      </c>
      <c r="BH175" s="86"/>
      <c r="BI175" s="86"/>
      <c r="BJ175" s="39"/>
      <c r="BK175" s="46"/>
      <c r="BL175" s="39"/>
      <c r="BM175" s="46"/>
      <c r="BN175" s="46"/>
      <c r="BO175" s="179"/>
      <c r="BP175" s="92"/>
      <c r="BS175" s="94"/>
    </row>
    <row r="176" spans="1:69" ht="46.5">
      <c r="A176" s="71">
        <f>A174+1</f>
        <v>104</v>
      </c>
      <c r="B176" s="15" t="s">
        <v>420</v>
      </c>
      <c r="C176" s="121" t="s">
        <v>65</v>
      </c>
      <c r="D176" s="13" t="s">
        <v>39</v>
      </c>
      <c r="E176" s="45">
        <f>F176+G176</f>
        <v>3.53</v>
      </c>
      <c r="F176" s="73"/>
      <c r="G176" s="5">
        <f>SUM(H176:M176,Q176,U176,Y176:BG176)</f>
        <v>3.53</v>
      </c>
      <c r="H176" s="10"/>
      <c r="I176" s="10">
        <v>0.02</v>
      </c>
      <c r="J176" s="10"/>
      <c r="K176" s="10"/>
      <c r="L176" s="10"/>
      <c r="M176" s="10"/>
      <c r="N176" s="10"/>
      <c r="O176" s="10"/>
      <c r="P176" s="10"/>
      <c r="Q176" s="6"/>
      <c r="R176" s="10"/>
      <c r="S176" s="10"/>
      <c r="T176" s="10"/>
      <c r="U176" s="6">
        <f>SUM(V176:X176)</f>
        <v>2.8899999999999997</v>
      </c>
      <c r="V176" s="10">
        <f>2.51-0.13+0.07+0.2+0.23+0.01</f>
        <v>2.8899999999999997</v>
      </c>
      <c r="W176" s="10"/>
      <c r="X176" s="10"/>
      <c r="Y176" s="10"/>
      <c r="Z176" s="10"/>
      <c r="AA176" s="10"/>
      <c r="AB176" s="10"/>
      <c r="AC176" s="10"/>
      <c r="AD176" s="10"/>
      <c r="AE176" s="10"/>
      <c r="AF176" s="10">
        <v>0.09</v>
      </c>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v>0.08</v>
      </c>
      <c r="BE176" s="10"/>
      <c r="BF176" s="10"/>
      <c r="BG176" s="10">
        <v>0.45</v>
      </c>
      <c r="BH176" s="10" t="s">
        <v>296</v>
      </c>
      <c r="BI176" s="121" t="s">
        <v>65</v>
      </c>
      <c r="BJ176" s="4" t="s">
        <v>421</v>
      </c>
      <c r="BK176" s="12" t="s">
        <v>386</v>
      </c>
      <c r="BL176" s="13" t="s">
        <v>422</v>
      </c>
      <c r="BM176" s="14" t="s">
        <v>194</v>
      </c>
      <c r="BN176" s="13" t="s">
        <v>1025</v>
      </c>
      <c r="BO176" s="15" t="s">
        <v>1147</v>
      </c>
      <c r="BQ176" s="17"/>
    </row>
    <row r="177" spans="1:71" s="93" customFormat="1" ht="36" customHeight="1">
      <c r="A177" s="332">
        <f>A176+1</f>
        <v>105</v>
      </c>
      <c r="B177" s="331" t="s">
        <v>423</v>
      </c>
      <c r="C177" s="121" t="s">
        <v>122</v>
      </c>
      <c r="D177" s="13" t="s">
        <v>39</v>
      </c>
      <c r="E177" s="97">
        <v>0.15</v>
      </c>
      <c r="F177" s="97"/>
      <c r="G177" s="88">
        <v>0.15</v>
      </c>
      <c r="H177" s="74">
        <v>0.08</v>
      </c>
      <c r="I177" s="74">
        <v>0.03</v>
      </c>
      <c r="J177" s="74"/>
      <c r="K177" s="74"/>
      <c r="L177" s="74"/>
      <c r="M177" s="10">
        <v>0.02</v>
      </c>
      <c r="N177" s="74"/>
      <c r="O177" s="74"/>
      <c r="P177" s="74"/>
      <c r="Q177" s="74"/>
      <c r="R177" s="74"/>
      <c r="S177" s="74"/>
      <c r="T177" s="74"/>
      <c r="U177" s="6"/>
      <c r="V177" s="49"/>
      <c r="W177" s="49"/>
      <c r="X177" s="74"/>
      <c r="Y177" s="74"/>
      <c r="Z177" s="74"/>
      <c r="AA177" s="74"/>
      <c r="AB177" s="74"/>
      <c r="AC177" s="74"/>
      <c r="AD177" s="74"/>
      <c r="AE177" s="74"/>
      <c r="AF177" s="74">
        <v>0.01</v>
      </c>
      <c r="AG177" s="74"/>
      <c r="AH177" s="74"/>
      <c r="AI177" s="74"/>
      <c r="AJ177" s="74"/>
      <c r="AK177" s="74"/>
      <c r="AL177" s="74"/>
      <c r="AM177" s="74"/>
      <c r="AN177" s="74"/>
      <c r="AO177" s="74"/>
      <c r="AP177" s="74"/>
      <c r="AQ177" s="74"/>
      <c r="AR177" s="74"/>
      <c r="AS177" s="74"/>
      <c r="AT177" s="49">
        <v>0.01</v>
      </c>
      <c r="AU177" s="74"/>
      <c r="AV177" s="74"/>
      <c r="AW177" s="74"/>
      <c r="AX177" s="74"/>
      <c r="AY177" s="74"/>
      <c r="AZ177" s="74"/>
      <c r="BA177" s="74"/>
      <c r="BB177" s="74"/>
      <c r="BC177" s="74"/>
      <c r="BD177" s="74"/>
      <c r="BE177" s="74"/>
      <c r="BF177" s="74"/>
      <c r="BG177" s="74"/>
      <c r="BH177" s="56" t="s">
        <v>123</v>
      </c>
      <c r="BI177" s="121" t="s">
        <v>122</v>
      </c>
      <c r="BJ177" s="14" t="s">
        <v>424</v>
      </c>
      <c r="BK177" s="91" t="s">
        <v>68</v>
      </c>
      <c r="BL177" s="46" t="s">
        <v>190</v>
      </c>
      <c r="BM177" s="14" t="s">
        <v>935</v>
      </c>
      <c r="BN177" s="46" t="s">
        <v>1025</v>
      </c>
      <c r="BO177" s="179" t="s">
        <v>1147</v>
      </c>
      <c r="BP177" s="92"/>
      <c r="BS177" s="94"/>
    </row>
    <row r="178" spans="1:69" ht="36" customHeight="1">
      <c r="A178" s="332"/>
      <c r="B178" s="331"/>
      <c r="C178" s="56" t="s">
        <v>106</v>
      </c>
      <c r="D178" s="13" t="s">
        <v>39</v>
      </c>
      <c r="E178" s="97">
        <f aca="true" t="shared" si="62" ref="E178:E183">F178+G178</f>
        <v>0.2</v>
      </c>
      <c r="F178" s="97"/>
      <c r="G178" s="80">
        <f>SUM(H178:M178,Q178,U178,Y178:BG178)</f>
        <v>0.2</v>
      </c>
      <c r="H178" s="49"/>
      <c r="I178" s="49"/>
      <c r="J178" s="49"/>
      <c r="K178" s="49"/>
      <c r="L178" s="49"/>
      <c r="M178" s="10">
        <f>SUM(N178:P178)</f>
        <v>0</v>
      </c>
      <c r="N178" s="49"/>
      <c r="O178" s="49"/>
      <c r="P178" s="49"/>
      <c r="Q178" s="49"/>
      <c r="R178" s="49"/>
      <c r="S178" s="49"/>
      <c r="T178" s="49"/>
      <c r="U178" s="6">
        <f>SUM(V178:X178)</f>
        <v>0.2</v>
      </c>
      <c r="V178" s="49"/>
      <c r="W178" s="49"/>
      <c r="X178" s="49">
        <v>0.2</v>
      </c>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10" t="s">
        <v>107</v>
      </c>
      <c r="BI178" s="56" t="s">
        <v>106</v>
      </c>
      <c r="BJ178" s="56" t="s">
        <v>425</v>
      </c>
      <c r="BK178" s="12" t="s">
        <v>374</v>
      </c>
      <c r="BL178" s="46" t="s">
        <v>190</v>
      </c>
      <c r="BM178" s="14" t="s">
        <v>935</v>
      </c>
      <c r="BN178" s="46" t="s">
        <v>1025</v>
      </c>
      <c r="BO178" s="15" t="s">
        <v>1147</v>
      </c>
      <c r="BQ178" s="17"/>
    </row>
    <row r="179" spans="1:67" ht="36" customHeight="1">
      <c r="A179" s="332"/>
      <c r="B179" s="331"/>
      <c r="C179" s="56" t="s">
        <v>138</v>
      </c>
      <c r="D179" s="13" t="s">
        <v>39</v>
      </c>
      <c r="E179" s="97">
        <f t="shared" si="62"/>
        <v>0.23</v>
      </c>
      <c r="F179" s="97"/>
      <c r="G179" s="80">
        <f>SUM(H179:M179,Q179,U179,Y179:BG179)</f>
        <v>0.23</v>
      </c>
      <c r="H179" s="49"/>
      <c r="I179" s="49"/>
      <c r="J179" s="49"/>
      <c r="K179" s="49">
        <v>0.23</v>
      </c>
      <c r="L179" s="49"/>
      <c r="M179" s="10"/>
      <c r="N179" s="49"/>
      <c r="O179" s="49"/>
      <c r="P179" s="49"/>
      <c r="Q179" s="49"/>
      <c r="R179" s="49"/>
      <c r="S179" s="49"/>
      <c r="T179" s="49"/>
      <c r="U179" s="6"/>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10" t="s">
        <v>139</v>
      </c>
      <c r="BI179" s="56" t="s">
        <v>138</v>
      </c>
      <c r="BJ179" s="56" t="s">
        <v>929</v>
      </c>
      <c r="BK179" s="13" t="s">
        <v>120</v>
      </c>
      <c r="BL179" s="46" t="s">
        <v>190</v>
      </c>
      <c r="BM179" s="14" t="s">
        <v>935</v>
      </c>
      <c r="BN179" s="46" t="s">
        <v>1025</v>
      </c>
      <c r="BO179" s="15" t="s">
        <v>1147</v>
      </c>
    </row>
    <row r="180" spans="1:69" ht="36" customHeight="1">
      <c r="A180" s="332"/>
      <c r="B180" s="331"/>
      <c r="C180" s="14" t="s">
        <v>154</v>
      </c>
      <c r="D180" s="13" t="s">
        <v>39</v>
      </c>
      <c r="E180" s="97">
        <f t="shared" si="62"/>
        <v>0.2</v>
      </c>
      <c r="F180" s="97"/>
      <c r="G180" s="80">
        <f>SUM(H180:M180,Q180,U180,Y180:BG180)</f>
        <v>0.2</v>
      </c>
      <c r="H180" s="49">
        <v>0.01</v>
      </c>
      <c r="I180" s="49"/>
      <c r="J180" s="49"/>
      <c r="K180" s="49"/>
      <c r="L180" s="49"/>
      <c r="M180" s="10">
        <f>SUM(N180:P180)</f>
        <v>0</v>
      </c>
      <c r="N180" s="49"/>
      <c r="O180" s="49"/>
      <c r="P180" s="49"/>
      <c r="Q180" s="49"/>
      <c r="R180" s="49"/>
      <c r="S180" s="49"/>
      <c r="T180" s="49"/>
      <c r="U180" s="6">
        <f>SUM(V180:X180)</f>
        <v>0.19</v>
      </c>
      <c r="V180" s="49">
        <v>0.04</v>
      </c>
      <c r="W180" s="49">
        <v>0.15</v>
      </c>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10" t="s">
        <v>155</v>
      </c>
      <c r="BI180" s="14" t="s">
        <v>154</v>
      </c>
      <c r="BJ180" s="14" t="s">
        <v>426</v>
      </c>
      <c r="BK180" s="12" t="s">
        <v>374</v>
      </c>
      <c r="BL180" s="46" t="s">
        <v>190</v>
      </c>
      <c r="BM180" s="14" t="s">
        <v>935</v>
      </c>
      <c r="BN180" s="46" t="s">
        <v>1025</v>
      </c>
      <c r="BO180" s="15" t="s">
        <v>1147</v>
      </c>
      <c r="BQ180" s="17"/>
    </row>
    <row r="181" spans="1:69" ht="36" customHeight="1">
      <c r="A181" s="332"/>
      <c r="B181" s="331"/>
      <c r="C181" s="14" t="s">
        <v>130</v>
      </c>
      <c r="D181" s="13" t="s">
        <v>39</v>
      </c>
      <c r="E181" s="97">
        <f t="shared" si="62"/>
        <v>0.08</v>
      </c>
      <c r="F181" s="97">
        <v>0.07</v>
      </c>
      <c r="G181" s="88">
        <f>SUM(H181:M181,Q181,U181,Y181:BG181)</f>
        <v>0.01</v>
      </c>
      <c r="H181" s="49"/>
      <c r="I181" s="49"/>
      <c r="J181" s="49"/>
      <c r="K181" s="49"/>
      <c r="L181" s="49"/>
      <c r="M181" s="10">
        <f>SUM(N181:P181)</f>
        <v>0</v>
      </c>
      <c r="N181" s="49"/>
      <c r="O181" s="49"/>
      <c r="P181" s="49"/>
      <c r="Q181" s="49"/>
      <c r="R181" s="49"/>
      <c r="S181" s="49"/>
      <c r="T181" s="49"/>
      <c r="U181" s="6">
        <f>SUM(V181:X181)</f>
        <v>0</v>
      </c>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v>0.01</v>
      </c>
      <c r="AW181" s="49"/>
      <c r="AX181" s="49"/>
      <c r="AY181" s="49"/>
      <c r="AZ181" s="49"/>
      <c r="BA181" s="49"/>
      <c r="BB181" s="49"/>
      <c r="BC181" s="49"/>
      <c r="BD181" s="49"/>
      <c r="BE181" s="49"/>
      <c r="BF181" s="49"/>
      <c r="BG181" s="49"/>
      <c r="BH181" s="10" t="s">
        <v>131</v>
      </c>
      <c r="BI181" s="14" t="s">
        <v>130</v>
      </c>
      <c r="BJ181" s="14" t="s">
        <v>427</v>
      </c>
      <c r="BK181" s="12" t="s">
        <v>68</v>
      </c>
      <c r="BL181" s="13" t="s">
        <v>428</v>
      </c>
      <c r="BM181" s="14" t="s">
        <v>935</v>
      </c>
      <c r="BN181" s="46" t="s">
        <v>1025</v>
      </c>
      <c r="BO181" s="15" t="s">
        <v>1147</v>
      </c>
      <c r="BQ181" s="17"/>
    </row>
    <row r="182" spans="1:240" ht="32.25" customHeight="1">
      <c r="A182" s="332"/>
      <c r="B182" s="331"/>
      <c r="C182" s="183" t="s">
        <v>99</v>
      </c>
      <c r="D182" s="4" t="s">
        <v>39</v>
      </c>
      <c r="E182" s="5">
        <f t="shared" si="62"/>
        <v>0.14</v>
      </c>
      <c r="F182" s="122">
        <v>0.08</v>
      </c>
      <c r="G182" s="80">
        <f>SUM(H182:M182,Q182,U182,Y182:BG182)</f>
        <v>0.06</v>
      </c>
      <c r="H182" s="184"/>
      <c r="I182" s="185"/>
      <c r="J182" s="185"/>
      <c r="K182" s="185"/>
      <c r="L182" s="185"/>
      <c r="M182" s="185">
        <f>SUM(N182:P182)</f>
        <v>0</v>
      </c>
      <c r="N182" s="185"/>
      <c r="O182" s="185"/>
      <c r="P182" s="185"/>
      <c r="Q182" s="185"/>
      <c r="R182" s="185"/>
      <c r="S182" s="185"/>
      <c r="T182" s="185"/>
      <c r="U182" s="6">
        <f>SUM(V182:X182)</f>
        <v>0</v>
      </c>
      <c r="V182" s="10"/>
      <c r="W182" s="10"/>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c r="AV182" s="185">
        <v>0.06</v>
      </c>
      <c r="AW182" s="185"/>
      <c r="AX182" s="185"/>
      <c r="AY182" s="185"/>
      <c r="AZ182" s="185"/>
      <c r="BA182" s="185"/>
      <c r="BB182" s="185"/>
      <c r="BC182" s="185"/>
      <c r="BD182" s="185"/>
      <c r="BE182" s="185"/>
      <c r="BF182" s="185"/>
      <c r="BG182" s="185"/>
      <c r="BH182" s="10" t="s">
        <v>100</v>
      </c>
      <c r="BI182" s="183" t="s">
        <v>99</v>
      </c>
      <c r="BJ182" s="186" t="s">
        <v>429</v>
      </c>
      <c r="BK182" s="13" t="s">
        <v>120</v>
      </c>
      <c r="BL182" s="46" t="s">
        <v>190</v>
      </c>
      <c r="BM182" s="14" t="s">
        <v>194</v>
      </c>
      <c r="BN182" s="46" t="s">
        <v>1025</v>
      </c>
      <c r="BO182" s="15" t="s">
        <v>1147</v>
      </c>
      <c r="BQ182" s="187"/>
      <c r="BR182" s="187"/>
      <c r="BS182" s="16"/>
      <c r="BT182" s="187"/>
      <c r="BU182" s="187"/>
      <c r="BV182" s="187"/>
      <c r="BW182" s="187"/>
      <c r="BX182" s="187"/>
      <c r="BY182" s="187"/>
      <c r="BZ182" s="187"/>
      <c r="CA182" s="187"/>
      <c r="CB182" s="187"/>
      <c r="CC182" s="187"/>
      <c r="CD182" s="187"/>
      <c r="CE182" s="187"/>
      <c r="CF182" s="187"/>
      <c r="CG182" s="187"/>
      <c r="CH182" s="187"/>
      <c r="CI182" s="187"/>
      <c r="CJ182" s="187"/>
      <c r="CK182" s="187"/>
      <c r="CL182" s="187"/>
      <c r="CM182" s="187"/>
      <c r="CN182" s="187"/>
      <c r="CO182" s="187"/>
      <c r="CP182" s="187"/>
      <c r="CQ182" s="187"/>
      <c r="CR182" s="187"/>
      <c r="CS182" s="187"/>
      <c r="CT182" s="187"/>
      <c r="CU182" s="187"/>
      <c r="CV182" s="187"/>
      <c r="CW182" s="187"/>
      <c r="CX182" s="187"/>
      <c r="CY182" s="187"/>
      <c r="CZ182" s="187"/>
      <c r="DA182" s="187"/>
      <c r="DB182" s="187"/>
      <c r="DC182" s="187"/>
      <c r="DD182" s="187"/>
      <c r="DE182" s="187"/>
      <c r="DF182" s="187"/>
      <c r="DG182" s="187"/>
      <c r="DH182" s="187"/>
      <c r="DI182" s="187"/>
      <c r="DJ182" s="187"/>
      <c r="DK182" s="187"/>
      <c r="DL182" s="187"/>
      <c r="DM182" s="187"/>
      <c r="DN182" s="187"/>
      <c r="DO182" s="187"/>
      <c r="DP182" s="187"/>
      <c r="DQ182" s="187"/>
      <c r="DR182" s="187"/>
      <c r="DS182" s="187"/>
      <c r="DT182" s="187"/>
      <c r="DU182" s="187"/>
      <c r="DV182" s="187"/>
      <c r="DW182" s="187"/>
      <c r="DX182" s="187"/>
      <c r="DY182" s="187"/>
      <c r="DZ182" s="187"/>
      <c r="EA182" s="187"/>
      <c r="EB182" s="187"/>
      <c r="EC182" s="187"/>
      <c r="ED182" s="187"/>
      <c r="EE182" s="187"/>
      <c r="EF182" s="187"/>
      <c r="EG182" s="187"/>
      <c r="EH182" s="187"/>
      <c r="EI182" s="187"/>
      <c r="EJ182" s="187"/>
      <c r="EK182" s="187"/>
      <c r="EL182" s="187"/>
      <c r="EM182" s="187"/>
      <c r="EN182" s="187"/>
      <c r="EO182" s="187"/>
      <c r="EP182" s="187"/>
      <c r="EQ182" s="187"/>
      <c r="ER182" s="187"/>
      <c r="ES182" s="187"/>
      <c r="ET182" s="187"/>
      <c r="EU182" s="187"/>
      <c r="EV182" s="187"/>
      <c r="EW182" s="187"/>
      <c r="EX182" s="187"/>
      <c r="EY182" s="187"/>
      <c r="EZ182" s="187"/>
      <c r="FA182" s="187"/>
      <c r="FB182" s="187"/>
      <c r="FC182" s="187"/>
      <c r="FD182" s="187"/>
      <c r="FE182" s="187"/>
      <c r="FF182" s="187"/>
      <c r="FG182" s="187"/>
      <c r="FH182" s="187"/>
      <c r="FI182" s="187"/>
      <c r="FJ182" s="187"/>
      <c r="FK182" s="187"/>
      <c r="FL182" s="187"/>
      <c r="FM182" s="187"/>
      <c r="FN182" s="187"/>
      <c r="FO182" s="187"/>
      <c r="FP182" s="187"/>
      <c r="FQ182" s="187"/>
      <c r="FR182" s="187"/>
      <c r="FS182" s="187"/>
      <c r="FT182" s="187"/>
      <c r="FU182" s="187"/>
      <c r="FV182" s="187"/>
      <c r="FW182" s="187"/>
      <c r="FX182" s="187"/>
      <c r="FY182" s="187"/>
      <c r="FZ182" s="187"/>
      <c r="GA182" s="187"/>
      <c r="GB182" s="187"/>
      <c r="GC182" s="187"/>
      <c r="GD182" s="187"/>
      <c r="GE182" s="187"/>
      <c r="GF182" s="187"/>
      <c r="GG182" s="187"/>
      <c r="GH182" s="187"/>
      <c r="GI182" s="187"/>
      <c r="GJ182" s="187"/>
      <c r="GK182" s="187"/>
      <c r="GL182" s="187"/>
      <c r="GM182" s="187"/>
      <c r="GN182" s="187"/>
      <c r="GO182" s="187"/>
      <c r="GP182" s="187"/>
      <c r="GQ182" s="187"/>
      <c r="GR182" s="187"/>
      <c r="GS182" s="187"/>
      <c r="GT182" s="187"/>
      <c r="GU182" s="187"/>
      <c r="GV182" s="187"/>
      <c r="GW182" s="187"/>
      <c r="GX182" s="187"/>
      <c r="GY182" s="187"/>
      <c r="GZ182" s="187"/>
      <c r="HA182" s="187"/>
      <c r="HB182" s="187"/>
      <c r="HC182" s="187"/>
      <c r="HD182" s="187"/>
      <c r="HE182" s="187"/>
      <c r="HF182" s="187"/>
      <c r="HG182" s="187"/>
      <c r="HH182" s="187"/>
      <c r="HI182" s="187"/>
      <c r="HJ182" s="187"/>
      <c r="HK182" s="187"/>
      <c r="HL182" s="187"/>
      <c r="HM182" s="187"/>
      <c r="HN182" s="187"/>
      <c r="HO182" s="187"/>
      <c r="HP182" s="187"/>
      <c r="HQ182" s="187"/>
      <c r="HR182" s="187"/>
      <c r="HS182" s="187"/>
      <c r="HT182" s="187"/>
      <c r="HU182" s="187"/>
      <c r="HV182" s="187"/>
      <c r="HW182" s="187"/>
      <c r="HX182" s="187"/>
      <c r="HY182" s="187"/>
      <c r="HZ182" s="187"/>
      <c r="IA182" s="187"/>
      <c r="IB182" s="187"/>
      <c r="IC182" s="187"/>
      <c r="ID182" s="187"/>
      <c r="IE182" s="187"/>
      <c r="IF182" s="187"/>
    </row>
    <row r="183" spans="1:69" ht="30.75">
      <c r="A183" s="66" t="s">
        <v>430</v>
      </c>
      <c r="B183" s="85" t="s">
        <v>431</v>
      </c>
      <c r="C183" s="84"/>
      <c r="D183" s="36" t="s">
        <v>40</v>
      </c>
      <c r="E183" s="69">
        <f t="shared" si="62"/>
        <v>15.981299999999997</v>
      </c>
      <c r="F183" s="69">
        <f aca="true" t="shared" si="63" ref="F183:AK183">SUM(F184:F212)</f>
        <v>4.2413</v>
      </c>
      <c r="G183" s="69">
        <f t="shared" si="63"/>
        <v>11.739999999999998</v>
      </c>
      <c r="H183" s="69">
        <f t="shared" si="63"/>
        <v>2.48</v>
      </c>
      <c r="I183" s="69">
        <f t="shared" si="63"/>
        <v>0.060000000000000005</v>
      </c>
      <c r="J183" s="69">
        <f t="shared" si="63"/>
        <v>0</v>
      </c>
      <c r="K183" s="69">
        <f t="shared" si="63"/>
        <v>4.109999999999999</v>
      </c>
      <c r="L183" s="69">
        <f t="shared" si="63"/>
        <v>0.43</v>
      </c>
      <c r="M183" s="69">
        <f t="shared" si="63"/>
        <v>0</v>
      </c>
      <c r="N183" s="69">
        <f t="shared" si="63"/>
        <v>0</v>
      </c>
      <c r="O183" s="69">
        <f t="shared" si="63"/>
        <v>0</v>
      </c>
      <c r="P183" s="69">
        <f t="shared" si="63"/>
        <v>0</v>
      </c>
      <c r="Q183" s="69">
        <f t="shared" si="63"/>
        <v>0</v>
      </c>
      <c r="R183" s="69">
        <f t="shared" si="63"/>
        <v>0</v>
      </c>
      <c r="S183" s="69">
        <f t="shared" si="63"/>
        <v>0</v>
      </c>
      <c r="T183" s="69">
        <f t="shared" si="63"/>
        <v>0</v>
      </c>
      <c r="U183" s="69">
        <f t="shared" si="63"/>
        <v>4.21</v>
      </c>
      <c r="V183" s="69">
        <f t="shared" si="63"/>
        <v>3.71</v>
      </c>
      <c r="W183" s="69">
        <f t="shared" si="63"/>
        <v>0.5</v>
      </c>
      <c r="X183" s="69">
        <f t="shared" si="63"/>
        <v>0</v>
      </c>
      <c r="Y183" s="69">
        <f t="shared" si="63"/>
        <v>0.06</v>
      </c>
      <c r="Z183" s="69">
        <f t="shared" si="63"/>
        <v>0</v>
      </c>
      <c r="AA183" s="69">
        <f t="shared" si="63"/>
        <v>0</v>
      </c>
      <c r="AB183" s="69">
        <f t="shared" si="63"/>
        <v>0</v>
      </c>
      <c r="AC183" s="69">
        <f t="shared" si="63"/>
        <v>0</v>
      </c>
      <c r="AD183" s="69">
        <f t="shared" si="63"/>
        <v>0</v>
      </c>
      <c r="AE183" s="69">
        <f t="shared" si="63"/>
        <v>0</v>
      </c>
      <c r="AF183" s="69">
        <f t="shared" si="63"/>
        <v>0.15000000000000002</v>
      </c>
      <c r="AG183" s="69">
        <f t="shared" si="63"/>
        <v>0.8200000000000001</v>
      </c>
      <c r="AH183" s="69">
        <f t="shared" si="63"/>
        <v>0</v>
      </c>
      <c r="AI183" s="69">
        <f t="shared" si="63"/>
        <v>0.01</v>
      </c>
      <c r="AJ183" s="69">
        <f t="shared" si="63"/>
        <v>0</v>
      </c>
      <c r="AK183" s="69">
        <f t="shared" si="63"/>
        <v>0.07</v>
      </c>
      <c r="AL183" s="69">
        <f aca="true" t="shared" si="64" ref="AL183:BG183">SUM(AL184:AL212)</f>
        <v>0.02</v>
      </c>
      <c r="AM183" s="69">
        <f t="shared" si="64"/>
        <v>0.46</v>
      </c>
      <c r="AN183" s="69">
        <f t="shared" si="64"/>
        <v>0</v>
      </c>
      <c r="AO183" s="69">
        <f t="shared" si="64"/>
        <v>0</v>
      </c>
      <c r="AP183" s="69">
        <f t="shared" si="64"/>
        <v>0</v>
      </c>
      <c r="AQ183" s="69">
        <f t="shared" si="64"/>
        <v>0</v>
      </c>
      <c r="AR183" s="69">
        <f t="shared" si="64"/>
        <v>0</v>
      </c>
      <c r="AS183" s="69">
        <f t="shared" si="64"/>
        <v>0</v>
      </c>
      <c r="AT183" s="69">
        <f t="shared" si="64"/>
        <v>0.01</v>
      </c>
      <c r="AU183" s="69">
        <f t="shared" si="64"/>
        <v>0</v>
      </c>
      <c r="AV183" s="69">
        <f t="shared" si="64"/>
        <v>0.30000000000000004</v>
      </c>
      <c r="AW183" s="69">
        <f t="shared" si="64"/>
        <v>0</v>
      </c>
      <c r="AX183" s="69">
        <f t="shared" si="64"/>
        <v>0</v>
      </c>
      <c r="AY183" s="69">
        <f t="shared" si="64"/>
        <v>0</v>
      </c>
      <c r="AZ183" s="69">
        <f t="shared" si="64"/>
        <v>0</v>
      </c>
      <c r="BA183" s="69">
        <f t="shared" si="64"/>
        <v>0</v>
      </c>
      <c r="BB183" s="69">
        <f t="shared" si="64"/>
        <v>0</v>
      </c>
      <c r="BC183" s="69">
        <f t="shared" si="64"/>
        <v>0</v>
      </c>
      <c r="BD183" s="69">
        <f t="shared" si="64"/>
        <v>0</v>
      </c>
      <c r="BE183" s="69">
        <f t="shared" si="64"/>
        <v>0</v>
      </c>
      <c r="BF183" s="69">
        <f t="shared" si="64"/>
        <v>0</v>
      </c>
      <c r="BG183" s="69">
        <f t="shared" si="64"/>
        <v>0.31</v>
      </c>
      <c r="BH183" s="46"/>
      <c r="BI183" s="84"/>
      <c r="BJ183" s="46"/>
      <c r="BK183" s="46"/>
      <c r="BL183" s="39"/>
      <c r="BM183" s="46"/>
      <c r="BN183" s="13"/>
      <c r="BO183" s="15"/>
      <c r="BQ183" s="17"/>
    </row>
    <row r="184" spans="1:69" ht="46.5">
      <c r="A184" s="188">
        <f>A177+1</f>
        <v>106</v>
      </c>
      <c r="B184" s="189" t="s">
        <v>432</v>
      </c>
      <c r="C184" s="59" t="s">
        <v>122</v>
      </c>
      <c r="D184" s="4" t="s">
        <v>40</v>
      </c>
      <c r="E184" s="5">
        <v>1.14</v>
      </c>
      <c r="F184" s="73"/>
      <c r="G184" s="80">
        <f aca="true" t="shared" si="65" ref="G184:G211">SUM(H184:M184,Q184,U184,Y184:BG184)</f>
        <v>1.1400000000000001</v>
      </c>
      <c r="H184" s="8">
        <v>0.93</v>
      </c>
      <c r="I184" s="185">
        <v>0.01</v>
      </c>
      <c r="J184" s="185"/>
      <c r="K184" s="10">
        <v>0.11</v>
      </c>
      <c r="L184" s="8">
        <v>0.01</v>
      </c>
      <c r="M184" s="185"/>
      <c r="N184" s="185"/>
      <c r="O184" s="185"/>
      <c r="P184" s="185"/>
      <c r="Q184" s="190"/>
      <c r="R184" s="185"/>
      <c r="S184" s="185"/>
      <c r="T184" s="185"/>
      <c r="U184" s="190"/>
      <c r="V184" s="191"/>
      <c r="W184" s="191"/>
      <c r="X184" s="191"/>
      <c r="Y184" s="185"/>
      <c r="Z184" s="185"/>
      <c r="AA184" s="185"/>
      <c r="AB184" s="185"/>
      <c r="AC184" s="185"/>
      <c r="AD184" s="185"/>
      <c r="AE184" s="185"/>
      <c r="AF184" s="185">
        <v>0.08</v>
      </c>
      <c r="AG184" s="185"/>
      <c r="AH184" s="185"/>
      <c r="AI184" s="185"/>
      <c r="AJ184" s="185"/>
      <c r="AK184" s="185"/>
      <c r="AL184" s="185"/>
      <c r="AM184" s="185"/>
      <c r="AN184" s="185"/>
      <c r="AO184" s="185"/>
      <c r="AP184" s="185"/>
      <c r="AQ184" s="185"/>
      <c r="AR184" s="185"/>
      <c r="AS184" s="185"/>
      <c r="AT184" s="185"/>
      <c r="AU184" s="185"/>
      <c r="AV184" s="192"/>
      <c r="AW184" s="185"/>
      <c r="AX184" s="185"/>
      <c r="AY184" s="185"/>
      <c r="AZ184" s="185"/>
      <c r="BA184" s="185"/>
      <c r="BB184" s="185"/>
      <c r="BC184" s="185"/>
      <c r="BD184" s="185"/>
      <c r="BE184" s="185"/>
      <c r="BF184" s="185"/>
      <c r="BG184" s="185"/>
      <c r="BH184" s="60" t="s">
        <v>123</v>
      </c>
      <c r="BI184" s="59" t="s">
        <v>122</v>
      </c>
      <c r="BJ184" s="14" t="s">
        <v>433</v>
      </c>
      <c r="BK184" s="12" t="s">
        <v>374</v>
      </c>
      <c r="BL184" s="13" t="s">
        <v>434</v>
      </c>
      <c r="BM184" s="14" t="s">
        <v>935</v>
      </c>
      <c r="BN184" s="13" t="s">
        <v>1025</v>
      </c>
      <c r="BO184" s="15" t="s">
        <v>1147</v>
      </c>
      <c r="BQ184" s="17"/>
    </row>
    <row r="185" spans="1:69" ht="46.5">
      <c r="A185" s="188">
        <f>A184+1</f>
        <v>107</v>
      </c>
      <c r="B185" s="189" t="s">
        <v>435</v>
      </c>
      <c r="C185" s="59" t="s">
        <v>122</v>
      </c>
      <c r="D185" s="4" t="s">
        <v>40</v>
      </c>
      <c r="E185" s="5">
        <f aca="true" t="shared" si="66" ref="E185:E226">F185+G185</f>
        <v>0.51</v>
      </c>
      <c r="F185" s="73">
        <v>0.39</v>
      </c>
      <c r="G185" s="80">
        <f t="shared" si="65"/>
        <v>0.12</v>
      </c>
      <c r="H185" s="8"/>
      <c r="I185" s="185"/>
      <c r="J185" s="185"/>
      <c r="K185" s="10">
        <v>0.04</v>
      </c>
      <c r="L185" s="8">
        <v>0.08</v>
      </c>
      <c r="M185" s="185"/>
      <c r="N185" s="185"/>
      <c r="O185" s="185"/>
      <c r="P185" s="185"/>
      <c r="Q185" s="190"/>
      <c r="R185" s="185"/>
      <c r="S185" s="185"/>
      <c r="T185" s="185"/>
      <c r="U185" s="190"/>
      <c r="V185" s="191"/>
      <c r="W185" s="191"/>
      <c r="X185" s="191"/>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c r="AU185" s="185"/>
      <c r="AV185" s="192"/>
      <c r="AW185" s="185"/>
      <c r="AX185" s="185"/>
      <c r="AY185" s="185"/>
      <c r="AZ185" s="185"/>
      <c r="BA185" s="185"/>
      <c r="BB185" s="185"/>
      <c r="BC185" s="185"/>
      <c r="BD185" s="185"/>
      <c r="BE185" s="185"/>
      <c r="BF185" s="185"/>
      <c r="BG185" s="185"/>
      <c r="BH185" s="60" t="s">
        <v>260</v>
      </c>
      <c r="BI185" s="59" t="s">
        <v>122</v>
      </c>
      <c r="BJ185" s="59" t="s">
        <v>436</v>
      </c>
      <c r="BK185" s="12" t="s">
        <v>120</v>
      </c>
      <c r="BL185" s="13" t="s">
        <v>434</v>
      </c>
      <c r="BM185" s="14" t="s">
        <v>194</v>
      </c>
      <c r="BN185" s="13" t="s">
        <v>1025</v>
      </c>
      <c r="BO185" s="15" t="s">
        <v>1147</v>
      </c>
      <c r="BQ185" s="17"/>
    </row>
    <row r="186" spans="1:69" ht="46.5">
      <c r="A186" s="188">
        <f aca="true" t="shared" si="67" ref="A186:A212">A185+1</f>
        <v>108</v>
      </c>
      <c r="B186" s="47" t="s">
        <v>437</v>
      </c>
      <c r="C186" s="14" t="s">
        <v>71</v>
      </c>
      <c r="D186" s="4" t="s">
        <v>40</v>
      </c>
      <c r="E186" s="5">
        <f t="shared" si="66"/>
        <v>0.48</v>
      </c>
      <c r="F186" s="5">
        <v>0.22</v>
      </c>
      <c r="G186" s="80">
        <f t="shared" si="65"/>
        <v>0.26</v>
      </c>
      <c r="H186" s="184"/>
      <c r="I186" s="185"/>
      <c r="J186" s="185"/>
      <c r="K186" s="48"/>
      <c r="L186" s="48"/>
      <c r="M186" s="48">
        <f>SUM(N186:P186)</f>
        <v>0</v>
      </c>
      <c r="N186" s="48"/>
      <c r="O186" s="48"/>
      <c r="P186" s="48"/>
      <c r="Q186" s="48"/>
      <c r="R186" s="48"/>
      <c r="S186" s="48"/>
      <c r="T186" s="48"/>
      <c r="U186" s="48">
        <f>SUM(V186:X186)</f>
        <v>0.25</v>
      </c>
      <c r="V186" s="48">
        <v>0.25</v>
      </c>
      <c r="W186" s="10"/>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c r="AS186" s="185"/>
      <c r="AT186" s="185"/>
      <c r="AU186" s="185"/>
      <c r="AV186" s="185"/>
      <c r="AW186" s="185"/>
      <c r="AX186" s="185"/>
      <c r="AY186" s="185"/>
      <c r="AZ186" s="185"/>
      <c r="BA186" s="185"/>
      <c r="BB186" s="185"/>
      <c r="BC186" s="185"/>
      <c r="BD186" s="185"/>
      <c r="BE186" s="185"/>
      <c r="BF186" s="185"/>
      <c r="BG186" s="185">
        <v>0.01</v>
      </c>
      <c r="BH186" s="182" t="s">
        <v>76</v>
      </c>
      <c r="BI186" s="14" t="s">
        <v>71</v>
      </c>
      <c r="BJ186" s="14" t="s">
        <v>438</v>
      </c>
      <c r="BK186" s="12" t="s">
        <v>120</v>
      </c>
      <c r="BL186" s="13" t="s">
        <v>434</v>
      </c>
      <c r="BM186" s="14" t="s">
        <v>935</v>
      </c>
      <c r="BN186" s="13" t="s">
        <v>1025</v>
      </c>
      <c r="BO186" s="15" t="s">
        <v>1147</v>
      </c>
      <c r="BQ186" s="17"/>
    </row>
    <row r="187" spans="1:69" ht="46.5">
      <c r="A187" s="188">
        <f t="shared" si="67"/>
        <v>109</v>
      </c>
      <c r="B187" s="189" t="s">
        <v>439</v>
      </c>
      <c r="C187" s="14" t="s">
        <v>130</v>
      </c>
      <c r="D187" s="4" t="s">
        <v>40</v>
      </c>
      <c r="E187" s="5">
        <f t="shared" si="66"/>
        <v>0.1</v>
      </c>
      <c r="F187" s="73"/>
      <c r="G187" s="80">
        <f t="shared" si="65"/>
        <v>0.1</v>
      </c>
      <c r="H187" s="193"/>
      <c r="I187" s="185"/>
      <c r="J187" s="185"/>
      <c r="K187" s="185"/>
      <c r="L187" s="10">
        <v>0.03</v>
      </c>
      <c r="M187" s="185"/>
      <c r="N187" s="185"/>
      <c r="O187" s="185"/>
      <c r="P187" s="185"/>
      <c r="Q187" s="185"/>
      <c r="R187" s="185"/>
      <c r="S187" s="185"/>
      <c r="T187" s="185"/>
      <c r="U187" s="190">
        <f>SUM(V187:X187)</f>
        <v>0</v>
      </c>
      <c r="V187" s="185"/>
      <c r="W187" s="185"/>
      <c r="X187" s="185"/>
      <c r="Y187" s="185"/>
      <c r="Z187" s="185"/>
      <c r="AA187" s="185"/>
      <c r="AB187" s="185"/>
      <c r="AC187" s="185"/>
      <c r="AD187" s="185"/>
      <c r="AE187" s="185"/>
      <c r="AF187" s="185">
        <v>0.01</v>
      </c>
      <c r="AG187" s="185"/>
      <c r="AH187" s="185"/>
      <c r="AI187" s="185"/>
      <c r="AJ187" s="185"/>
      <c r="AK187" s="185"/>
      <c r="AL187" s="185"/>
      <c r="AM187" s="185"/>
      <c r="AN187" s="185"/>
      <c r="AO187" s="185"/>
      <c r="AP187" s="185"/>
      <c r="AQ187" s="185"/>
      <c r="AR187" s="185"/>
      <c r="AS187" s="185"/>
      <c r="AT187" s="185"/>
      <c r="AU187" s="185"/>
      <c r="AV187" s="185">
        <v>0.06</v>
      </c>
      <c r="AW187" s="185"/>
      <c r="AX187" s="185"/>
      <c r="AY187" s="185"/>
      <c r="AZ187" s="185"/>
      <c r="BA187" s="185"/>
      <c r="BB187" s="185"/>
      <c r="BC187" s="185"/>
      <c r="BD187" s="185"/>
      <c r="BE187" s="185"/>
      <c r="BF187" s="185"/>
      <c r="BG187" s="185"/>
      <c r="BH187" s="10" t="s">
        <v>131</v>
      </c>
      <c r="BI187" s="14" t="s">
        <v>130</v>
      </c>
      <c r="BJ187" s="4" t="s">
        <v>440</v>
      </c>
      <c r="BK187" s="12" t="s">
        <v>965</v>
      </c>
      <c r="BL187" s="13" t="s">
        <v>434</v>
      </c>
      <c r="BM187" s="14" t="s">
        <v>935</v>
      </c>
      <c r="BN187" s="13" t="s">
        <v>1024</v>
      </c>
      <c r="BO187" s="15" t="s">
        <v>1147</v>
      </c>
      <c r="BQ187" s="17"/>
    </row>
    <row r="188" spans="1:69" ht="46.5">
      <c r="A188" s="188">
        <f t="shared" si="67"/>
        <v>110</v>
      </c>
      <c r="B188" s="118" t="s">
        <v>441</v>
      </c>
      <c r="C188" s="14" t="s">
        <v>130</v>
      </c>
      <c r="D188" s="4" t="s">
        <v>40</v>
      </c>
      <c r="E188" s="5">
        <f t="shared" si="66"/>
        <v>0.18</v>
      </c>
      <c r="F188" s="73">
        <v>0.13</v>
      </c>
      <c r="G188" s="80">
        <f t="shared" si="65"/>
        <v>0.05</v>
      </c>
      <c r="H188" s="191"/>
      <c r="I188" s="185"/>
      <c r="J188" s="185"/>
      <c r="K188" s="185"/>
      <c r="L188" s="191">
        <v>0.05</v>
      </c>
      <c r="M188" s="185"/>
      <c r="N188" s="185"/>
      <c r="O188" s="185"/>
      <c r="P188" s="185"/>
      <c r="Q188" s="185"/>
      <c r="R188" s="185"/>
      <c r="S188" s="185"/>
      <c r="T188" s="185"/>
      <c r="U188" s="190"/>
      <c r="V188" s="191"/>
      <c r="W188" s="191"/>
      <c r="X188" s="191"/>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5"/>
      <c r="AY188" s="185"/>
      <c r="AZ188" s="185"/>
      <c r="BA188" s="185"/>
      <c r="BB188" s="185"/>
      <c r="BC188" s="185"/>
      <c r="BD188" s="185"/>
      <c r="BE188" s="185"/>
      <c r="BF188" s="185"/>
      <c r="BG188" s="185"/>
      <c r="BH188" s="10" t="s">
        <v>262</v>
      </c>
      <c r="BI188" s="14" t="s">
        <v>130</v>
      </c>
      <c r="BJ188" s="14" t="s">
        <v>442</v>
      </c>
      <c r="BK188" s="12" t="s">
        <v>374</v>
      </c>
      <c r="BL188" s="13" t="s">
        <v>434</v>
      </c>
      <c r="BM188" s="14" t="s">
        <v>935</v>
      </c>
      <c r="BN188" s="13" t="s">
        <v>1025</v>
      </c>
      <c r="BO188" s="15" t="s">
        <v>1147</v>
      </c>
      <c r="BQ188" s="17"/>
    </row>
    <row r="189" spans="1:69" ht="46.5">
      <c r="A189" s="188">
        <f t="shared" si="67"/>
        <v>111</v>
      </c>
      <c r="B189" s="194" t="s">
        <v>443</v>
      </c>
      <c r="C189" s="14" t="s">
        <v>130</v>
      </c>
      <c r="D189" s="4" t="s">
        <v>40</v>
      </c>
      <c r="E189" s="5">
        <f t="shared" si="66"/>
        <v>0.15000000000000002</v>
      </c>
      <c r="F189" s="73">
        <v>0.1</v>
      </c>
      <c r="G189" s="80">
        <f t="shared" si="65"/>
        <v>0.05</v>
      </c>
      <c r="H189" s="191"/>
      <c r="I189" s="10">
        <v>0.05</v>
      </c>
      <c r="J189" s="10"/>
      <c r="K189" s="10"/>
      <c r="L189" s="191"/>
      <c r="M189" s="185">
        <f>SUM(N189:P189)</f>
        <v>0</v>
      </c>
      <c r="N189" s="185"/>
      <c r="O189" s="185"/>
      <c r="P189" s="185"/>
      <c r="Q189" s="185"/>
      <c r="R189" s="185"/>
      <c r="S189" s="185"/>
      <c r="T189" s="185"/>
      <c r="U189" s="190">
        <f aca="true" t="shared" si="68" ref="U189:U197">SUM(V189:X189)</f>
        <v>0</v>
      </c>
      <c r="V189" s="191"/>
      <c r="W189" s="191"/>
      <c r="X189" s="191"/>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c r="BH189" s="10" t="s">
        <v>131</v>
      </c>
      <c r="BI189" s="14" t="s">
        <v>130</v>
      </c>
      <c r="BJ189" s="14" t="s">
        <v>444</v>
      </c>
      <c r="BK189" s="12" t="s">
        <v>374</v>
      </c>
      <c r="BL189" s="13" t="s">
        <v>434</v>
      </c>
      <c r="BM189" s="14" t="s">
        <v>935</v>
      </c>
      <c r="BN189" s="13" t="s">
        <v>1025</v>
      </c>
      <c r="BO189" s="15" t="s">
        <v>1147</v>
      </c>
      <c r="BQ189" s="17"/>
    </row>
    <row r="190" spans="1:69" ht="46.5">
      <c r="A190" s="188">
        <f t="shared" si="67"/>
        <v>112</v>
      </c>
      <c r="B190" s="118" t="s">
        <v>445</v>
      </c>
      <c r="C190" s="42" t="s">
        <v>134</v>
      </c>
      <c r="D190" s="4" t="s">
        <v>40</v>
      </c>
      <c r="E190" s="5">
        <f t="shared" si="66"/>
        <v>0.498</v>
      </c>
      <c r="F190" s="73">
        <v>0.248</v>
      </c>
      <c r="G190" s="80">
        <f t="shared" si="65"/>
        <v>0.25</v>
      </c>
      <c r="H190" s="76">
        <v>0.17</v>
      </c>
      <c r="I190" s="10"/>
      <c r="J190" s="10"/>
      <c r="K190" s="10">
        <v>0.08</v>
      </c>
      <c r="L190" s="185"/>
      <c r="M190" s="185">
        <f>SUM(N190:P190)</f>
        <v>0</v>
      </c>
      <c r="N190" s="185"/>
      <c r="O190" s="185"/>
      <c r="P190" s="185"/>
      <c r="Q190" s="185"/>
      <c r="R190" s="185"/>
      <c r="S190" s="185"/>
      <c r="T190" s="185"/>
      <c r="U190" s="190">
        <f t="shared" si="68"/>
        <v>0</v>
      </c>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5"/>
      <c r="AY190" s="185"/>
      <c r="AZ190" s="185"/>
      <c r="BA190" s="185"/>
      <c r="BB190" s="185"/>
      <c r="BC190" s="185"/>
      <c r="BD190" s="185"/>
      <c r="BE190" s="185"/>
      <c r="BF190" s="185"/>
      <c r="BG190" s="185"/>
      <c r="BH190" s="10" t="s">
        <v>446</v>
      </c>
      <c r="BI190" s="42" t="s">
        <v>134</v>
      </c>
      <c r="BJ190" s="4" t="s">
        <v>447</v>
      </c>
      <c r="BK190" s="82" t="s">
        <v>374</v>
      </c>
      <c r="BL190" s="13" t="s">
        <v>434</v>
      </c>
      <c r="BM190" s="14" t="s">
        <v>935</v>
      </c>
      <c r="BN190" s="13" t="s">
        <v>1024</v>
      </c>
      <c r="BO190" s="15" t="s">
        <v>1147</v>
      </c>
      <c r="BP190" s="16" t="s">
        <v>1030</v>
      </c>
      <c r="BQ190" s="17"/>
    </row>
    <row r="191" spans="1:67" ht="46.5">
      <c r="A191" s="188">
        <f t="shared" si="67"/>
        <v>113</v>
      </c>
      <c r="B191" s="118" t="s">
        <v>448</v>
      </c>
      <c r="C191" s="42" t="s">
        <v>138</v>
      </c>
      <c r="D191" s="4" t="s">
        <v>40</v>
      </c>
      <c r="E191" s="5">
        <f t="shared" si="66"/>
        <v>0.03</v>
      </c>
      <c r="F191" s="73"/>
      <c r="G191" s="80">
        <f t="shared" si="65"/>
        <v>0.03</v>
      </c>
      <c r="H191" s="191"/>
      <c r="I191" s="185"/>
      <c r="J191" s="185"/>
      <c r="K191" s="185"/>
      <c r="L191" s="191"/>
      <c r="M191" s="185"/>
      <c r="N191" s="195"/>
      <c r="O191" s="195"/>
      <c r="P191" s="195"/>
      <c r="Q191" s="195"/>
      <c r="R191" s="195"/>
      <c r="S191" s="195"/>
      <c r="T191" s="195"/>
      <c r="U191" s="190">
        <f t="shared" si="68"/>
        <v>0.03</v>
      </c>
      <c r="V191" s="191">
        <v>0.03</v>
      </c>
      <c r="W191" s="191"/>
      <c r="X191" s="191"/>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5"/>
      <c r="AY191" s="185"/>
      <c r="AZ191" s="185"/>
      <c r="BA191" s="185"/>
      <c r="BB191" s="185"/>
      <c r="BC191" s="185"/>
      <c r="BD191" s="185"/>
      <c r="BE191" s="185"/>
      <c r="BF191" s="185"/>
      <c r="BG191" s="185"/>
      <c r="BH191" s="10" t="s">
        <v>281</v>
      </c>
      <c r="BI191" s="42" t="s">
        <v>138</v>
      </c>
      <c r="BJ191" s="4" t="s">
        <v>449</v>
      </c>
      <c r="BK191" s="12" t="s">
        <v>120</v>
      </c>
      <c r="BL191" s="13" t="s">
        <v>434</v>
      </c>
      <c r="BM191" s="14" t="s">
        <v>935</v>
      </c>
      <c r="BN191" s="13" t="s">
        <v>1055</v>
      </c>
      <c r="BO191" s="15" t="s">
        <v>1147</v>
      </c>
    </row>
    <row r="192" spans="1:69" ht="30" customHeight="1">
      <c r="A192" s="188">
        <f t="shared" si="67"/>
        <v>114</v>
      </c>
      <c r="B192" s="133" t="s">
        <v>450</v>
      </c>
      <c r="C192" s="59" t="s">
        <v>91</v>
      </c>
      <c r="D192" s="4" t="s">
        <v>40</v>
      </c>
      <c r="E192" s="5">
        <f t="shared" si="66"/>
        <v>0.04</v>
      </c>
      <c r="F192" s="73"/>
      <c r="G192" s="80">
        <f t="shared" si="65"/>
        <v>0.04</v>
      </c>
      <c r="H192" s="193"/>
      <c r="I192" s="185"/>
      <c r="J192" s="185"/>
      <c r="K192" s="185">
        <v>0.04</v>
      </c>
      <c r="L192" s="185"/>
      <c r="M192" s="185">
        <f aca="true" t="shared" si="69" ref="M192:M198">SUM(N192:P192)</f>
        <v>0</v>
      </c>
      <c r="N192" s="185"/>
      <c r="O192" s="185"/>
      <c r="P192" s="185"/>
      <c r="Q192" s="190">
        <f>R192+S192+T192</f>
        <v>0</v>
      </c>
      <c r="R192" s="185"/>
      <c r="S192" s="185"/>
      <c r="T192" s="185"/>
      <c r="U192" s="190">
        <f t="shared" si="68"/>
        <v>0</v>
      </c>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56" t="s">
        <v>261</v>
      </c>
      <c r="BI192" s="59" t="s">
        <v>91</v>
      </c>
      <c r="BJ192" s="59" t="s">
        <v>451</v>
      </c>
      <c r="BK192" s="82" t="s">
        <v>374</v>
      </c>
      <c r="BL192" s="13" t="s">
        <v>434</v>
      </c>
      <c r="BM192" s="14" t="s">
        <v>935</v>
      </c>
      <c r="BN192" s="13" t="s">
        <v>1055</v>
      </c>
      <c r="BO192" s="15" t="s">
        <v>1147</v>
      </c>
      <c r="BQ192" s="17"/>
    </row>
    <row r="193" spans="1:69" ht="46.5">
      <c r="A193" s="188">
        <f t="shared" si="67"/>
        <v>115</v>
      </c>
      <c r="B193" s="196" t="s">
        <v>452</v>
      </c>
      <c r="C193" s="59" t="s">
        <v>91</v>
      </c>
      <c r="D193" s="4" t="s">
        <v>40</v>
      </c>
      <c r="E193" s="5">
        <f t="shared" si="66"/>
        <v>0.08</v>
      </c>
      <c r="F193" s="5"/>
      <c r="G193" s="80">
        <f t="shared" si="65"/>
        <v>0.08</v>
      </c>
      <c r="H193" s="185"/>
      <c r="I193" s="185"/>
      <c r="J193" s="185"/>
      <c r="K193" s="185"/>
      <c r="L193" s="185">
        <v>0.07</v>
      </c>
      <c r="M193" s="185">
        <f t="shared" si="69"/>
        <v>0</v>
      </c>
      <c r="N193" s="185"/>
      <c r="O193" s="185"/>
      <c r="P193" s="185"/>
      <c r="Q193" s="190">
        <f>R193+S193+T193</f>
        <v>0</v>
      </c>
      <c r="R193" s="185"/>
      <c r="S193" s="185"/>
      <c r="T193" s="185"/>
      <c r="U193" s="190">
        <f t="shared" si="68"/>
        <v>0</v>
      </c>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c r="AS193" s="185"/>
      <c r="AT193" s="185">
        <v>0.01</v>
      </c>
      <c r="AU193" s="185"/>
      <c r="AV193" s="185"/>
      <c r="AW193" s="185"/>
      <c r="AX193" s="185"/>
      <c r="AY193" s="185"/>
      <c r="AZ193" s="185"/>
      <c r="BA193" s="185"/>
      <c r="BB193" s="185"/>
      <c r="BC193" s="185"/>
      <c r="BD193" s="185"/>
      <c r="BE193" s="185"/>
      <c r="BF193" s="185"/>
      <c r="BG193" s="185"/>
      <c r="BH193" s="10" t="s">
        <v>453</v>
      </c>
      <c r="BI193" s="59" t="s">
        <v>91</v>
      </c>
      <c r="BJ193" s="59" t="s">
        <v>454</v>
      </c>
      <c r="BK193" s="12" t="s">
        <v>120</v>
      </c>
      <c r="BL193" s="13" t="s">
        <v>434</v>
      </c>
      <c r="BM193" s="14" t="s">
        <v>935</v>
      </c>
      <c r="BN193" s="13" t="s">
        <v>1055</v>
      </c>
      <c r="BO193" s="15" t="s">
        <v>1147</v>
      </c>
      <c r="BP193" s="16" t="s">
        <v>1056</v>
      </c>
      <c r="BQ193" s="17"/>
    </row>
    <row r="194" spans="1:69" ht="46.5">
      <c r="A194" s="188">
        <f t="shared" si="67"/>
        <v>116</v>
      </c>
      <c r="B194" s="133" t="s">
        <v>455</v>
      </c>
      <c r="C194" s="59" t="s">
        <v>91</v>
      </c>
      <c r="D194" s="4" t="s">
        <v>40</v>
      </c>
      <c r="E194" s="5">
        <f t="shared" si="66"/>
        <v>0.11</v>
      </c>
      <c r="F194" s="5">
        <v>0.08</v>
      </c>
      <c r="G194" s="80">
        <f t="shared" si="65"/>
        <v>0.03</v>
      </c>
      <c r="H194" s="191"/>
      <c r="I194" s="185"/>
      <c r="J194" s="185"/>
      <c r="K194" s="185"/>
      <c r="L194" s="191"/>
      <c r="M194" s="185">
        <f t="shared" si="69"/>
        <v>0</v>
      </c>
      <c r="N194" s="195"/>
      <c r="O194" s="195"/>
      <c r="P194" s="195"/>
      <c r="Q194" s="190"/>
      <c r="R194" s="195"/>
      <c r="S194" s="195"/>
      <c r="T194" s="195"/>
      <c r="U194" s="190">
        <f t="shared" si="68"/>
        <v>0.03</v>
      </c>
      <c r="V194" s="191">
        <v>0.03</v>
      </c>
      <c r="W194" s="191"/>
      <c r="X194" s="191"/>
      <c r="Y194" s="185"/>
      <c r="Z194" s="185"/>
      <c r="AA194" s="185"/>
      <c r="AB194" s="185"/>
      <c r="AC194" s="185"/>
      <c r="AD194" s="185"/>
      <c r="AE194" s="185"/>
      <c r="AF194" s="185"/>
      <c r="AG194" s="185"/>
      <c r="AH194" s="185"/>
      <c r="AI194" s="185"/>
      <c r="AJ194" s="185"/>
      <c r="AK194" s="185"/>
      <c r="AL194" s="185"/>
      <c r="AM194" s="185"/>
      <c r="AN194" s="185"/>
      <c r="AO194" s="185"/>
      <c r="AP194" s="185"/>
      <c r="AQ194" s="185"/>
      <c r="AR194" s="185"/>
      <c r="AS194" s="185"/>
      <c r="AT194" s="185"/>
      <c r="AU194" s="185"/>
      <c r="AV194" s="185"/>
      <c r="AW194" s="185"/>
      <c r="AX194" s="185"/>
      <c r="AY194" s="185"/>
      <c r="AZ194" s="185"/>
      <c r="BA194" s="185"/>
      <c r="BB194" s="185"/>
      <c r="BC194" s="185"/>
      <c r="BD194" s="185"/>
      <c r="BE194" s="185"/>
      <c r="BF194" s="185"/>
      <c r="BG194" s="185"/>
      <c r="BH194" s="10" t="s">
        <v>92</v>
      </c>
      <c r="BI194" s="59" t="s">
        <v>91</v>
      </c>
      <c r="BJ194" s="59" t="s">
        <v>456</v>
      </c>
      <c r="BK194" s="12" t="s">
        <v>120</v>
      </c>
      <c r="BL194" s="13" t="s">
        <v>434</v>
      </c>
      <c r="BM194" s="14" t="s">
        <v>194</v>
      </c>
      <c r="BN194" s="13" t="s">
        <v>1055</v>
      </c>
      <c r="BO194" s="15" t="s">
        <v>1147</v>
      </c>
      <c r="BQ194" s="17"/>
    </row>
    <row r="195" spans="1:69" ht="46.5">
      <c r="A195" s="188">
        <f t="shared" si="67"/>
        <v>117</v>
      </c>
      <c r="B195" s="197" t="s">
        <v>457</v>
      </c>
      <c r="C195" s="59" t="s">
        <v>91</v>
      </c>
      <c r="D195" s="4" t="s">
        <v>40</v>
      </c>
      <c r="E195" s="5">
        <f t="shared" si="66"/>
        <v>0.16999999999999998</v>
      </c>
      <c r="F195" s="119">
        <v>0.07</v>
      </c>
      <c r="G195" s="80">
        <f t="shared" si="65"/>
        <v>0.09999999999999999</v>
      </c>
      <c r="H195" s="185">
        <v>0.09</v>
      </c>
      <c r="I195" s="185"/>
      <c r="J195" s="185"/>
      <c r="K195" s="185"/>
      <c r="L195" s="191"/>
      <c r="M195" s="185">
        <f t="shared" si="69"/>
        <v>0</v>
      </c>
      <c r="N195" s="195"/>
      <c r="O195" s="195"/>
      <c r="P195" s="195"/>
      <c r="Q195" s="190">
        <f>R195+S195+T195</f>
        <v>0</v>
      </c>
      <c r="R195" s="195"/>
      <c r="S195" s="195"/>
      <c r="T195" s="195"/>
      <c r="U195" s="190">
        <f t="shared" si="68"/>
        <v>0</v>
      </c>
      <c r="V195" s="191"/>
      <c r="W195" s="191"/>
      <c r="X195" s="191"/>
      <c r="Y195" s="195"/>
      <c r="Z195" s="185"/>
      <c r="AA195" s="185"/>
      <c r="AB195" s="185"/>
      <c r="AC195" s="185"/>
      <c r="AD195" s="185"/>
      <c r="AE195" s="185"/>
      <c r="AF195" s="185"/>
      <c r="AG195" s="185">
        <v>0.01</v>
      </c>
      <c r="AH195" s="185"/>
      <c r="AI195" s="185"/>
      <c r="AJ195" s="185"/>
      <c r="AK195" s="185"/>
      <c r="AL195" s="185"/>
      <c r="AM195" s="185"/>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0" t="s">
        <v>458</v>
      </c>
      <c r="BI195" s="59" t="s">
        <v>91</v>
      </c>
      <c r="BJ195" s="59" t="s">
        <v>459</v>
      </c>
      <c r="BK195" s="82" t="s">
        <v>120</v>
      </c>
      <c r="BL195" s="13" t="s">
        <v>434</v>
      </c>
      <c r="BM195" s="14" t="s">
        <v>935</v>
      </c>
      <c r="BN195" s="13" t="s">
        <v>1025</v>
      </c>
      <c r="BO195" s="15" t="s">
        <v>1147</v>
      </c>
      <c r="BQ195" s="17"/>
    </row>
    <row r="196" spans="1:69" ht="46.5">
      <c r="A196" s="188">
        <f t="shared" si="67"/>
        <v>118</v>
      </c>
      <c r="B196" s="47" t="s">
        <v>460</v>
      </c>
      <c r="C196" s="59" t="s">
        <v>91</v>
      </c>
      <c r="D196" s="4" t="s">
        <v>40</v>
      </c>
      <c r="E196" s="5">
        <f t="shared" si="66"/>
        <v>1.15</v>
      </c>
      <c r="F196" s="45"/>
      <c r="G196" s="80">
        <f t="shared" si="65"/>
        <v>1.15</v>
      </c>
      <c r="H196" s="185"/>
      <c r="I196" s="185"/>
      <c r="J196" s="185"/>
      <c r="K196" s="185"/>
      <c r="L196" s="185"/>
      <c r="M196" s="185">
        <f t="shared" si="69"/>
        <v>0</v>
      </c>
      <c r="N196" s="185"/>
      <c r="O196" s="185"/>
      <c r="P196" s="185"/>
      <c r="Q196" s="190">
        <f>R196+S196+T196</f>
        <v>0</v>
      </c>
      <c r="R196" s="185"/>
      <c r="S196" s="185"/>
      <c r="T196" s="185"/>
      <c r="U196" s="190">
        <f t="shared" si="68"/>
        <v>1.15</v>
      </c>
      <c r="V196" s="185">
        <v>1.15</v>
      </c>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c r="AS196" s="185"/>
      <c r="AT196" s="185"/>
      <c r="AU196" s="185"/>
      <c r="AV196" s="185"/>
      <c r="AW196" s="185"/>
      <c r="AX196" s="185"/>
      <c r="AY196" s="185"/>
      <c r="AZ196" s="185"/>
      <c r="BA196" s="185"/>
      <c r="BB196" s="185"/>
      <c r="BC196" s="185"/>
      <c r="BD196" s="185"/>
      <c r="BE196" s="185"/>
      <c r="BF196" s="185"/>
      <c r="BG196" s="185"/>
      <c r="BH196" s="10" t="s">
        <v>400</v>
      </c>
      <c r="BI196" s="59" t="s">
        <v>91</v>
      </c>
      <c r="BJ196" s="59" t="s">
        <v>461</v>
      </c>
      <c r="BK196" s="12" t="s">
        <v>120</v>
      </c>
      <c r="BL196" s="13" t="s">
        <v>462</v>
      </c>
      <c r="BM196" s="14" t="s">
        <v>935</v>
      </c>
      <c r="BN196" s="13" t="s">
        <v>1025</v>
      </c>
      <c r="BO196" s="15" t="s">
        <v>1147</v>
      </c>
      <c r="BQ196" s="17"/>
    </row>
    <row r="197" spans="1:69" ht="46.5">
      <c r="A197" s="188">
        <f t="shared" si="67"/>
        <v>119</v>
      </c>
      <c r="B197" s="118" t="s">
        <v>463</v>
      </c>
      <c r="C197" s="4" t="s">
        <v>145</v>
      </c>
      <c r="D197" s="4" t="s">
        <v>40</v>
      </c>
      <c r="E197" s="5">
        <f t="shared" si="66"/>
        <v>0.21</v>
      </c>
      <c r="F197" s="73"/>
      <c r="G197" s="80">
        <f t="shared" si="65"/>
        <v>0.21</v>
      </c>
      <c r="H197" s="61">
        <v>0.21</v>
      </c>
      <c r="I197" s="185"/>
      <c r="J197" s="185"/>
      <c r="K197" s="185"/>
      <c r="L197" s="191"/>
      <c r="M197" s="185">
        <f t="shared" si="69"/>
        <v>0</v>
      </c>
      <c r="N197" s="195"/>
      <c r="O197" s="195"/>
      <c r="P197" s="195"/>
      <c r="Q197" s="195"/>
      <c r="R197" s="195"/>
      <c r="S197" s="195"/>
      <c r="T197" s="195"/>
      <c r="U197" s="190">
        <f t="shared" si="68"/>
        <v>0</v>
      </c>
      <c r="V197" s="191"/>
      <c r="W197" s="191"/>
      <c r="X197" s="191"/>
      <c r="Y197" s="185"/>
      <c r="Z197" s="185"/>
      <c r="AA197" s="185"/>
      <c r="AB197" s="185"/>
      <c r="AC197" s="185"/>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0" t="s">
        <v>464</v>
      </c>
      <c r="BI197" s="4" t="s">
        <v>145</v>
      </c>
      <c r="BJ197" s="14" t="s">
        <v>465</v>
      </c>
      <c r="BK197" s="98" t="s">
        <v>120</v>
      </c>
      <c r="BL197" s="13" t="s">
        <v>434</v>
      </c>
      <c r="BM197" s="14" t="s">
        <v>935</v>
      </c>
      <c r="BN197" s="13" t="s">
        <v>1025</v>
      </c>
      <c r="BO197" s="15" t="s">
        <v>1147</v>
      </c>
      <c r="BQ197" s="17"/>
    </row>
    <row r="198" spans="1:69" ht="46.5">
      <c r="A198" s="188">
        <f t="shared" si="67"/>
        <v>120</v>
      </c>
      <c r="B198" s="133" t="s">
        <v>466</v>
      </c>
      <c r="C198" s="14" t="s">
        <v>147</v>
      </c>
      <c r="D198" s="4" t="s">
        <v>40</v>
      </c>
      <c r="E198" s="5">
        <f t="shared" si="66"/>
        <v>3.4999999999999996</v>
      </c>
      <c r="F198" s="122"/>
      <c r="G198" s="80">
        <f t="shared" si="65"/>
        <v>3.4999999999999996</v>
      </c>
      <c r="H198" s="61">
        <v>0.35</v>
      </c>
      <c r="I198" s="5"/>
      <c r="J198" s="198"/>
      <c r="K198" s="5">
        <v>2.51</v>
      </c>
      <c r="L198" s="192"/>
      <c r="M198" s="198">
        <f t="shared" si="69"/>
        <v>0</v>
      </c>
      <c r="N198" s="198"/>
      <c r="O198" s="198"/>
      <c r="P198" s="198"/>
      <c r="Q198" s="198"/>
      <c r="R198" s="198"/>
      <c r="S198" s="198"/>
      <c r="T198" s="198"/>
      <c r="U198" s="199"/>
      <c r="V198" s="192"/>
      <c r="W198" s="192"/>
      <c r="X198" s="192"/>
      <c r="Y198" s="198"/>
      <c r="Z198" s="198"/>
      <c r="AA198" s="198"/>
      <c r="AB198" s="198"/>
      <c r="AC198" s="198"/>
      <c r="AD198" s="198"/>
      <c r="AE198" s="198"/>
      <c r="AF198" s="198">
        <v>0.05</v>
      </c>
      <c r="AG198" s="198"/>
      <c r="AH198" s="198"/>
      <c r="AI198" s="198">
        <v>0.01</v>
      </c>
      <c r="AJ198" s="198"/>
      <c r="AK198" s="198">
        <v>0.02</v>
      </c>
      <c r="AL198" s="200">
        <v>0.02</v>
      </c>
      <c r="AM198" s="5">
        <v>0.46</v>
      </c>
      <c r="AN198" s="198"/>
      <c r="AO198" s="198"/>
      <c r="AP198" s="198"/>
      <c r="AQ198" s="198"/>
      <c r="AR198" s="198"/>
      <c r="AS198" s="198"/>
      <c r="AT198" s="198"/>
      <c r="AU198" s="198"/>
      <c r="AV198" s="198">
        <v>0.08</v>
      </c>
      <c r="AW198" s="198"/>
      <c r="AX198" s="198"/>
      <c r="AY198" s="198"/>
      <c r="AZ198" s="198"/>
      <c r="BA198" s="198"/>
      <c r="BB198" s="198"/>
      <c r="BC198" s="198"/>
      <c r="BD198" s="198"/>
      <c r="BE198" s="198"/>
      <c r="BF198" s="198"/>
      <c r="BG198" s="198"/>
      <c r="BH198" s="10" t="s">
        <v>467</v>
      </c>
      <c r="BI198" s="14" t="s">
        <v>147</v>
      </c>
      <c r="BJ198" s="14" t="s">
        <v>468</v>
      </c>
      <c r="BK198" s="12" t="s">
        <v>120</v>
      </c>
      <c r="BL198" s="13" t="s">
        <v>462</v>
      </c>
      <c r="BM198" s="14" t="s">
        <v>935</v>
      </c>
      <c r="BN198" s="13" t="s">
        <v>1025</v>
      </c>
      <c r="BO198" s="15" t="s">
        <v>1147</v>
      </c>
      <c r="BQ198" s="17"/>
    </row>
    <row r="199" spans="1:69" ht="46.5">
      <c r="A199" s="188">
        <f t="shared" si="67"/>
        <v>121</v>
      </c>
      <c r="B199" s="133" t="s">
        <v>469</v>
      </c>
      <c r="C199" s="14" t="s">
        <v>147</v>
      </c>
      <c r="D199" s="4" t="s">
        <v>40</v>
      </c>
      <c r="E199" s="5">
        <f t="shared" si="66"/>
        <v>0.05</v>
      </c>
      <c r="F199" s="5"/>
      <c r="G199" s="80">
        <f t="shared" si="65"/>
        <v>0.05</v>
      </c>
      <c r="H199" s="192"/>
      <c r="I199" s="198"/>
      <c r="J199" s="198"/>
      <c r="K199" s="198"/>
      <c r="L199" s="192"/>
      <c r="M199" s="198"/>
      <c r="N199" s="198"/>
      <c r="O199" s="198"/>
      <c r="P199" s="198"/>
      <c r="Q199" s="198"/>
      <c r="R199" s="198"/>
      <c r="S199" s="198"/>
      <c r="T199" s="198"/>
      <c r="U199" s="199"/>
      <c r="V199" s="192"/>
      <c r="W199" s="192"/>
      <c r="X199" s="192"/>
      <c r="Y199" s="198"/>
      <c r="Z199" s="198"/>
      <c r="AA199" s="198"/>
      <c r="AB199" s="198"/>
      <c r="AC199" s="198"/>
      <c r="AD199" s="198"/>
      <c r="AE199" s="198"/>
      <c r="AF199" s="198"/>
      <c r="AG199" s="198"/>
      <c r="AH199" s="198"/>
      <c r="AI199" s="198"/>
      <c r="AJ199" s="198"/>
      <c r="AK199" s="198">
        <v>0.05</v>
      </c>
      <c r="AL199" s="198"/>
      <c r="AM199" s="198"/>
      <c r="AN199" s="198"/>
      <c r="AO199" s="198"/>
      <c r="AP199" s="198"/>
      <c r="AQ199" s="198"/>
      <c r="AR199" s="198"/>
      <c r="AS199" s="198"/>
      <c r="AT199" s="198"/>
      <c r="AU199" s="198"/>
      <c r="AV199" s="198"/>
      <c r="AW199" s="198"/>
      <c r="AX199" s="198"/>
      <c r="AY199" s="198"/>
      <c r="AZ199" s="198"/>
      <c r="BA199" s="198"/>
      <c r="BB199" s="198"/>
      <c r="BC199" s="198"/>
      <c r="BD199" s="198"/>
      <c r="BE199" s="198"/>
      <c r="BF199" s="198"/>
      <c r="BG199" s="198"/>
      <c r="BH199" s="10" t="s">
        <v>470</v>
      </c>
      <c r="BI199" s="14" t="s">
        <v>147</v>
      </c>
      <c r="BJ199" s="14" t="s">
        <v>471</v>
      </c>
      <c r="BK199" s="12" t="s">
        <v>120</v>
      </c>
      <c r="BL199" s="13" t="s">
        <v>434</v>
      </c>
      <c r="BM199" s="14" t="s">
        <v>935</v>
      </c>
      <c r="BN199" s="13" t="s">
        <v>1025</v>
      </c>
      <c r="BO199" s="15" t="s">
        <v>1147</v>
      </c>
      <c r="BQ199" s="17"/>
    </row>
    <row r="200" spans="1:69" ht="46.5">
      <c r="A200" s="188">
        <f t="shared" si="67"/>
        <v>122</v>
      </c>
      <c r="B200" s="133" t="s">
        <v>472</v>
      </c>
      <c r="C200" s="14" t="s">
        <v>147</v>
      </c>
      <c r="D200" s="4" t="s">
        <v>40</v>
      </c>
      <c r="E200" s="5">
        <f t="shared" si="66"/>
        <v>0.33</v>
      </c>
      <c r="F200" s="122">
        <v>0.27</v>
      </c>
      <c r="G200" s="80">
        <f t="shared" si="65"/>
        <v>0.06</v>
      </c>
      <c r="H200" s="192"/>
      <c r="I200" s="198"/>
      <c r="J200" s="198"/>
      <c r="K200" s="198"/>
      <c r="L200" s="192">
        <v>0.06</v>
      </c>
      <c r="M200" s="198">
        <f>SUM(N200:P200)</f>
        <v>0</v>
      </c>
      <c r="N200" s="198"/>
      <c r="O200" s="198"/>
      <c r="P200" s="198"/>
      <c r="Q200" s="198"/>
      <c r="R200" s="198"/>
      <c r="S200" s="198"/>
      <c r="T200" s="198"/>
      <c r="U200" s="199">
        <f aca="true" t="shared" si="70" ref="U200:U212">SUM(V200:X200)</f>
        <v>0</v>
      </c>
      <c r="V200" s="192"/>
      <c r="W200" s="192"/>
      <c r="X200" s="192"/>
      <c r="Y200" s="198"/>
      <c r="Z200" s="198"/>
      <c r="AA200" s="198"/>
      <c r="AB200" s="198"/>
      <c r="AC200" s="198"/>
      <c r="AD200" s="198"/>
      <c r="AE200" s="198"/>
      <c r="AF200" s="198"/>
      <c r="AG200" s="198"/>
      <c r="AH200" s="198"/>
      <c r="AI200" s="198"/>
      <c r="AJ200" s="198"/>
      <c r="AK200" s="198"/>
      <c r="AL200" s="198"/>
      <c r="AM200" s="198"/>
      <c r="AN200" s="198"/>
      <c r="AO200" s="198"/>
      <c r="AP200" s="198"/>
      <c r="AQ200" s="198"/>
      <c r="AR200" s="198"/>
      <c r="AS200" s="198"/>
      <c r="AT200" s="198"/>
      <c r="AU200" s="198"/>
      <c r="AV200" s="198"/>
      <c r="AW200" s="198"/>
      <c r="AX200" s="198"/>
      <c r="AY200" s="198"/>
      <c r="AZ200" s="198"/>
      <c r="BA200" s="198"/>
      <c r="BB200" s="198"/>
      <c r="BC200" s="198"/>
      <c r="BD200" s="198"/>
      <c r="BE200" s="198"/>
      <c r="BF200" s="198"/>
      <c r="BG200" s="198"/>
      <c r="BH200" s="10" t="s">
        <v>473</v>
      </c>
      <c r="BI200" s="14" t="s">
        <v>147</v>
      </c>
      <c r="BJ200" s="14" t="s">
        <v>474</v>
      </c>
      <c r="BK200" s="12" t="s">
        <v>120</v>
      </c>
      <c r="BL200" s="13" t="s">
        <v>434</v>
      </c>
      <c r="BM200" s="14" t="s">
        <v>935</v>
      </c>
      <c r="BN200" s="13" t="s">
        <v>1025</v>
      </c>
      <c r="BO200" s="15" t="s">
        <v>1147</v>
      </c>
      <c r="BQ200" s="17"/>
    </row>
    <row r="201" spans="1:69" ht="34.5" customHeight="1">
      <c r="A201" s="188">
        <f>A200+1</f>
        <v>123</v>
      </c>
      <c r="B201" s="197" t="s">
        <v>475</v>
      </c>
      <c r="C201" s="14" t="s">
        <v>147</v>
      </c>
      <c r="D201" s="4" t="s">
        <v>40</v>
      </c>
      <c r="E201" s="5">
        <f t="shared" si="66"/>
        <v>0.3</v>
      </c>
      <c r="F201" s="201">
        <v>0.2</v>
      </c>
      <c r="G201" s="80">
        <f t="shared" si="65"/>
        <v>0.09999999999999999</v>
      </c>
      <c r="H201" s="198"/>
      <c r="I201" s="198"/>
      <c r="J201" s="198"/>
      <c r="K201" s="198"/>
      <c r="L201" s="192">
        <v>0.09</v>
      </c>
      <c r="M201" s="198">
        <f>SUM(N201:P201)</f>
        <v>0</v>
      </c>
      <c r="N201" s="198"/>
      <c r="O201" s="198"/>
      <c r="P201" s="198"/>
      <c r="Q201" s="198"/>
      <c r="R201" s="198"/>
      <c r="S201" s="198"/>
      <c r="T201" s="198"/>
      <c r="U201" s="199">
        <f t="shared" si="70"/>
        <v>0</v>
      </c>
      <c r="V201" s="192"/>
      <c r="W201" s="192"/>
      <c r="X201" s="192"/>
      <c r="Y201" s="198"/>
      <c r="Z201" s="198"/>
      <c r="AA201" s="198"/>
      <c r="AB201" s="198"/>
      <c r="AC201" s="198"/>
      <c r="AD201" s="198"/>
      <c r="AE201" s="198"/>
      <c r="AF201" s="198">
        <v>0.01</v>
      </c>
      <c r="AG201" s="198"/>
      <c r="AH201" s="198"/>
      <c r="AI201" s="198"/>
      <c r="AJ201" s="198"/>
      <c r="AK201" s="198"/>
      <c r="AL201" s="198"/>
      <c r="AM201" s="198"/>
      <c r="AN201" s="198"/>
      <c r="AO201" s="198"/>
      <c r="AP201" s="198"/>
      <c r="AQ201" s="198"/>
      <c r="AR201" s="198"/>
      <c r="AS201" s="198"/>
      <c r="AT201" s="198"/>
      <c r="AU201" s="198"/>
      <c r="AV201" s="198"/>
      <c r="AW201" s="198"/>
      <c r="AX201" s="198"/>
      <c r="AY201" s="198"/>
      <c r="AZ201" s="198"/>
      <c r="BA201" s="198"/>
      <c r="BB201" s="198"/>
      <c r="BC201" s="198"/>
      <c r="BD201" s="198"/>
      <c r="BE201" s="198"/>
      <c r="BF201" s="198"/>
      <c r="BG201" s="198"/>
      <c r="BH201" s="10" t="s">
        <v>264</v>
      </c>
      <c r="BI201" s="14" t="s">
        <v>147</v>
      </c>
      <c r="BJ201" s="14" t="s">
        <v>476</v>
      </c>
      <c r="BK201" s="12" t="s">
        <v>120</v>
      </c>
      <c r="BL201" s="13" t="s">
        <v>434</v>
      </c>
      <c r="BM201" s="14" t="s">
        <v>935</v>
      </c>
      <c r="BN201" s="13" t="s">
        <v>1025</v>
      </c>
      <c r="BO201" s="15" t="s">
        <v>1147</v>
      </c>
      <c r="BQ201" s="17"/>
    </row>
    <row r="202" spans="1:240" ht="34.5" customHeight="1">
      <c r="A202" s="188">
        <f>A201+1</f>
        <v>124</v>
      </c>
      <c r="B202" s="118" t="s">
        <v>477</v>
      </c>
      <c r="C202" s="183" t="s">
        <v>99</v>
      </c>
      <c r="D202" s="4" t="s">
        <v>40</v>
      </c>
      <c r="E202" s="5">
        <f t="shared" si="66"/>
        <v>0.38</v>
      </c>
      <c r="F202" s="122">
        <v>0.23</v>
      </c>
      <c r="G202" s="80">
        <f t="shared" si="65"/>
        <v>0.15</v>
      </c>
      <c r="H202" s="184"/>
      <c r="I202" s="185"/>
      <c r="J202" s="185"/>
      <c r="K202" s="185"/>
      <c r="L202" s="185"/>
      <c r="M202" s="185">
        <f>SUM(N202:P202)</f>
        <v>0</v>
      </c>
      <c r="N202" s="185"/>
      <c r="O202" s="185"/>
      <c r="P202" s="185"/>
      <c r="Q202" s="185"/>
      <c r="R202" s="185"/>
      <c r="S202" s="185"/>
      <c r="T202" s="185"/>
      <c r="U202" s="6">
        <f t="shared" si="70"/>
        <v>0</v>
      </c>
      <c r="V202" s="10"/>
      <c r="W202" s="10"/>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c r="AS202" s="185"/>
      <c r="AT202" s="185"/>
      <c r="AU202" s="185"/>
      <c r="AV202" s="185"/>
      <c r="AW202" s="185"/>
      <c r="AX202" s="185"/>
      <c r="AY202" s="185"/>
      <c r="AZ202" s="185"/>
      <c r="BA202" s="185"/>
      <c r="BB202" s="185"/>
      <c r="BC202" s="185"/>
      <c r="BD202" s="185"/>
      <c r="BE202" s="185"/>
      <c r="BF202" s="185"/>
      <c r="BG202" s="10">
        <v>0.15</v>
      </c>
      <c r="BH202" s="10" t="s">
        <v>384</v>
      </c>
      <c r="BI202" s="183" t="s">
        <v>99</v>
      </c>
      <c r="BJ202" s="186" t="s">
        <v>478</v>
      </c>
      <c r="BK202" s="13" t="s">
        <v>120</v>
      </c>
      <c r="BL202" s="13" t="s">
        <v>434</v>
      </c>
      <c r="BM202" s="14" t="s">
        <v>194</v>
      </c>
      <c r="BN202" s="13" t="s">
        <v>1025</v>
      </c>
      <c r="BO202" s="15" t="s">
        <v>1147</v>
      </c>
      <c r="BQ202" s="187"/>
      <c r="BR202" s="187"/>
      <c r="BS202" s="16"/>
      <c r="BT202" s="187"/>
      <c r="BU202" s="187"/>
      <c r="BV202" s="187"/>
      <c r="BW202" s="187"/>
      <c r="BX202" s="187"/>
      <c r="BY202" s="187"/>
      <c r="BZ202" s="187"/>
      <c r="CA202" s="187"/>
      <c r="CB202" s="187"/>
      <c r="CC202" s="187"/>
      <c r="CD202" s="187"/>
      <c r="CE202" s="187"/>
      <c r="CF202" s="187"/>
      <c r="CG202" s="187"/>
      <c r="CH202" s="187"/>
      <c r="CI202" s="187"/>
      <c r="CJ202" s="187"/>
      <c r="CK202" s="187"/>
      <c r="CL202" s="187"/>
      <c r="CM202" s="187"/>
      <c r="CN202" s="187"/>
      <c r="CO202" s="187"/>
      <c r="CP202" s="187"/>
      <c r="CQ202" s="187"/>
      <c r="CR202" s="187"/>
      <c r="CS202" s="187"/>
      <c r="CT202" s="187"/>
      <c r="CU202" s="187"/>
      <c r="CV202" s="187"/>
      <c r="CW202" s="187"/>
      <c r="CX202" s="187"/>
      <c r="CY202" s="187"/>
      <c r="CZ202" s="187"/>
      <c r="DA202" s="187"/>
      <c r="DB202" s="187"/>
      <c r="DC202" s="187"/>
      <c r="DD202" s="187"/>
      <c r="DE202" s="187"/>
      <c r="DF202" s="187"/>
      <c r="DG202" s="187"/>
      <c r="DH202" s="187"/>
      <c r="DI202" s="187"/>
      <c r="DJ202" s="187"/>
      <c r="DK202" s="187"/>
      <c r="DL202" s="187"/>
      <c r="DM202" s="187"/>
      <c r="DN202" s="187"/>
      <c r="DO202" s="187"/>
      <c r="DP202" s="187"/>
      <c r="DQ202" s="187"/>
      <c r="DR202" s="187"/>
      <c r="DS202" s="187"/>
      <c r="DT202" s="187"/>
      <c r="DU202" s="187"/>
      <c r="DV202" s="187"/>
      <c r="DW202" s="187"/>
      <c r="DX202" s="187"/>
      <c r="DY202" s="187"/>
      <c r="DZ202" s="187"/>
      <c r="EA202" s="187"/>
      <c r="EB202" s="187"/>
      <c r="EC202" s="187"/>
      <c r="ED202" s="187"/>
      <c r="EE202" s="187"/>
      <c r="EF202" s="187"/>
      <c r="EG202" s="187"/>
      <c r="EH202" s="187"/>
      <c r="EI202" s="187"/>
      <c r="EJ202" s="187"/>
      <c r="EK202" s="187"/>
      <c r="EL202" s="187"/>
      <c r="EM202" s="187"/>
      <c r="EN202" s="187"/>
      <c r="EO202" s="187"/>
      <c r="EP202" s="187"/>
      <c r="EQ202" s="187"/>
      <c r="ER202" s="187"/>
      <c r="ES202" s="187"/>
      <c r="ET202" s="187"/>
      <c r="EU202" s="187"/>
      <c r="EV202" s="187"/>
      <c r="EW202" s="187"/>
      <c r="EX202" s="187"/>
      <c r="EY202" s="187"/>
      <c r="EZ202" s="187"/>
      <c r="FA202" s="187"/>
      <c r="FB202" s="187"/>
      <c r="FC202" s="187"/>
      <c r="FD202" s="187"/>
      <c r="FE202" s="187"/>
      <c r="FF202" s="187"/>
      <c r="FG202" s="187"/>
      <c r="FH202" s="187"/>
      <c r="FI202" s="187"/>
      <c r="FJ202" s="187"/>
      <c r="FK202" s="187"/>
      <c r="FL202" s="187"/>
      <c r="FM202" s="187"/>
      <c r="FN202" s="187"/>
      <c r="FO202" s="187"/>
      <c r="FP202" s="187"/>
      <c r="FQ202" s="187"/>
      <c r="FR202" s="187"/>
      <c r="FS202" s="187"/>
      <c r="FT202" s="187"/>
      <c r="FU202" s="187"/>
      <c r="FV202" s="187"/>
      <c r="FW202" s="187"/>
      <c r="FX202" s="187"/>
      <c r="FY202" s="187"/>
      <c r="FZ202" s="187"/>
      <c r="GA202" s="187"/>
      <c r="GB202" s="187"/>
      <c r="GC202" s="187"/>
      <c r="GD202" s="187"/>
      <c r="GE202" s="187"/>
      <c r="GF202" s="187"/>
      <c r="GG202" s="187"/>
      <c r="GH202" s="187"/>
      <c r="GI202" s="187"/>
      <c r="GJ202" s="187"/>
      <c r="GK202" s="187"/>
      <c r="GL202" s="187"/>
      <c r="GM202" s="187"/>
      <c r="GN202" s="187"/>
      <c r="GO202" s="187"/>
      <c r="GP202" s="187"/>
      <c r="GQ202" s="187"/>
      <c r="GR202" s="187"/>
      <c r="GS202" s="187"/>
      <c r="GT202" s="187"/>
      <c r="GU202" s="187"/>
      <c r="GV202" s="187"/>
      <c r="GW202" s="187"/>
      <c r="GX202" s="187"/>
      <c r="GY202" s="187"/>
      <c r="GZ202" s="187"/>
      <c r="HA202" s="187"/>
      <c r="HB202" s="187"/>
      <c r="HC202" s="187"/>
      <c r="HD202" s="187"/>
      <c r="HE202" s="187"/>
      <c r="HF202" s="187"/>
      <c r="HG202" s="187"/>
      <c r="HH202" s="187"/>
      <c r="HI202" s="187"/>
      <c r="HJ202" s="187"/>
      <c r="HK202" s="187"/>
      <c r="HL202" s="187"/>
      <c r="HM202" s="187"/>
      <c r="HN202" s="187"/>
      <c r="HO202" s="187"/>
      <c r="HP202" s="187"/>
      <c r="HQ202" s="187"/>
      <c r="HR202" s="187"/>
      <c r="HS202" s="187"/>
      <c r="HT202" s="187"/>
      <c r="HU202" s="187"/>
      <c r="HV202" s="187"/>
      <c r="HW202" s="187"/>
      <c r="HX202" s="187"/>
      <c r="HY202" s="187"/>
      <c r="HZ202" s="187"/>
      <c r="IA202" s="187"/>
      <c r="IB202" s="187"/>
      <c r="IC202" s="187"/>
      <c r="ID202" s="187"/>
      <c r="IE202" s="187"/>
      <c r="IF202" s="187"/>
    </row>
    <row r="203" spans="1:240" ht="34.5" customHeight="1">
      <c r="A203" s="188">
        <f t="shared" si="67"/>
        <v>125</v>
      </c>
      <c r="B203" s="15" t="s">
        <v>479</v>
      </c>
      <c r="C203" s="183" t="s">
        <v>99</v>
      </c>
      <c r="D203" s="4" t="s">
        <v>40</v>
      </c>
      <c r="E203" s="5">
        <f t="shared" si="66"/>
        <v>0.9500000000000001</v>
      </c>
      <c r="F203" s="122">
        <v>0.8</v>
      </c>
      <c r="G203" s="80">
        <f t="shared" si="65"/>
        <v>0.15</v>
      </c>
      <c r="H203" s="184"/>
      <c r="I203" s="185"/>
      <c r="J203" s="185"/>
      <c r="K203" s="185"/>
      <c r="L203" s="185"/>
      <c r="M203" s="185">
        <f>SUM(N203:P203)</f>
        <v>0</v>
      </c>
      <c r="N203" s="185"/>
      <c r="O203" s="185"/>
      <c r="P203" s="185"/>
      <c r="Q203" s="185"/>
      <c r="R203" s="185"/>
      <c r="S203" s="185"/>
      <c r="T203" s="185"/>
      <c r="U203" s="6">
        <f t="shared" si="70"/>
        <v>0</v>
      </c>
      <c r="V203" s="10"/>
      <c r="W203" s="10"/>
      <c r="X203" s="185"/>
      <c r="Y203" s="185"/>
      <c r="Z203" s="185"/>
      <c r="AA203" s="185"/>
      <c r="AB203" s="185"/>
      <c r="AC203" s="185"/>
      <c r="AD203" s="185"/>
      <c r="AE203" s="185"/>
      <c r="AF203" s="185"/>
      <c r="AG203" s="185"/>
      <c r="AH203" s="185"/>
      <c r="AI203" s="185"/>
      <c r="AJ203" s="185"/>
      <c r="AK203" s="185"/>
      <c r="AL203" s="10"/>
      <c r="AM203" s="185"/>
      <c r="AN203" s="185"/>
      <c r="AO203" s="185"/>
      <c r="AP203" s="185"/>
      <c r="AQ203" s="185"/>
      <c r="AR203" s="185"/>
      <c r="AS203" s="185"/>
      <c r="AT203" s="185"/>
      <c r="AU203" s="185"/>
      <c r="AV203" s="185"/>
      <c r="AW203" s="185"/>
      <c r="AX203" s="185"/>
      <c r="AY203" s="185"/>
      <c r="AZ203" s="185"/>
      <c r="BA203" s="185"/>
      <c r="BB203" s="185"/>
      <c r="BC203" s="185"/>
      <c r="BD203" s="185"/>
      <c r="BE203" s="185"/>
      <c r="BF203" s="185"/>
      <c r="BG203" s="10">
        <v>0.15</v>
      </c>
      <c r="BH203" s="10" t="s">
        <v>384</v>
      </c>
      <c r="BI203" s="183" t="s">
        <v>99</v>
      </c>
      <c r="BJ203" s="186" t="s">
        <v>480</v>
      </c>
      <c r="BK203" s="13" t="s">
        <v>120</v>
      </c>
      <c r="BL203" s="13" t="s">
        <v>434</v>
      </c>
      <c r="BM203" s="14" t="s">
        <v>194</v>
      </c>
      <c r="BN203" s="13" t="s">
        <v>1025</v>
      </c>
      <c r="BO203" s="15" t="s">
        <v>1147</v>
      </c>
      <c r="BQ203" s="187"/>
      <c r="BR203" s="187"/>
      <c r="BS203" s="16"/>
      <c r="BT203" s="187"/>
      <c r="BU203" s="187"/>
      <c r="BV203" s="187"/>
      <c r="BW203" s="187"/>
      <c r="BX203" s="187"/>
      <c r="BY203" s="187"/>
      <c r="BZ203" s="187"/>
      <c r="CA203" s="187"/>
      <c r="CB203" s="187"/>
      <c r="CC203" s="187"/>
      <c r="CD203" s="187"/>
      <c r="CE203" s="187"/>
      <c r="CF203" s="187"/>
      <c r="CG203" s="187"/>
      <c r="CH203" s="187"/>
      <c r="CI203" s="187"/>
      <c r="CJ203" s="187"/>
      <c r="CK203" s="187"/>
      <c r="CL203" s="187"/>
      <c r="CM203" s="187"/>
      <c r="CN203" s="187"/>
      <c r="CO203" s="187"/>
      <c r="CP203" s="187"/>
      <c r="CQ203" s="187"/>
      <c r="CR203" s="187"/>
      <c r="CS203" s="187"/>
      <c r="CT203" s="187"/>
      <c r="CU203" s="187"/>
      <c r="CV203" s="187"/>
      <c r="CW203" s="187"/>
      <c r="CX203" s="187"/>
      <c r="CY203" s="187"/>
      <c r="CZ203" s="187"/>
      <c r="DA203" s="187"/>
      <c r="DB203" s="187"/>
      <c r="DC203" s="187"/>
      <c r="DD203" s="187"/>
      <c r="DE203" s="187"/>
      <c r="DF203" s="187"/>
      <c r="DG203" s="187"/>
      <c r="DH203" s="187"/>
      <c r="DI203" s="187"/>
      <c r="DJ203" s="187"/>
      <c r="DK203" s="187"/>
      <c r="DL203" s="187"/>
      <c r="DM203" s="187"/>
      <c r="DN203" s="187"/>
      <c r="DO203" s="187"/>
      <c r="DP203" s="187"/>
      <c r="DQ203" s="187"/>
      <c r="DR203" s="187"/>
      <c r="DS203" s="187"/>
      <c r="DT203" s="187"/>
      <c r="DU203" s="187"/>
      <c r="DV203" s="187"/>
      <c r="DW203" s="187"/>
      <c r="DX203" s="187"/>
      <c r="DY203" s="187"/>
      <c r="DZ203" s="187"/>
      <c r="EA203" s="187"/>
      <c r="EB203" s="187"/>
      <c r="EC203" s="187"/>
      <c r="ED203" s="187"/>
      <c r="EE203" s="187"/>
      <c r="EF203" s="187"/>
      <c r="EG203" s="187"/>
      <c r="EH203" s="187"/>
      <c r="EI203" s="187"/>
      <c r="EJ203" s="187"/>
      <c r="EK203" s="187"/>
      <c r="EL203" s="187"/>
      <c r="EM203" s="187"/>
      <c r="EN203" s="187"/>
      <c r="EO203" s="187"/>
      <c r="EP203" s="187"/>
      <c r="EQ203" s="187"/>
      <c r="ER203" s="187"/>
      <c r="ES203" s="187"/>
      <c r="ET203" s="187"/>
      <c r="EU203" s="187"/>
      <c r="EV203" s="187"/>
      <c r="EW203" s="187"/>
      <c r="EX203" s="187"/>
      <c r="EY203" s="187"/>
      <c r="EZ203" s="187"/>
      <c r="FA203" s="187"/>
      <c r="FB203" s="187"/>
      <c r="FC203" s="187"/>
      <c r="FD203" s="187"/>
      <c r="FE203" s="187"/>
      <c r="FF203" s="187"/>
      <c r="FG203" s="187"/>
      <c r="FH203" s="187"/>
      <c r="FI203" s="187"/>
      <c r="FJ203" s="187"/>
      <c r="FK203" s="187"/>
      <c r="FL203" s="187"/>
      <c r="FM203" s="187"/>
      <c r="FN203" s="187"/>
      <c r="FO203" s="187"/>
      <c r="FP203" s="187"/>
      <c r="FQ203" s="187"/>
      <c r="FR203" s="187"/>
      <c r="FS203" s="187"/>
      <c r="FT203" s="187"/>
      <c r="FU203" s="187"/>
      <c r="FV203" s="187"/>
      <c r="FW203" s="187"/>
      <c r="FX203" s="187"/>
      <c r="FY203" s="187"/>
      <c r="FZ203" s="187"/>
      <c r="GA203" s="187"/>
      <c r="GB203" s="187"/>
      <c r="GC203" s="187"/>
      <c r="GD203" s="187"/>
      <c r="GE203" s="187"/>
      <c r="GF203" s="187"/>
      <c r="GG203" s="187"/>
      <c r="GH203" s="187"/>
      <c r="GI203" s="187"/>
      <c r="GJ203" s="187"/>
      <c r="GK203" s="187"/>
      <c r="GL203" s="187"/>
      <c r="GM203" s="187"/>
      <c r="GN203" s="187"/>
      <c r="GO203" s="187"/>
      <c r="GP203" s="187"/>
      <c r="GQ203" s="187"/>
      <c r="GR203" s="187"/>
      <c r="GS203" s="187"/>
      <c r="GT203" s="187"/>
      <c r="GU203" s="187"/>
      <c r="GV203" s="187"/>
      <c r="GW203" s="187"/>
      <c r="GX203" s="187"/>
      <c r="GY203" s="187"/>
      <c r="GZ203" s="187"/>
      <c r="HA203" s="187"/>
      <c r="HB203" s="187"/>
      <c r="HC203" s="187"/>
      <c r="HD203" s="187"/>
      <c r="HE203" s="187"/>
      <c r="HF203" s="187"/>
      <c r="HG203" s="187"/>
      <c r="HH203" s="187"/>
      <c r="HI203" s="187"/>
      <c r="HJ203" s="187"/>
      <c r="HK203" s="187"/>
      <c r="HL203" s="187"/>
      <c r="HM203" s="187"/>
      <c r="HN203" s="187"/>
      <c r="HO203" s="187"/>
      <c r="HP203" s="187"/>
      <c r="HQ203" s="187"/>
      <c r="HR203" s="187"/>
      <c r="HS203" s="187"/>
      <c r="HT203" s="187"/>
      <c r="HU203" s="187"/>
      <c r="HV203" s="187"/>
      <c r="HW203" s="187"/>
      <c r="HX203" s="187"/>
      <c r="HY203" s="187"/>
      <c r="HZ203" s="187"/>
      <c r="IA203" s="187"/>
      <c r="IB203" s="187"/>
      <c r="IC203" s="187"/>
      <c r="ID203" s="187"/>
      <c r="IE203" s="187"/>
      <c r="IF203" s="187"/>
    </row>
    <row r="204" spans="1:69" ht="34.5" customHeight="1">
      <c r="A204" s="188">
        <f t="shared" si="67"/>
        <v>126</v>
      </c>
      <c r="B204" s="47" t="s">
        <v>481</v>
      </c>
      <c r="C204" s="42" t="s">
        <v>106</v>
      </c>
      <c r="D204" s="4" t="s">
        <v>40</v>
      </c>
      <c r="E204" s="5">
        <f t="shared" si="66"/>
        <v>0.1033</v>
      </c>
      <c r="F204" s="73">
        <v>0.0733</v>
      </c>
      <c r="G204" s="80">
        <f t="shared" si="65"/>
        <v>0.03</v>
      </c>
      <c r="H204" s="48"/>
      <c r="I204" s="48"/>
      <c r="J204" s="48"/>
      <c r="K204" s="48"/>
      <c r="L204" s="48"/>
      <c r="M204" s="48">
        <f>SUM(N204:P204)</f>
        <v>0</v>
      </c>
      <c r="N204" s="48"/>
      <c r="O204" s="48"/>
      <c r="P204" s="48"/>
      <c r="Q204" s="48"/>
      <c r="R204" s="48"/>
      <c r="S204" s="48"/>
      <c r="T204" s="48"/>
      <c r="U204" s="48">
        <f t="shared" si="70"/>
        <v>0.03</v>
      </c>
      <c r="V204" s="48">
        <v>0.03</v>
      </c>
      <c r="W204" s="48"/>
      <c r="X204" s="48"/>
      <c r="Y204" s="48"/>
      <c r="Z204" s="48"/>
      <c r="AA204" s="185"/>
      <c r="AB204" s="185"/>
      <c r="AC204" s="185"/>
      <c r="AD204" s="185"/>
      <c r="AE204" s="185"/>
      <c r="AF204" s="185"/>
      <c r="AG204" s="185"/>
      <c r="AH204" s="185"/>
      <c r="AI204" s="185"/>
      <c r="AJ204" s="185"/>
      <c r="AK204" s="185"/>
      <c r="AL204" s="185"/>
      <c r="AM204" s="185"/>
      <c r="AN204" s="185"/>
      <c r="AO204" s="185"/>
      <c r="AP204" s="185"/>
      <c r="AQ204" s="185"/>
      <c r="AR204" s="185"/>
      <c r="AS204" s="185"/>
      <c r="AT204" s="185"/>
      <c r="AU204" s="185"/>
      <c r="AV204" s="185"/>
      <c r="AW204" s="185"/>
      <c r="AX204" s="185"/>
      <c r="AY204" s="185"/>
      <c r="AZ204" s="185"/>
      <c r="BA204" s="185"/>
      <c r="BB204" s="185"/>
      <c r="BC204" s="185"/>
      <c r="BD204" s="185"/>
      <c r="BE204" s="185"/>
      <c r="BF204" s="185"/>
      <c r="BG204" s="185"/>
      <c r="BH204" s="60" t="s">
        <v>482</v>
      </c>
      <c r="BI204" s="42" t="s">
        <v>106</v>
      </c>
      <c r="BJ204" s="4" t="s">
        <v>483</v>
      </c>
      <c r="BK204" s="12" t="s">
        <v>374</v>
      </c>
      <c r="BL204" s="13" t="s">
        <v>434</v>
      </c>
      <c r="BM204" s="14" t="s">
        <v>935</v>
      </c>
      <c r="BN204" s="13" t="s">
        <v>1025</v>
      </c>
      <c r="BO204" s="15" t="s">
        <v>1147</v>
      </c>
      <c r="BQ204" s="17"/>
    </row>
    <row r="205" spans="1:69" ht="34.5" customHeight="1">
      <c r="A205" s="188">
        <f t="shared" si="67"/>
        <v>127</v>
      </c>
      <c r="B205" s="189" t="s">
        <v>484</v>
      </c>
      <c r="C205" s="42" t="s">
        <v>106</v>
      </c>
      <c r="D205" s="4" t="s">
        <v>40</v>
      </c>
      <c r="E205" s="5">
        <f t="shared" si="66"/>
        <v>0.25</v>
      </c>
      <c r="F205" s="73">
        <v>0.19</v>
      </c>
      <c r="G205" s="80">
        <f t="shared" si="65"/>
        <v>0.06</v>
      </c>
      <c r="H205" s="48"/>
      <c r="I205" s="48"/>
      <c r="J205" s="48"/>
      <c r="K205" s="48"/>
      <c r="L205" s="48"/>
      <c r="M205" s="48"/>
      <c r="N205" s="48"/>
      <c r="O205" s="48"/>
      <c r="P205" s="48"/>
      <c r="Q205" s="48"/>
      <c r="R205" s="48"/>
      <c r="S205" s="48"/>
      <c r="T205" s="48"/>
      <c r="U205" s="48">
        <f t="shared" si="70"/>
        <v>0.03</v>
      </c>
      <c r="V205" s="48">
        <v>0.03</v>
      </c>
      <c r="W205" s="48"/>
      <c r="X205" s="48"/>
      <c r="Y205" s="48">
        <v>0.03</v>
      </c>
      <c r="Z205" s="48"/>
      <c r="AA205" s="185"/>
      <c r="AB205" s="185"/>
      <c r="AC205" s="185"/>
      <c r="AD205" s="185"/>
      <c r="AE205" s="185"/>
      <c r="AF205" s="185"/>
      <c r="AG205" s="185"/>
      <c r="AH205" s="185"/>
      <c r="AI205" s="185"/>
      <c r="AJ205" s="185"/>
      <c r="AK205" s="185"/>
      <c r="AL205" s="185"/>
      <c r="AM205" s="185"/>
      <c r="AN205" s="185"/>
      <c r="AO205" s="185"/>
      <c r="AP205" s="185"/>
      <c r="AQ205" s="185"/>
      <c r="AR205" s="185"/>
      <c r="AS205" s="185"/>
      <c r="AT205" s="185"/>
      <c r="AU205" s="185"/>
      <c r="AV205" s="191"/>
      <c r="AW205" s="185"/>
      <c r="AX205" s="185"/>
      <c r="AY205" s="185"/>
      <c r="AZ205" s="185"/>
      <c r="BA205" s="185"/>
      <c r="BB205" s="185"/>
      <c r="BC205" s="185"/>
      <c r="BD205" s="185"/>
      <c r="BE205" s="185"/>
      <c r="BF205" s="185"/>
      <c r="BG205" s="185"/>
      <c r="BH205" s="60" t="s">
        <v>107</v>
      </c>
      <c r="BI205" s="42" t="s">
        <v>106</v>
      </c>
      <c r="BJ205" s="59" t="s">
        <v>485</v>
      </c>
      <c r="BK205" s="12" t="s">
        <v>374</v>
      </c>
      <c r="BL205" s="13" t="s">
        <v>434</v>
      </c>
      <c r="BM205" s="13" t="s">
        <v>194</v>
      </c>
      <c r="BN205" s="13" t="s">
        <v>1025</v>
      </c>
      <c r="BO205" s="15" t="s">
        <v>1147</v>
      </c>
      <c r="BQ205" s="17"/>
    </row>
    <row r="206" spans="1:69" ht="34.5" customHeight="1">
      <c r="A206" s="188">
        <f t="shared" si="67"/>
        <v>128</v>
      </c>
      <c r="B206" s="179" t="s">
        <v>1127</v>
      </c>
      <c r="C206" s="14"/>
      <c r="D206" s="4" t="s">
        <v>40</v>
      </c>
      <c r="E206" s="5">
        <f t="shared" si="66"/>
        <v>0.1</v>
      </c>
      <c r="F206" s="5"/>
      <c r="G206" s="80">
        <f t="shared" si="65"/>
        <v>0.1</v>
      </c>
      <c r="H206" s="97"/>
      <c r="I206" s="97"/>
      <c r="J206" s="97"/>
      <c r="K206" s="97">
        <v>0.03</v>
      </c>
      <c r="L206" s="97">
        <v>0.04</v>
      </c>
      <c r="M206" s="97"/>
      <c r="N206" s="97"/>
      <c r="O206" s="97"/>
      <c r="P206" s="97"/>
      <c r="Q206" s="97"/>
      <c r="R206" s="97"/>
      <c r="S206" s="97"/>
      <c r="T206" s="97"/>
      <c r="U206" s="46">
        <f t="shared" si="70"/>
        <v>0</v>
      </c>
      <c r="V206" s="97"/>
      <c r="W206" s="97"/>
      <c r="X206" s="97"/>
      <c r="Y206" s="97">
        <v>0.03</v>
      </c>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46" t="s">
        <v>151</v>
      </c>
      <c r="BI206" s="14" t="s">
        <v>150</v>
      </c>
      <c r="BJ206" s="46" t="s">
        <v>1133</v>
      </c>
      <c r="BK206" s="13"/>
      <c r="BL206" s="13" t="s">
        <v>434</v>
      </c>
      <c r="BM206" s="14"/>
      <c r="BN206" s="13"/>
      <c r="BO206" s="15" t="s">
        <v>194</v>
      </c>
      <c r="BQ206" s="17"/>
    </row>
    <row r="207" spans="1:69" ht="34.5" customHeight="1">
      <c r="A207" s="188">
        <f t="shared" si="67"/>
        <v>129</v>
      </c>
      <c r="B207" s="179" t="s">
        <v>1128</v>
      </c>
      <c r="C207" s="14"/>
      <c r="D207" s="4" t="s">
        <v>40</v>
      </c>
      <c r="E207" s="5">
        <f t="shared" si="66"/>
        <v>0.8200000000000001</v>
      </c>
      <c r="F207" s="5">
        <v>0.32</v>
      </c>
      <c r="G207" s="80">
        <f t="shared" si="65"/>
        <v>0.5</v>
      </c>
      <c r="H207" s="97"/>
      <c r="I207" s="97"/>
      <c r="J207" s="97"/>
      <c r="K207" s="97"/>
      <c r="L207" s="97"/>
      <c r="M207" s="97"/>
      <c r="N207" s="97"/>
      <c r="O207" s="97"/>
      <c r="P207" s="97"/>
      <c r="Q207" s="97"/>
      <c r="R207" s="97"/>
      <c r="S207" s="97"/>
      <c r="T207" s="97"/>
      <c r="U207" s="46">
        <f t="shared" si="70"/>
        <v>0.5</v>
      </c>
      <c r="V207" s="97"/>
      <c r="W207" s="97">
        <v>0.5</v>
      </c>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46" t="s">
        <v>388</v>
      </c>
      <c r="BI207" s="14" t="s">
        <v>122</v>
      </c>
      <c r="BJ207" s="46" t="s">
        <v>1135</v>
      </c>
      <c r="BK207" s="13"/>
      <c r="BL207" s="13" t="s">
        <v>434</v>
      </c>
      <c r="BM207" s="14"/>
      <c r="BN207" s="13"/>
      <c r="BO207" s="15" t="s">
        <v>194</v>
      </c>
      <c r="BQ207" s="17"/>
    </row>
    <row r="208" spans="1:69" ht="34.5" customHeight="1">
      <c r="A208" s="188">
        <f t="shared" si="67"/>
        <v>130</v>
      </c>
      <c r="B208" s="179" t="s">
        <v>1129</v>
      </c>
      <c r="C208" s="14"/>
      <c r="D208" s="4" t="s">
        <v>40</v>
      </c>
      <c r="E208" s="5">
        <f t="shared" si="66"/>
        <v>0.33999999999999997</v>
      </c>
      <c r="F208" s="5">
        <v>0.31</v>
      </c>
      <c r="G208" s="80">
        <f t="shared" si="65"/>
        <v>0.03</v>
      </c>
      <c r="H208" s="97"/>
      <c r="I208" s="97"/>
      <c r="J208" s="97"/>
      <c r="K208" s="97">
        <v>0.03</v>
      </c>
      <c r="L208" s="97"/>
      <c r="M208" s="97"/>
      <c r="N208" s="97"/>
      <c r="O208" s="97"/>
      <c r="P208" s="97"/>
      <c r="Q208" s="97"/>
      <c r="R208" s="97"/>
      <c r="S208" s="97"/>
      <c r="T208" s="97"/>
      <c r="U208" s="46">
        <f t="shared" si="70"/>
        <v>0</v>
      </c>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46" t="s">
        <v>458</v>
      </c>
      <c r="BI208" s="14" t="s">
        <v>91</v>
      </c>
      <c r="BJ208" s="46" t="s">
        <v>1136</v>
      </c>
      <c r="BK208" s="13"/>
      <c r="BL208" s="13" t="s">
        <v>434</v>
      </c>
      <c r="BM208" s="14"/>
      <c r="BN208" s="13"/>
      <c r="BO208" s="15" t="s">
        <v>194</v>
      </c>
      <c r="BQ208" s="17"/>
    </row>
    <row r="209" spans="1:69" ht="34.5" customHeight="1">
      <c r="A209" s="188">
        <f t="shared" si="67"/>
        <v>131</v>
      </c>
      <c r="B209" s="179" t="s">
        <v>1130</v>
      </c>
      <c r="C209" s="14"/>
      <c r="D209" s="4" t="s">
        <v>40</v>
      </c>
      <c r="E209" s="5">
        <f t="shared" si="66"/>
        <v>0.42</v>
      </c>
      <c r="F209" s="5">
        <v>0.35</v>
      </c>
      <c r="G209" s="80">
        <f t="shared" si="65"/>
        <v>0.07</v>
      </c>
      <c r="H209" s="97"/>
      <c r="I209" s="97"/>
      <c r="J209" s="97"/>
      <c r="K209" s="97">
        <v>0.07</v>
      </c>
      <c r="L209" s="97"/>
      <c r="M209" s="97"/>
      <c r="N209" s="97"/>
      <c r="O209" s="97"/>
      <c r="P209" s="97"/>
      <c r="Q209" s="97"/>
      <c r="R209" s="97"/>
      <c r="S209" s="97"/>
      <c r="T209" s="97"/>
      <c r="U209" s="46">
        <f t="shared" si="70"/>
        <v>0</v>
      </c>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46" t="s">
        <v>1134</v>
      </c>
      <c r="BI209" s="14" t="s">
        <v>138</v>
      </c>
      <c r="BJ209" s="46" t="s">
        <v>1137</v>
      </c>
      <c r="BK209" s="13"/>
      <c r="BL209" s="13" t="s">
        <v>434</v>
      </c>
      <c r="BM209" s="14"/>
      <c r="BN209" s="13"/>
      <c r="BO209" s="15" t="s">
        <v>194</v>
      </c>
      <c r="BQ209" s="17"/>
    </row>
    <row r="210" spans="1:69" ht="34.5" customHeight="1">
      <c r="A210" s="188">
        <f t="shared" si="67"/>
        <v>132</v>
      </c>
      <c r="B210" s="179" t="s">
        <v>1131</v>
      </c>
      <c r="C210" s="14"/>
      <c r="D210" s="4" t="s">
        <v>40</v>
      </c>
      <c r="E210" s="5">
        <f t="shared" si="66"/>
        <v>0.31</v>
      </c>
      <c r="F210" s="5">
        <v>0.16</v>
      </c>
      <c r="G210" s="80">
        <f t="shared" si="65"/>
        <v>0.15</v>
      </c>
      <c r="H210" s="97"/>
      <c r="I210" s="97"/>
      <c r="J210" s="97"/>
      <c r="K210" s="97"/>
      <c r="L210" s="97"/>
      <c r="M210" s="97"/>
      <c r="N210" s="97"/>
      <c r="O210" s="97"/>
      <c r="P210" s="97"/>
      <c r="Q210" s="97"/>
      <c r="R210" s="97"/>
      <c r="S210" s="97"/>
      <c r="T210" s="97"/>
      <c r="U210" s="46">
        <f t="shared" si="70"/>
        <v>0.15</v>
      </c>
      <c r="V210" s="97">
        <v>0.15</v>
      </c>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46" t="s">
        <v>155</v>
      </c>
      <c r="BI210" s="14" t="s">
        <v>154</v>
      </c>
      <c r="BJ210" s="46" t="s">
        <v>1138</v>
      </c>
      <c r="BK210" s="13"/>
      <c r="BL210" s="13" t="s">
        <v>434</v>
      </c>
      <c r="BM210" s="14"/>
      <c r="BN210" s="13"/>
      <c r="BO210" s="15" t="s">
        <v>194</v>
      </c>
      <c r="BQ210" s="17"/>
    </row>
    <row r="211" spans="1:69" ht="34.5" customHeight="1">
      <c r="A211" s="188">
        <f t="shared" si="67"/>
        <v>133</v>
      </c>
      <c r="B211" s="179" t="s">
        <v>1132</v>
      </c>
      <c r="C211" s="14"/>
      <c r="D211" s="4" t="s">
        <v>40</v>
      </c>
      <c r="E211" s="5">
        <f t="shared" si="66"/>
        <v>0.99</v>
      </c>
      <c r="F211" s="5">
        <v>0.1</v>
      </c>
      <c r="G211" s="80">
        <f t="shared" si="65"/>
        <v>0.89</v>
      </c>
      <c r="H211" s="97">
        <v>0.73</v>
      </c>
      <c r="I211" s="97"/>
      <c r="J211" s="97"/>
      <c r="K211" s="97"/>
      <c r="L211" s="97"/>
      <c r="M211" s="97"/>
      <c r="N211" s="97"/>
      <c r="O211" s="97"/>
      <c r="P211" s="97"/>
      <c r="Q211" s="97"/>
      <c r="R211" s="97"/>
      <c r="S211" s="97"/>
      <c r="T211" s="97"/>
      <c r="U211" s="46">
        <f t="shared" si="70"/>
        <v>0</v>
      </c>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v>0.16</v>
      </c>
      <c r="AW211" s="97"/>
      <c r="AX211" s="97"/>
      <c r="AY211" s="97"/>
      <c r="AZ211" s="97"/>
      <c r="BA211" s="97"/>
      <c r="BB211" s="97"/>
      <c r="BC211" s="97"/>
      <c r="BD211" s="97"/>
      <c r="BE211" s="97"/>
      <c r="BF211" s="97"/>
      <c r="BG211" s="97"/>
      <c r="BH211" s="46" t="s">
        <v>458</v>
      </c>
      <c r="BI211" s="14" t="s">
        <v>91</v>
      </c>
      <c r="BJ211" s="46" t="s">
        <v>1139</v>
      </c>
      <c r="BK211" s="13"/>
      <c r="BL211" s="13" t="s">
        <v>434</v>
      </c>
      <c r="BM211" s="14"/>
      <c r="BN211" s="13"/>
      <c r="BO211" s="15" t="s">
        <v>194</v>
      </c>
      <c r="BQ211" s="17"/>
    </row>
    <row r="212" spans="1:69" ht="34.5" customHeight="1">
      <c r="A212" s="188">
        <f t="shared" si="67"/>
        <v>134</v>
      </c>
      <c r="B212" s="189" t="s">
        <v>486</v>
      </c>
      <c r="C212" s="42" t="s">
        <v>370</v>
      </c>
      <c r="D212" s="4" t="s">
        <v>40</v>
      </c>
      <c r="E212" s="5">
        <f t="shared" si="66"/>
        <v>2.29</v>
      </c>
      <c r="F212" s="5"/>
      <c r="G212" s="80">
        <f>4.05-1.76</f>
        <v>2.29</v>
      </c>
      <c r="H212" s="191"/>
      <c r="I212" s="185"/>
      <c r="J212" s="185"/>
      <c r="K212" s="185">
        <v>1.2</v>
      </c>
      <c r="L212" s="191"/>
      <c r="M212" s="185"/>
      <c r="N212" s="185"/>
      <c r="O212" s="185"/>
      <c r="P212" s="185"/>
      <c r="Q212" s="190"/>
      <c r="R212" s="185"/>
      <c r="S212" s="185"/>
      <c r="T212" s="185"/>
      <c r="U212" s="46">
        <f t="shared" si="70"/>
        <v>2.04</v>
      </c>
      <c r="V212" s="191">
        <f>0.89+1.15</f>
        <v>2.04</v>
      </c>
      <c r="W212" s="191"/>
      <c r="X212" s="191"/>
      <c r="Y212" s="185"/>
      <c r="Z212" s="185"/>
      <c r="AA212" s="185"/>
      <c r="AB212" s="185"/>
      <c r="AC212" s="185"/>
      <c r="AD212" s="185"/>
      <c r="AE212" s="185"/>
      <c r="AF212" s="185"/>
      <c r="AG212" s="185">
        <v>0.81</v>
      </c>
      <c r="AH212" s="185"/>
      <c r="AI212" s="185"/>
      <c r="AJ212" s="185"/>
      <c r="AK212" s="185"/>
      <c r="AL212" s="185"/>
      <c r="AM212" s="185"/>
      <c r="AN212" s="185"/>
      <c r="AO212" s="185"/>
      <c r="AP212" s="185"/>
      <c r="AQ212" s="185"/>
      <c r="AR212" s="185"/>
      <c r="AS212" s="185"/>
      <c r="AT212" s="185"/>
      <c r="AU212" s="185"/>
      <c r="AV212" s="191"/>
      <c r="AW212" s="185"/>
      <c r="AX212" s="185"/>
      <c r="AY212" s="185"/>
      <c r="AZ212" s="185"/>
      <c r="BA212" s="185"/>
      <c r="BB212" s="185"/>
      <c r="BC212" s="185"/>
      <c r="BD212" s="185"/>
      <c r="BE212" s="185"/>
      <c r="BF212" s="185"/>
      <c r="BG212" s="185"/>
      <c r="BH212" s="60"/>
      <c r="BI212" s="42" t="s">
        <v>370</v>
      </c>
      <c r="BJ212" s="59"/>
      <c r="BK212" s="91" t="s">
        <v>374</v>
      </c>
      <c r="BL212" s="13" t="s">
        <v>434</v>
      </c>
      <c r="BM212" s="13" t="s">
        <v>194</v>
      </c>
      <c r="BN212" s="13"/>
      <c r="BO212" s="15" t="s">
        <v>1147</v>
      </c>
      <c r="BQ212" s="17"/>
    </row>
    <row r="213" spans="1:69" ht="15">
      <c r="A213" s="66" t="s">
        <v>487</v>
      </c>
      <c r="B213" s="85" t="s">
        <v>488</v>
      </c>
      <c r="C213" s="46"/>
      <c r="D213" s="36"/>
      <c r="E213" s="69">
        <f t="shared" si="66"/>
        <v>10.450000000000001</v>
      </c>
      <c r="F213" s="69">
        <f aca="true" t="shared" si="71" ref="F213:AK213">SUM(F214:F237)</f>
        <v>0.18</v>
      </c>
      <c r="G213" s="69">
        <f t="shared" si="71"/>
        <v>10.270000000000001</v>
      </c>
      <c r="H213" s="69">
        <f t="shared" si="71"/>
        <v>2.0100000000000002</v>
      </c>
      <c r="I213" s="69">
        <f t="shared" si="71"/>
        <v>0.2</v>
      </c>
      <c r="J213" s="69">
        <f t="shared" si="71"/>
        <v>0</v>
      </c>
      <c r="K213" s="69">
        <f t="shared" si="71"/>
        <v>2.8</v>
      </c>
      <c r="L213" s="69">
        <f t="shared" si="71"/>
        <v>1.5400000000000003</v>
      </c>
      <c r="M213" s="69">
        <f t="shared" si="71"/>
        <v>0</v>
      </c>
      <c r="N213" s="69">
        <f t="shared" si="71"/>
        <v>0</v>
      </c>
      <c r="O213" s="69">
        <f t="shared" si="71"/>
        <v>0</v>
      </c>
      <c r="P213" s="69">
        <f t="shared" si="71"/>
        <v>0</v>
      </c>
      <c r="Q213" s="69">
        <f t="shared" si="71"/>
        <v>0</v>
      </c>
      <c r="R213" s="69">
        <f t="shared" si="71"/>
        <v>0</v>
      </c>
      <c r="S213" s="69">
        <f t="shared" si="71"/>
        <v>0</v>
      </c>
      <c r="T213" s="69">
        <f t="shared" si="71"/>
        <v>0</v>
      </c>
      <c r="U213" s="69">
        <f t="shared" si="71"/>
        <v>2.4099999999999993</v>
      </c>
      <c r="V213" s="69">
        <f t="shared" si="71"/>
        <v>1.6800000000000006</v>
      </c>
      <c r="W213" s="69">
        <f t="shared" si="71"/>
        <v>0.7000000000000001</v>
      </c>
      <c r="X213" s="69">
        <f t="shared" si="71"/>
        <v>0.03</v>
      </c>
      <c r="Y213" s="69">
        <f t="shared" si="71"/>
        <v>0.09000000000000001</v>
      </c>
      <c r="Z213" s="69">
        <f t="shared" si="71"/>
        <v>0.01</v>
      </c>
      <c r="AA213" s="69">
        <f t="shared" si="71"/>
        <v>0</v>
      </c>
      <c r="AB213" s="69">
        <f t="shared" si="71"/>
        <v>0</v>
      </c>
      <c r="AC213" s="69">
        <f t="shared" si="71"/>
        <v>0</v>
      </c>
      <c r="AD213" s="69">
        <f t="shared" si="71"/>
        <v>0</v>
      </c>
      <c r="AE213" s="69">
        <f t="shared" si="71"/>
        <v>0</v>
      </c>
      <c r="AF213" s="69">
        <f t="shared" si="71"/>
        <v>0.2</v>
      </c>
      <c r="AG213" s="69">
        <f t="shared" si="71"/>
        <v>0.01</v>
      </c>
      <c r="AH213" s="69">
        <f t="shared" si="71"/>
        <v>0</v>
      </c>
      <c r="AI213" s="69">
        <f t="shared" si="71"/>
        <v>0</v>
      </c>
      <c r="AJ213" s="69">
        <f t="shared" si="71"/>
        <v>0.17</v>
      </c>
      <c r="AK213" s="69">
        <f t="shared" si="71"/>
        <v>0</v>
      </c>
      <c r="AL213" s="69">
        <f aca="true" t="shared" si="72" ref="AL213:BG213">SUM(AL214:AL237)</f>
        <v>0.26</v>
      </c>
      <c r="AM213" s="69">
        <f t="shared" si="72"/>
        <v>0</v>
      </c>
      <c r="AN213" s="69">
        <f t="shared" si="72"/>
        <v>0</v>
      </c>
      <c r="AO213" s="69">
        <f t="shared" si="72"/>
        <v>0</v>
      </c>
      <c r="AP213" s="69">
        <f t="shared" si="72"/>
        <v>0</v>
      </c>
      <c r="AQ213" s="69">
        <f t="shared" si="72"/>
        <v>0</v>
      </c>
      <c r="AR213" s="69">
        <f t="shared" si="72"/>
        <v>0</v>
      </c>
      <c r="AS213" s="69">
        <f t="shared" si="72"/>
        <v>0</v>
      </c>
      <c r="AT213" s="69">
        <f t="shared" si="72"/>
        <v>0.09</v>
      </c>
      <c r="AU213" s="69">
        <f t="shared" si="72"/>
        <v>0</v>
      </c>
      <c r="AV213" s="69">
        <f t="shared" si="72"/>
        <v>0</v>
      </c>
      <c r="AW213" s="69">
        <f t="shared" si="72"/>
        <v>0</v>
      </c>
      <c r="AX213" s="69">
        <f t="shared" si="72"/>
        <v>0</v>
      </c>
      <c r="AY213" s="69">
        <f t="shared" si="72"/>
        <v>0</v>
      </c>
      <c r="AZ213" s="69">
        <f t="shared" si="72"/>
        <v>0</v>
      </c>
      <c r="BA213" s="69">
        <f t="shared" si="72"/>
        <v>0</v>
      </c>
      <c r="BB213" s="69">
        <f t="shared" si="72"/>
        <v>0</v>
      </c>
      <c r="BC213" s="69">
        <f t="shared" si="72"/>
        <v>0.02</v>
      </c>
      <c r="BD213" s="69">
        <f t="shared" si="72"/>
        <v>0</v>
      </c>
      <c r="BE213" s="69">
        <f t="shared" si="72"/>
        <v>0</v>
      </c>
      <c r="BF213" s="69">
        <f t="shared" si="72"/>
        <v>0</v>
      </c>
      <c r="BG213" s="69">
        <f t="shared" si="72"/>
        <v>0.48</v>
      </c>
      <c r="BH213" s="46"/>
      <c r="BI213" s="46"/>
      <c r="BJ213" s="46"/>
      <c r="BK213" s="46"/>
      <c r="BL213" s="46"/>
      <c r="BM213" s="46"/>
      <c r="BN213" s="13"/>
      <c r="BO213" s="15"/>
      <c r="BQ213" s="17"/>
    </row>
    <row r="214" spans="1:240" s="203" customFormat="1" ht="46.5">
      <c r="A214" s="1">
        <f>A212+1</f>
        <v>135</v>
      </c>
      <c r="B214" s="202" t="s">
        <v>489</v>
      </c>
      <c r="C214" s="42" t="s">
        <v>65</v>
      </c>
      <c r="D214" s="4" t="s">
        <v>41</v>
      </c>
      <c r="E214" s="45">
        <f t="shared" si="66"/>
        <v>2.1999999999999993</v>
      </c>
      <c r="F214" s="45"/>
      <c r="G214" s="5">
        <f aca="true" t="shared" si="73" ref="G214:G226">SUM(H214:M214,Q214,U214,Y214:BG214)</f>
        <v>2.1999999999999993</v>
      </c>
      <c r="H214" s="46">
        <v>1.11</v>
      </c>
      <c r="I214" s="46"/>
      <c r="J214" s="46"/>
      <c r="K214" s="46">
        <v>0.62</v>
      </c>
      <c r="L214" s="46">
        <v>0.28</v>
      </c>
      <c r="M214" s="46">
        <f>SUM(N214:P214)</f>
        <v>0</v>
      </c>
      <c r="N214" s="46"/>
      <c r="O214" s="46"/>
      <c r="P214" s="46"/>
      <c r="Q214" s="46">
        <f>SUM(R214:T214)</f>
        <v>0</v>
      </c>
      <c r="R214" s="46"/>
      <c r="S214" s="46"/>
      <c r="T214" s="46"/>
      <c r="U214" s="46">
        <f>SUM(V214:X214)</f>
        <v>0</v>
      </c>
      <c r="V214" s="84"/>
      <c r="W214" s="84"/>
      <c r="X214" s="84"/>
      <c r="Y214" s="84"/>
      <c r="Z214" s="84"/>
      <c r="AA214" s="84"/>
      <c r="AB214" s="84"/>
      <c r="AC214" s="84"/>
      <c r="AD214" s="84"/>
      <c r="AE214" s="84"/>
      <c r="AF214" s="84">
        <v>0.09</v>
      </c>
      <c r="AG214" s="84">
        <v>0.01</v>
      </c>
      <c r="AH214" s="84"/>
      <c r="AI214" s="84"/>
      <c r="AJ214" s="84"/>
      <c r="AK214" s="84"/>
      <c r="AL214" s="84"/>
      <c r="AM214" s="84"/>
      <c r="AN214" s="84"/>
      <c r="AO214" s="84"/>
      <c r="AP214" s="84"/>
      <c r="AQ214" s="84"/>
      <c r="AR214" s="84"/>
      <c r="AS214" s="84"/>
      <c r="AT214" s="46"/>
      <c r="AU214" s="84"/>
      <c r="AV214" s="84"/>
      <c r="AW214" s="84"/>
      <c r="AX214" s="84"/>
      <c r="AY214" s="84"/>
      <c r="AZ214" s="84"/>
      <c r="BA214" s="84"/>
      <c r="BB214" s="84"/>
      <c r="BC214" s="84"/>
      <c r="BD214" s="84"/>
      <c r="BE214" s="84"/>
      <c r="BF214" s="84"/>
      <c r="BG214" s="84">
        <v>0.09</v>
      </c>
      <c r="BH214" s="60" t="s">
        <v>112</v>
      </c>
      <c r="BI214" s="42" t="s">
        <v>65</v>
      </c>
      <c r="BJ214" s="4" t="s">
        <v>490</v>
      </c>
      <c r="BK214" s="12" t="s">
        <v>120</v>
      </c>
      <c r="BL214" s="13" t="s">
        <v>491</v>
      </c>
      <c r="BM214" s="14" t="s">
        <v>935</v>
      </c>
      <c r="BN214" s="46" t="s">
        <v>1024</v>
      </c>
      <c r="BO214" s="179" t="s">
        <v>1147</v>
      </c>
      <c r="BP214" s="92"/>
      <c r="BQ214" s="93"/>
      <c r="BR214" s="93"/>
      <c r="BS214" s="94"/>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3"/>
      <c r="EN214" s="93"/>
      <c r="EO214" s="93"/>
      <c r="EP214" s="93"/>
      <c r="EQ214" s="93"/>
      <c r="ER214" s="93"/>
      <c r="ES214" s="93"/>
      <c r="ET214" s="93"/>
      <c r="EU214" s="93"/>
      <c r="EV214" s="93"/>
      <c r="EW214" s="93"/>
      <c r="EX214" s="93"/>
      <c r="EY214" s="93"/>
      <c r="EZ214" s="93"/>
      <c r="FA214" s="93"/>
      <c r="FB214" s="93"/>
      <c r="FC214" s="93"/>
      <c r="FD214" s="93"/>
      <c r="FE214" s="93"/>
      <c r="FF214" s="93"/>
      <c r="FG214" s="93"/>
      <c r="FH214" s="93"/>
      <c r="FI214" s="93"/>
      <c r="FJ214" s="93"/>
      <c r="FK214" s="93"/>
      <c r="FL214" s="93"/>
      <c r="FM214" s="93"/>
      <c r="FN214" s="93"/>
      <c r="FO214" s="93"/>
      <c r="FP214" s="93"/>
      <c r="FQ214" s="93"/>
      <c r="FR214" s="93"/>
      <c r="FS214" s="93"/>
      <c r="FT214" s="93"/>
      <c r="FU214" s="93"/>
      <c r="FV214" s="93"/>
      <c r="FW214" s="93"/>
      <c r="FX214" s="93"/>
      <c r="FY214" s="93"/>
      <c r="FZ214" s="93"/>
      <c r="GA214" s="93"/>
      <c r="GB214" s="93"/>
      <c r="GC214" s="93"/>
      <c r="GD214" s="93"/>
      <c r="GE214" s="93"/>
      <c r="GF214" s="93"/>
      <c r="GG214" s="93"/>
      <c r="GH214" s="93"/>
      <c r="GI214" s="93"/>
      <c r="GJ214" s="93"/>
      <c r="GK214" s="93"/>
      <c r="GL214" s="93"/>
      <c r="GM214" s="93"/>
      <c r="GN214" s="93"/>
      <c r="GO214" s="93"/>
      <c r="GP214" s="93"/>
      <c r="GQ214" s="93"/>
      <c r="GR214" s="93"/>
      <c r="GS214" s="93"/>
      <c r="GT214" s="93"/>
      <c r="GU214" s="93"/>
      <c r="GV214" s="93"/>
      <c r="GW214" s="93"/>
      <c r="GX214" s="93"/>
      <c r="GY214" s="93"/>
      <c r="GZ214" s="93"/>
      <c r="HA214" s="93"/>
      <c r="HB214" s="93"/>
      <c r="HC214" s="93"/>
      <c r="HD214" s="93"/>
      <c r="HE214" s="93"/>
      <c r="HF214" s="93"/>
      <c r="HG214" s="93"/>
      <c r="HH214" s="93"/>
      <c r="HI214" s="93"/>
      <c r="HJ214" s="93"/>
      <c r="HK214" s="93"/>
      <c r="HL214" s="93"/>
      <c r="HM214" s="93"/>
      <c r="HN214" s="93"/>
      <c r="HO214" s="93"/>
      <c r="HP214" s="93"/>
      <c r="HQ214" s="93"/>
      <c r="HR214" s="93"/>
      <c r="HS214" s="93"/>
      <c r="HT214" s="93"/>
      <c r="HU214" s="93"/>
      <c r="HV214" s="93"/>
      <c r="HW214" s="93"/>
      <c r="HX214" s="93"/>
      <c r="HY214" s="93"/>
      <c r="HZ214" s="93"/>
      <c r="IA214" s="93"/>
      <c r="IB214" s="93"/>
      <c r="IC214" s="93"/>
      <c r="ID214" s="93"/>
      <c r="IE214" s="93"/>
      <c r="IF214" s="93"/>
    </row>
    <row r="215" spans="1:69" ht="46.5">
      <c r="A215" s="1">
        <f>A214+1</f>
        <v>136</v>
      </c>
      <c r="B215" s="180" t="s">
        <v>492</v>
      </c>
      <c r="C215" s="60" t="s">
        <v>71</v>
      </c>
      <c r="D215" s="4" t="s">
        <v>41</v>
      </c>
      <c r="E215" s="45">
        <f t="shared" si="66"/>
        <v>0.88</v>
      </c>
      <c r="F215" s="73"/>
      <c r="G215" s="5">
        <f t="shared" si="73"/>
        <v>0.88</v>
      </c>
      <c r="H215" s="48"/>
      <c r="I215" s="48"/>
      <c r="J215" s="48"/>
      <c r="K215" s="48"/>
      <c r="L215" s="48">
        <v>0.49</v>
      </c>
      <c r="M215" s="48"/>
      <c r="N215" s="48"/>
      <c r="O215" s="48"/>
      <c r="P215" s="48"/>
      <c r="Q215" s="48"/>
      <c r="R215" s="48"/>
      <c r="S215" s="48"/>
      <c r="T215" s="48"/>
      <c r="U215" s="46">
        <v>0.35</v>
      </c>
      <c r="V215" s="120">
        <v>0.35</v>
      </c>
      <c r="W215" s="120"/>
      <c r="X215" s="120"/>
      <c r="Y215" s="120">
        <v>0.04</v>
      </c>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1" t="s">
        <v>493</v>
      </c>
      <c r="BI215" s="60" t="s">
        <v>71</v>
      </c>
      <c r="BJ215" s="60" t="s">
        <v>494</v>
      </c>
      <c r="BK215" s="12" t="s">
        <v>120</v>
      </c>
      <c r="BL215" s="13" t="s">
        <v>190</v>
      </c>
      <c r="BM215" s="14" t="s">
        <v>935</v>
      </c>
      <c r="BN215" s="13" t="s">
        <v>1025</v>
      </c>
      <c r="BO215" s="15" t="s">
        <v>1147</v>
      </c>
      <c r="BQ215" s="17"/>
    </row>
    <row r="216" spans="1:69" ht="46.5">
      <c r="A216" s="1">
        <f>A215+1</f>
        <v>137</v>
      </c>
      <c r="B216" s="180" t="s">
        <v>995</v>
      </c>
      <c r="C216" s="60" t="s">
        <v>87</v>
      </c>
      <c r="D216" s="4" t="s">
        <v>41</v>
      </c>
      <c r="E216" s="45">
        <f t="shared" si="66"/>
        <v>0.27</v>
      </c>
      <c r="F216" s="5"/>
      <c r="G216" s="5">
        <f t="shared" si="73"/>
        <v>0.27</v>
      </c>
      <c r="H216" s="48"/>
      <c r="I216" s="48"/>
      <c r="J216" s="48"/>
      <c r="K216" s="48">
        <v>0.27</v>
      </c>
      <c r="L216" s="48"/>
      <c r="M216" s="48"/>
      <c r="N216" s="48"/>
      <c r="O216" s="48"/>
      <c r="P216" s="48"/>
      <c r="Q216" s="48"/>
      <c r="R216" s="48"/>
      <c r="S216" s="48"/>
      <c r="T216" s="48"/>
      <c r="U216" s="46">
        <f>SUM(V216:X216)</f>
        <v>0</v>
      </c>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1" t="s">
        <v>495</v>
      </c>
      <c r="BI216" s="60" t="s">
        <v>87</v>
      </c>
      <c r="BJ216" s="60" t="s">
        <v>496</v>
      </c>
      <c r="BK216" s="12" t="s">
        <v>120</v>
      </c>
      <c r="BL216" s="13" t="s">
        <v>190</v>
      </c>
      <c r="BM216" s="14" t="s">
        <v>935</v>
      </c>
      <c r="BN216" s="13" t="s">
        <v>1025</v>
      </c>
      <c r="BO216" s="15" t="s">
        <v>1147</v>
      </c>
      <c r="BQ216" s="17"/>
    </row>
    <row r="217" spans="1:69" ht="46.5">
      <c r="A217" s="1">
        <f aca="true" t="shared" si="74" ref="A217:A236">A216+1</f>
        <v>138</v>
      </c>
      <c r="B217" s="180" t="s">
        <v>497</v>
      </c>
      <c r="C217" s="59" t="s">
        <v>122</v>
      </c>
      <c r="D217" s="4" t="s">
        <v>41</v>
      </c>
      <c r="E217" s="45">
        <f t="shared" si="66"/>
        <v>1.0000000000000002</v>
      </c>
      <c r="F217" s="5"/>
      <c r="G217" s="5">
        <f t="shared" si="73"/>
        <v>1.0000000000000002</v>
      </c>
      <c r="H217" s="46">
        <v>0.45</v>
      </c>
      <c r="I217" s="46"/>
      <c r="J217" s="46"/>
      <c r="K217" s="46">
        <v>0.36</v>
      </c>
      <c r="L217" s="46">
        <v>0.07</v>
      </c>
      <c r="M217" s="46"/>
      <c r="N217" s="46"/>
      <c r="O217" s="46"/>
      <c r="P217" s="46"/>
      <c r="Q217" s="46"/>
      <c r="R217" s="46"/>
      <c r="S217" s="46"/>
      <c r="T217" s="46"/>
      <c r="U217" s="46">
        <f>SUM(V217:X217)</f>
        <v>0</v>
      </c>
      <c r="V217" s="84"/>
      <c r="W217" s="84"/>
      <c r="X217" s="84"/>
      <c r="Y217" s="84"/>
      <c r="Z217" s="84"/>
      <c r="AA217" s="84"/>
      <c r="AB217" s="84"/>
      <c r="AC217" s="84"/>
      <c r="AD217" s="84"/>
      <c r="AE217" s="84"/>
      <c r="AF217" s="84">
        <v>0.05</v>
      </c>
      <c r="AG217" s="84"/>
      <c r="AH217" s="84"/>
      <c r="AI217" s="84"/>
      <c r="AJ217" s="84">
        <v>0.02</v>
      </c>
      <c r="AK217" s="84"/>
      <c r="AL217" s="84"/>
      <c r="AM217" s="84"/>
      <c r="AN217" s="84"/>
      <c r="AO217" s="84"/>
      <c r="AP217" s="84"/>
      <c r="AQ217" s="84"/>
      <c r="AR217" s="84"/>
      <c r="AS217" s="84"/>
      <c r="AT217" s="84">
        <v>0.05</v>
      </c>
      <c r="AU217" s="84"/>
      <c r="AV217" s="84"/>
      <c r="AW217" s="84"/>
      <c r="AX217" s="84"/>
      <c r="AY217" s="84"/>
      <c r="AZ217" s="84"/>
      <c r="BA217" s="84"/>
      <c r="BB217" s="84"/>
      <c r="BC217" s="84"/>
      <c r="BD217" s="84"/>
      <c r="BE217" s="84"/>
      <c r="BF217" s="84"/>
      <c r="BG217" s="84"/>
      <c r="BH217" s="60" t="s">
        <v>123</v>
      </c>
      <c r="BI217" s="59" t="s">
        <v>122</v>
      </c>
      <c r="BJ217" s="14" t="s">
        <v>498</v>
      </c>
      <c r="BK217" s="12" t="s">
        <v>120</v>
      </c>
      <c r="BL217" s="13" t="s">
        <v>190</v>
      </c>
      <c r="BM217" s="14" t="s">
        <v>935</v>
      </c>
      <c r="BN217" s="13" t="s">
        <v>1025</v>
      </c>
      <c r="BO217" s="15" t="s">
        <v>1147</v>
      </c>
      <c r="BQ217" s="17"/>
    </row>
    <row r="218" spans="1:69" ht="46.5">
      <c r="A218" s="1">
        <f t="shared" si="74"/>
        <v>139</v>
      </c>
      <c r="B218" s="180" t="s">
        <v>499</v>
      </c>
      <c r="C218" s="46" t="s">
        <v>91</v>
      </c>
      <c r="D218" s="4" t="s">
        <v>41</v>
      </c>
      <c r="E218" s="5">
        <f t="shared" si="66"/>
        <v>0.3</v>
      </c>
      <c r="F218" s="5"/>
      <c r="G218" s="5">
        <f t="shared" si="73"/>
        <v>0.3</v>
      </c>
      <c r="H218" s="97"/>
      <c r="I218" s="97"/>
      <c r="J218" s="97"/>
      <c r="K218" s="97">
        <v>0.3</v>
      </c>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46" t="s">
        <v>500</v>
      </c>
      <c r="BI218" s="46" t="s">
        <v>91</v>
      </c>
      <c r="BJ218" s="46" t="s">
        <v>501</v>
      </c>
      <c r="BK218" s="12" t="s">
        <v>120</v>
      </c>
      <c r="BL218" s="13" t="s">
        <v>190</v>
      </c>
      <c r="BM218" s="14" t="s">
        <v>194</v>
      </c>
      <c r="BN218" s="13" t="s">
        <v>1025</v>
      </c>
      <c r="BO218" s="15" t="s">
        <v>1147</v>
      </c>
      <c r="BQ218" s="17"/>
    </row>
    <row r="219" spans="1:240" s="203" customFormat="1" ht="46.5">
      <c r="A219" s="1">
        <f t="shared" si="74"/>
        <v>140</v>
      </c>
      <c r="B219" s="180" t="s">
        <v>502</v>
      </c>
      <c r="C219" s="60" t="s">
        <v>95</v>
      </c>
      <c r="D219" s="4" t="s">
        <v>41</v>
      </c>
      <c r="E219" s="45">
        <f t="shared" si="66"/>
        <v>1.03</v>
      </c>
      <c r="F219" s="5"/>
      <c r="G219" s="5">
        <f t="shared" si="73"/>
        <v>1.03</v>
      </c>
      <c r="H219" s="46">
        <v>0.14</v>
      </c>
      <c r="I219" s="46"/>
      <c r="J219" s="46"/>
      <c r="K219" s="46"/>
      <c r="L219" s="46"/>
      <c r="M219" s="46">
        <f>SUM(N219:P219)</f>
        <v>0</v>
      </c>
      <c r="N219" s="46"/>
      <c r="O219" s="46"/>
      <c r="P219" s="46"/>
      <c r="Q219" s="46">
        <f>R219+S219+T219</f>
        <v>0</v>
      </c>
      <c r="R219" s="46"/>
      <c r="S219" s="46"/>
      <c r="T219" s="46"/>
      <c r="U219" s="6">
        <f>SUM(V219:X219)</f>
        <v>0.8800000000000001</v>
      </c>
      <c r="V219" s="84">
        <v>0.2</v>
      </c>
      <c r="W219" s="84">
        <v>0.68</v>
      </c>
      <c r="X219" s="84"/>
      <c r="Y219" s="84"/>
      <c r="Z219" s="84"/>
      <c r="AA219" s="84"/>
      <c r="AB219" s="84"/>
      <c r="AC219" s="84"/>
      <c r="AD219" s="84"/>
      <c r="AE219" s="84"/>
      <c r="AF219" s="84">
        <v>0.01</v>
      </c>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11" t="s">
        <v>96</v>
      </c>
      <c r="BI219" s="60" t="s">
        <v>95</v>
      </c>
      <c r="BJ219" s="60" t="s">
        <v>931</v>
      </c>
      <c r="BK219" s="12" t="s">
        <v>120</v>
      </c>
      <c r="BL219" s="13" t="s">
        <v>190</v>
      </c>
      <c r="BM219" s="14" t="s">
        <v>935</v>
      </c>
      <c r="BN219" s="13" t="s">
        <v>1024</v>
      </c>
      <c r="BO219" s="15" t="s">
        <v>1147</v>
      </c>
      <c r="BP219" s="16" t="s">
        <v>1045</v>
      </c>
      <c r="BQ219" s="17"/>
      <c r="BR219" s="17"/>
      <c r="BS219" s="18"/>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c r="EU219" s="17"/>
      <c r="EV219" s="17"/>
      <c r="EW219" s="17"/>
      <c r="EX219" s="17"/>
      <c r="EY219" s="17"/>
      <c r="EZ219" s="17"/>
      <c r="FA219" s="17"/>
      <c r="FB219" s="17"/>
      <c r="FC219" s="17"/>
      <c r="FD219" s="17"/>
      <c r="FE219" s="17"/>
      <c r="FF219" s="17"/>
      <c r="FG219" s="17"/>
      <c r="FH219" s="17"/>
      <c r="FI219" s="17"/>
      <c r="FJ219" s="17"/>
      <c r="FK219" s="17"/>
      <c r="FL219" s="17"/>
      <c r="FM219" s="17"/>
      <c r="FN219" s="17"/>
      <c r="FO219" s="17"/>
      <c r="FP219" s="17"/>
      <c r="FQ219" s="17"/>
      <c r="FR219" s="17"/>
      <c r="FS219" s="17"/>
      <c r="FT219" s="17"/>
      <c r="FU219" s="17"/>
      <c r="FV219" s="17"/>
      <c r="FW219" s="17"/>
      <c r="FX219" s="17"/>
      <c r="FY219" s="17"/>
      <c r="FZ219" s="17"/>
      <c r="GA219" s="17"/>
      <c r="GB219" s="17"/>
      <c r="GC219" s="17"/>
      <c r="GD219" s="17"/>
      <c r="GE219" s="17"/>
      <c r="GF219" s="17"/>
      <c r="GG219" s="17"/>
      <c r="GH219" s="17"/>
      <c r="GI219" s="17"/>
      <c r="GJ219" s="17"/>
      <c r="GK219" s="17"/>
      <c r="GL219" s="17"/>
      <c r="GM219" s="17"/>
      <c r="GN219" s="17"/>
      <c r="GO219" s="17"/>
      <c r="GP219" s="17"/>
      <c r="GQ219" s="17"/>
      <c r="GR219" s="17"/>
      <c r="GS219" s="17"/>
      <c r="GT219" s="17"/>
      <c r="GU219" s="17"/>
      <c r="GV219" s="17"/>
      <c r="GW219" s="17"/>
      <c r="GX219" s="17"/>
      <c r="GY219" s="17"/>
      <c r="GZ219" s="17"/>
      <c r="HA219" s="17"/>
      <c r="HB219" s="17"/>
      <c r="HC219" s="17"/>
      <c r="HD219" s="17"/>
      <c r="HE219" s="17"/>
      <c r="HF219" s="17"/>
      <c r="HG219" s="17"/>
      <c r="HH219" s="17"/>
      <c r="HI219" s="17"/>
      <c r="HJ219" s="17"/>
      <c r="HK219" s="17"/>
      <c r="HL219" s="17"/>
      <c r="HM219" s="17"/>
      <c r="HN219" s="17"/>
      <c r="HO219" s="17"/>
      <c r="HP219" s="17"/>
      <c r="HQ219" s="17"/>
      <c r="HR219" s="17"/>
      <c r="HS219" s="17"/>
      <c r="HT219" s="17"/>
      <c r="HU219" s="17"/>
      <c r="HV219" s="17"/>
      <c r="HW219" s="17"/>
      <c r="HX219" s="17"/>
      <c r="HY219" s="17"/>
      <c r="HZ219" s="17"/>
      <c r="IA219" s="17"/>
      <c r="IB219" s="17"/>
      <c r="IC219" s="17"/>
      <c r="ID219" s="17"/>
      <c r="IE219" s="17"/>
      <c r="IF219" s="17"/>
    </row>
    <row r="220" spans="1:240" s="203" customFormat="1" ht="46.5">
      <c r="A220" s="1">
        <f t="shared" si="74"/>
        <v>141</v>
      </c>
      <c r="B220" s="180" t="s">
        <v>503</v>
      </c>
      <c r="C220" s="60" t="s">
        <v>150</v>
      </c>
      <c r="D220" s="4" t="s">
        <v>41</v>
      </c>
      <c r="E220" s="45">
        <f t="shared" si="66"/>
        <v>0.7000000000000001</v>
      </c>
      <c r="F220" s="5"/>
      <c r="G220" s="5">
        <f t="shared" si="73"/>
        <v>0.7000000000000001</v>
      </c>
      <c r="H220" s="46"/>
      <c r="I220" s="46"/>
      <c r="J220" s="46"/>
      <c r="K220" s="46"/>
      <c r="L220" s="46"/>
      <c r="M220" s="46"/>
      <c r="N220" s="46"/>
      <c r="O220" s="46"/>
      <c r="P220" s="46"/>
      <c r="Q220" s="46"/>
      <c r="R220" s="46"/>
      <c r="S220" s="46"/>
      <c r="T220" s="46"/>
      <c r="U220" s="46">
        <f>SUM(V220:X220)</f>
        <v>0.67</v>
      </c>
      <c r="V220" s="84">
        <v>0.67</v>
      </c>
      <c r="W220" s="84"/>
      <c r="X220" s="84"/>
      <c r="Y220" s="84">
        <v>0.03</v>
      </c>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11" t="s">
        <v>151</v>
      </c>
      <c r="BI220" s="60" t="s">
        <v>150</v>
      </c>
      <c r="BJ220" s="60" t="s">
        <v>504</v>
      </c>
      <c r="BK220" s="12" t="s">
        <v>120</v>
      </c>
      <c r="BL220" s="13" t="s">
        <v>190</v>
      </c>
      <c r="BM220" s="14" t="s">
        <v>935</v>
      </c>
      <c r="BN220" s="13" t="s">
        <v>1025</v>
      </c>
      <c r="BO220" s="15" t="s">
        <v>1147</v>
      </c>
      <c r="BP220" s="16"/>
      <c r="BQ220" s="17"/>
      <c r="BR220" s="17"/>
      <c r="BS220" s="18"/>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FC220" s="17"/>
      <c r="FD220" s="17"/>
      <c r="FE220" s="17"/>
      <c r="FF220" s="17"/>
      <c r="FG220" s="17"/>
      <c r="FH220" s="17"/>
      <c r="FI220" s="17"/>
      <c r="FJ220" s="17"/>
      <c r="FK220" s="17"/>
      <c r="FL220" s="17"/>
      <c r="FM220" s="17"/>
      <c r="FN220" s="17"/>
      <c r="FO220" s="17"/>
      <c r="FP220" s="17"/>
      <c r="FQ220" s="17"/>
      <c r="FR220" s="17"/>
      <c r="FS220" s="17"/>
      <c r="FT220" s="17"/>
      <c r="FU220" s="17"/>
      <c r="FV220" s="17"/>
      <c r="FW220" s="17"/>
      <c r="FX220" s="17"/>
      <c r="FY220" s="17"/>
      <c r="FZ220" s="17"/>
      <c r="GA220" s="17"/>
      <c r="GB220" s="17"/>
      <c r="GC220" s="17"/>
      <c r="GD220" s="17"/>
      <c r="GE220" s="17"/>
      <c r="GF220" s="17"/>
      <c r="GG220" s="17"/>
      <c r="GH220" s="17"/>
      <c r="GI220" s="17"/>
      <c r="GJ220" s="17"/>
      <c r="GK220" s="17"/>
      <c r="GL220" s="17"/>
      <c r="GM220" s="17"/>
      <c r="GN220" s="17"/>
      <c r="GO220" s="17"/>
      <c r="GP220" s="17"/>
      <c r="GQ220" s="17"/>
      <c r="GR220" s="17"/>
      <c r="GS220" s="17"/>
      <c r="GT220" s="17"/>
      <c r="GU220" s="17"/>
      <c r="GV220" s="17"/>
      <c r="GW220" s="17"/>
      <c r="GX220" s="17"/>
      <c r="GY220" s="17"/>
      <c r="GZ220" s="17"/>
      <c r="HA220" s="17"/>
      <c r="HB220" s="17"/>
      <c r="HC220" s="17"/>
      <c r="HD220" s="17"/>
      <c r="HE220" s="17"/>
      <c r="HF220" s="17"/>
      <c r="HG220" s="17"/>
      <c r="HH220" s="17"/>
      <c r="HI220" s="17"/>
      <c r="HJ220" s="17"/>
      <c r="HK220" s="17"/>
      <c r="HL220" s="17"/>
      <c r="HM220" s="17"/>
      <c r="HN220" s="17"/>
      <c r="HO220" s="17"/>
      <c r="HP220" s="17"/>
      <c r="HQ220" s="17"/>
      <c r="HR220" s="17"/>
      <c r="HS220" s="17"/>
      <c r="HT220" s="17"/>
      <c r="HU220" s="17"/>
      <c r="HV220" s="17"/>
      <c r="HW220" s="17"/>
      <c r="HX220" s="17"/>
      <c r="HY220" s="17"/>
      <c r="HZ220" s="17"/>
      <c r="IA220" s="17"/>
      <c r="IB220" s="17"/>
      <c r="IC220" s="17"/>
      <c r="ID220" s="17"/>
      <c r="IE220" s="17"/>
      <c r="IF220" s="17"/>
    </row>
    <row r="221" spans="1:69" ht="46.5">
      <c r="A221" s="1">
        <f t="shared" si="74"/>
        <v>142</v>
      </c>
      <c r="B221" s="180" t="s">
        <v>505</v>
      </c>
      <c r="C221" s="60" t="s">
        <v>154</v>
      </c>
      <c r="D221" s="4" t="s">
        <v>41</v>
      </c>
      <c r="E221" s="45">
        <f t="shared" si="66"/>
        <v>0.27</v>
      </c>
      <c r="F221" s="5"/>
      <c r="G221" s="5">
        <f t="shared" si="73"/>
        <v>0.27</v>
      </c>
      <c r="H221" s="48">
        <v>0.12</v>
      </c>
      <c r="I221" s="48"/>
      <c r="J221" s="48"/>
      <c r="K221" s="48">
        <v>0.02</v>
      </c>
      <c r="L221" s="48">
        <v>0.01</v>
      </c>
      <c r="M221" s="48">
        <f>SUM(N221:P221)</f>
        <v>0</v>
      </c>
      <c r="N221" s="48"/>
      <c r="O221" s="48"/>
      <c r="P221" s="48"/>
      <c r="Q221" s="48">
        <f>R221+S221+T221</f>
        <v>0</v>
      </c>
      <c r="R221" s="48"/>
      <c r="S221" s="48"/>
      <c r="T221" s="48"/>
      <c r="U221" s="48">
        <f>SUM(V221:X221)</f>
        <v>0.12</v>
      </c>
      <c r="V221" s="120">
        <v>0.12</v>
      </c>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0" t="s">
        <v>155</v>
      </c>
      <c r="BI221" s="60" t="s">
        <v>154</v>
      </c>
      <c r="BJ221" s="14" t="s">
        <v>506</v>
      </c>
      <c r="BK221" s="12" t="s">
        <v>68</v>
      </c>
      <c r="BL221" s="13" t="s">
        <v>190</v>
      </c>
      <c r="BM221" s="14" t="s">
        <v>935</v>
      </c>
      <c r="BN221" s="13" t="s">
        <v>1025</v>
      </c>
      <c r="BO221" s="15" t="s">
        <v>1147</v>
      </c>
      <c r="BQ221" s="17"/>
    </row>
    <row r="222" spans="1:69" ht="46.5">
      <c r="A222" s="1">
        <f t="shared" si="74"/>
        <v>143</v>
      </c>
      <c r="B222" s="180" t="s">
        <v>507</v>
      </c>
      <c r="C222" s="46" t="s">
        <v>82</v>
      </c>
      <c r="D222" s="46" t="s">
        <v>41</v>
      </c>
      <c r="E222" s="97">
        <f t="shared" si="66"/>
        <v>0.37</v>
      </c>
      <c r="F222" s="88"/>
      <c r="G222" s="5">
        <f t="shared" si="73"/>
        <v>0.37</v>
      </c>
      <c r="H222" s="46"/>
      <c r="I222" s="46"/>
      <c r="J222" s="46"/>
      <c r="K222" s="46">
        <v>0.37</v>
      </c>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84" t="s">
        <v>161</v>
      </c>
      <c r="BI222" s="46" t="s">
        <v>82</v>
      </c>
      <c r="BJ222" s="46" t="s">
        <v>1049</v>
      </c>
      <c r="BK222" s="12" t="s">
        <v>120</v>
      </c>
      <c r="BL222" s="13" t="s">
        <v>190</v>
      </c>
      <c r="BM222" s="14" t="s">
        <v>935</v>
      </c>
      <c r="BN222" s="13" t="s">
        <v>1024</v>
      </c>
      <c r="BO222" s="15" t="s">
        <v>1147</v>
      </c>
      <c r="BQ222" s="17"/>
    </row>
    <row r="223" spans="1:240" s="203" customFormat="1" ht="46.5">
      <c r="A223" s="1">
        <f t="shared" si="74"/>
        <v>144</v>
      </c>
      <c r="B223" s="180" t="s">
        <v>508</v>
      </c>
      <c r="C223" s="42" t="s">
        <v>106</v>
      </c>
      <c r="D223" s="4" t="s">
        <v>41</v>
      </c>
      <c r="E223" s="97">
        <f t="shared" si="66"/>
        <v>0.45</v>
      </c>
      <c r="F223" s="88">
        <v>0.18</v>
      </c>
      <c r="G223" s="5">
        <f t="shared" si="73"/>
        <v>0.27</v>
      </c>
      <c r="H223" s="48"/>
      <c r="I223" s="48">
        <v>0.07</v>
      </c>
      <c r="J223" s="48"/>
      <c r="K223" s="48">
        <v>0.2</v>
      </c>
      <c r="L223" s="48"/>
      <c r="M223" s="48"/>
      <c r="N223" s="48"/>
      <c r="O223" s="48"/>
      <c r="P223" s="48"/>
      <c r="Q223" s="48"/>
      <c r="R223" s="48"/>
      <c r="S223" s="48"/>
      <c r="T223" s="48"/>
      <c r="U223" s="46">
        <f>SUM(V223:X223)</f>
        <v>0</v>
      </c>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1" t="s">
        <v>107</v>
      </c>
      <c r="BI223" s="42" t="s">
        <v>106</v>
      </c>
      <c r="BJ223" s="60" t="s">
        <v>509</v>
      </c>
      <c r="BK223" s="12" t="s">
        <v>120</v>
      </c>
      <c r="BL223" s="13" t="s">
        <v>190</v>
      </c>
      <c r="BM223" s="14" t="s">
        <v>935</v>
      </c>
      <c r="BN223" s="13" t="s">
        <v>1025</v>
      </c>
      <c r="BO223" s="15" t="s">
        <v>1147</v>
      </c>
      <c r="BP223" s="16"/>
      <c r="BQ223" s="17"/>
      <c r="BR223" s="17"/>
      <c r="BS223" s="18"/>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FC223" s="17"/>
      <c r="FD223" s="17"/>
      <c r="FE223" s="17"/>
      <c r="FF223" s="17"/>
      <c r="FG223" s="17"/>
      <c r="FH223" s="17"/>
      <c r="FI223" s="17"/>
      <c r="FJ223" s="17"/>
      <c r="FK223" s="17"/>
      <c r="FL223" s="17"/>
      <c r="FM223" s="17"/>
      <c r="FN223" s="17"/>
      <c r="FO223" s="17"/>
      <c r="FP223" s="17"/>
      <c r="FQ223" s="17"/>
      <c r="FR223" s="17"/>
      <c r="FS223" s="17"/>
      <c r="FT223" s="17"/>
      <c r="FU223" s="17"/>
      <c r="FV223" s="17"/>
      <c r="FW223" s="17"/>
      <c r="FX223" s="17"/>
      <c r="FY223" s="17"/>
      <c r="FZ223" s="17"/>
      <c r="GA223" s="17"/>
      <c r="GB223" s="17"/>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c r="HB223" s="17"/>
      <c r="HC223" s="17"/>
      <c r="HD223" s="17"/>
      <c r="HE223" s="17"/>
      <c r="HF223" s="17"/>
      <c r="HG223" s="17"/>
      <c r="HH223" s="17"/>
      <c r="HI223" s="17"/>
      <c r="HJ223" s="17"/>
      <c r="HK223" s="17"/>
      <c r="HL223" s="17"/>
      <c r="HM223" s="17"/>
      <c r="HN223" s="17"/>
      <c r="HO223" s="17"/>
      <c r="HP223" s="17"/>
      <c r="HQ223" s="17"/>
      <c r="HR223" s="17"/>
      <c r="HS223" s="17"/>
      <c r="HT223" s="17"/>
      <c r="HU223" s="17"/>
      <c r="HV223" s="17"/>
      <c r="HW223" s="17"/>
      <c r="HX223" s="17"/>
      <c r="HY223" s="17"/>
      <c r="HZ223" s="17"/>
      <c r="IA223" s="17"/>
      <c r="IB223" s="17"/>
      <c r="IC223" s="17"/>
      <c r="ID223" s="17"/>
      <c r="IE223" s="17"/>
      <c r="IF223" s="17"/>
    </row>
    <row r="224" spans="1:240" s="203" customFormat="1" ht="62.25">
      <c r="A224" s="1">
        <f t="shared" si="74"/>
        <v>145</v>
      </c>
      <c r="B224" s="180" t="s">
        <v>510</v>
      </c>
      <c r="C224" s="42" t="s">
        <v>71</v>
      </c>
      <c r="D224" s="4" t="s">
        <v>41</v>
      </c>
      <c r="E224" s="97">
        <f t="shared" si="66"/>
        <v>0.21000000000000002</v>
      </c>
      <c r="F224" s="88"/>
      <c r="G224" s="5">
        <f t="shared" si="73"/>
        <v>0.21000000000000002</v>
      </c>
      <c r="H224" s="48">
        <v>0.01</v>
      </c>
      <c r="I224" s="48"/>
      <c r="J224" s="48"/>
      <c r="K224" s="48">
        <v>0.08</v>
      </c>
      <c r="L224" s="48">
        <v>0.11</v>
      </c>
      <c r="M224" s="48"/>
      <c r="N224" s="48"/>
      <c r="O224" s="48"/>
      <c r="P224" s="48"/>
      <c r="Q224" s="48"/>
      <c r="R224" s="48"/>
      <c r="S224" s="48"/>
      <c r="T224" s="48"/>
      <c r="U224" s="46">
        <v>0</v>
      </c>
      <c r="V224" s="120"/>
      <c r="W224" s="120"/>
      <c r="X224" s="120"/>
      <c r="Y224" s="120"/>
      <c r="Z224" s="120">
        <v>0.01</v>
      </c>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1" t="s">
        <v>511</v>
      </c>
      <c r="BI224" s="42" t="s">
        <v>71</v>
      </c>
      <c r="BJ224" s="60" t="s">
        <v>512</v>
      </c>
      <c r="BK224" s="12" t="s">
        <v>120</v>
      </c>
      <c r="BL224" s="13" t="s">
        <v>190</v>
      </c>
      <c r="BM224" s="14" t="s">
        <v>935</v>
      </c>
      <c r="BN224" s="13" t="s">
        <v>1025</v>
      </c>
      <c r="BO224" s="15" t="s">
        <v>1147</v>
      </c>
      <c r="BP224" s="16"/>
      <c r="BQ224" s="17"/>
      <c r="BR224" s="17"/>
      <c r="BS224" s="18"/>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c r="HC224" s="17"/>
      <c r="HD224" s="17"/>
      <c r="HE224" s="17"/>
      <c r="HF224" s="17"/>
      <c r="HG224" s="17"/>
      <c r="HH224" s="17"/>
      <c r="HI224" s="17"/>
      <c r="HJ224" s="17"/>
      <c r="HK224" s="17"/>
      <c r="HL224" s="17"/>
      <c r="HM224" s="17"/>
      <c r="HN224" s="17"/>
      <c r="HO224" s="17"/>
      <c r="HP224" s="17"/>
      <c r="HQ224" s="17"/>
      <c r="HR224" s="17"/>
      <c r="HS224" s="17"/>
      <c r="HT224" s="17"/>
      <c r="HU224" s="17"/>
      <c r="HV224" s="17"/>
      <c r="HW224" s="17"/>
      <c r="HX224" s="17"/>
      <c r="HY224" s="17"/>
      <c r="HZ224" s="17"/>
      <c r="IA224" s="17"/>
      <c r="IB224" s="17"/>
      <c r="IC224" s="17"/>
      <c r="ID224" s="17"/>
      <c r="IE224" s="17"/>
      <c r="IF224" s="17"/>
    </row>
    <row r="225" spans="1:240" s="203" customFormat="1" ht="137.25" customHeight="1">
      <c r="A225" s="1">
        <f t="shared" si="74"/>
        <v>146</v>
      </c>
      <c r="B225" s="180" t="s">
        <v>513</v>
      </c>
      <c r="C225" s="42" t="s">
        <v>79</v>
      </c>
      <c r="D225" s="4" t="s">
        <v>41</v>
      </c>
      <c r="E225" s="97">
        <f t="shared" si="66"/>
        <v>0.34</v>
      </c>
      <c r="F225" s="88"/>
      <c r="G225" s="5">
        <f t="shared" si="73"/>
        <v>0.34</v>
      </c>
      <c r="H225" s="48">
        <v>0</v>
      </c>
      <c r="I225" s="48">
        <v>0.02</v>
      </c>
      <c r="J225" s="48">
        <v>0</v>
      </c>
      <c r="K225" s="48">
        <v>0.09</v>
      </c>
      <c r="L225" s="48">
        <v>0</v>
      </c>
      <c r="M225" s="48">
        <v>0</v>
      </c>
      <c r="N225" s="48">
        <v>0</v>
      </c>
      <c r="O225" s="48">
        <v>0</v>
      </c>
      <c r="P225" s="48">
        <v>0</v>
      </c>
      <c r="Q225" s="48">
        <v>0</v>
      </c>
      <c r="R225" s="48">
        <v>0</v>
      </c>
      <c r="S225" s="48">
        <v>0</v>
      </c>
      <c r="T225" s="48">
        <v>0</v>
      </c>
      <c r="U225" s="48">
        <v>0.09</v>
      </c>
      <c r="V225" s="48">
        <v>0.09</v>
      </c>
      <c r="W225" s="48">
        <v>0</v>
      </c>
      <c r="X225" s="48">
        <v>0</v>
      </c>
      <c r="Y225" s="48">
        <v>0</v>
      </c>
      <c r="Z225" s="48">
        <v>0</v>
      </c>
      <c r="AA225" s="48">
        <v>0</v>
      </c>
      <c r="AB225" s="48">
        <v>0</v>
      </c>
      <c r="AC225" s="48">
        <v>0</v>
      </c>
      <c r="AD225" s="48">
        <v>0</v>
      </c>
      <c r="AE225" s="48">
        <v>0</v>
      </c>
      <c r="AF225" s="48">
        <v>0.02</v>
      </c>
      <c r="AG225" s="48">
        <v>0</v>
      </c>
      <c r="AH225" s="48">
        <v>0</v>
      </c>
      <c r="AI225" s="48">
        <v>0</v>
      </c>
      <c r="AJ225" s="48">
        <v>0.04</v>
      </c>
      <c r="AK225" s="48">
        <v>0</v>
      </c>
      <c r="AL225" s="48">
        <v>0</v>
      </c>
      <c r="AM225" s="48">
        <v>0</v>
      </c>
      <c r="AN225" s="48">
        <v>0</v>
      </c>
      <c r="AO225" s="48">
        <v>0</v>
      </c>
      <c r="AP225" s="48">
        <v>0</v>
      </c>
      <c r="AQ225" s="48">
        <v>0</v>
      </c>
      <c r="AR225" s="48">
        <v>0</v>
      </c>
      <c r="AS225" s="48">
        <v>0</v>
      </c>
      <c r="AT225" s="48">
        <v>0.02</v>
      </c>
      <c r="AU225" s="48">
        <v>0</v>
      </c>
      <c r="AV225" s="48">
        <v>0</v>
      </c>
      <c r="AW225" s="48">
        <v>0</v>
      </c>
      <c r="AX225" s="48">
        <v>0</v>
      </c>
      <c r="AY225" s="48">
        <v>0</v>
      </c>
      <c r="AZ225" s="48">
        <v>0</v>
      </c>
      <c r="BA225" s="48">
        <v>0</v>
      </c>
      <c r="BB225" s="48">
        <v>0</v>
      </c>
      <c r="BC225" s="48">
        <v>0</v>
      </c>
      <c r="BD225" s="48">
        <v>0</v>
      </c>
      <c r="BE225" s="48">
        <v>0</v>
      </c>
      <c r="BF225" s="48">
        <v>0</v>
      </c>
      <c r="BG225" s="48">
        <v>0.06</v>
      </c>
      <c r="BH225" s="11" t="s">
        <v>514</v>
      </c>
      <c r="BI225" s="42" t="s">
        <v>79</v>
      </c>
      <c r="BJ225" s="60" t="s">
        <v>515</v>
      </c>
      <c r="BK225" s="12">
        <v>2023</v>
      </c>
      <c r="BL225" s="13" t="s">
        <v>516</v>
      </c>
      <c r="BM225" s="14" t="s">
        <v>977</v>
      </c>
      <c r="BN225" s="13" t="s">
        <v>1024</v>
      </c>
      <c r="BO225" s="15" t="s">
        <v>1147</v>
      </c>
      <c r="BP225" s="16"/>
      <c r="BQ225" s="17"/>
      <c r="BR225" s="17"/>
      <c r="BS225" s="18"/>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c r="HC225" s="17"/>
      <c r="HD225" s="17"/>
      <c r="HE225" s="17"/>
      <c r="HF225" s="17"/>
      <c r="HG225" s="17"/>
      <c r="HH225" s="17"/>
      <c r="HI225" s="17"/>
      <c r="HJ225" s="17"/>
      <c r="HK225" s="17"/>
      <c r="HL225" s="17"/>
      <c r="HM225" s="17"/>
      <c r="HN225" s="17"/>
      <c r="HO225" s="17"/>
      <c r="HP225" s="17"/>
      <c r="HQ225" s="17"/>
      <c r="HR225" s="17"/>
      <c r="HS225" s="17"/>
      <c r="HT225" s="17"/>
      <c r="HU225" s="17"/>
      <c r="HV225" s="17"/>
      <c r="HW225" s="17"/>
      <c r="HX225" s="17"/>
      <c r="HY225" s="17"/>
      <c r="HZ225" s="17"/>
      <c r="IA225" s="17"/>
      <c r="IB225" s="17"/>
      <c r="IC225" s="17"/>
      <c r="ID225" s="17"/>
      <c r="IE225" s="17"/>
      <c r="IF225" s="17"/>
    </row>
    <row r="226" spans="1:69" ht="148.5" customHeight="1">
      <c r="A226" s="1">
        <f>A225+1</f>
        <v>147</v>
      </c>
      <c r="B226" s="180" t="s">
        <v>517</v>
      </c>
      <c r="C226" s="46" t="s">
        <v>82</v>
      </c>
      <c r="D226" s="4" t="s">
        <v>41</v>
      </c>
      <c r="E226" s="45">
        <f t="shared" si="66"/>
        <v>0.4</v>
      </c>
      <c r="F226" s="5"/>
      <c r="G226" s="5">
        <f t="shared" si="73"/>
        <v>0.4</v>
      </c>
      <c r="H226" s="46">
        <v>0.01</v>
      </c>
      <c r="I226" s="46">
        <v>0.03</v>
      </c>
      <c r="J226" s="46">
        <v>0</v>
      </c>
      <c r="K226" s="46">
        <v>0.05</v>
      </c>
      <c r="L226" s="46">
        <v>0.1</v>
      </c>
      <c r="M226" s="46">
        <v>0</v>
      </c>
      <c r="N226" s="46">
        <v>0</v>
      </c>
      <c r="O226" s="46">
        <v>0</v>
      </c>
      <c r="P226" s="46">
        <v>0</v>
      </c>
      <c r="Q226" s="46">
        <v>0</v>
      </c>
      <c r="R226" s="46">
        <v>0</v>
      </c>
      <c r="S226" s="46">
        <v>0</v>
      </c>
      <c r="T226" s="46">
        <v>0</v>
      </c>
      <c r="U226" s="46">
        <v>0.04</v>
      </c>
      <c r="V226" s="46">
        <v>0.02</v>
      </c>
      <c r="W226" s="46">
        <v>0.02</v>
      </c>
      <c r="X226" s="46">
        <v>0</v>
      </c>
      <c r="Y226" s="46">
        <v>0</v>
      </c>
      <c r="Z226" s="46">
        <v>0</v>
      </c>
      <c r="AA226" s="46">
        <v>0</v>
      </c>
      <c r="AB226" s="46">
        <v>0</v>
      </c>
      <c r="AC226" s="46">
        <v>0</v>
      </c>
      <c r="AD226" s="46">
        <v>0</v>
      </c>
      <c r="AE226" s="46">
        <v>0</v>
      </c>
      <c r="AF226" s="46">
        <v>0.01</v>
      </c>
      <c r="AG226" s="46">
        <v>0</v>
      </c>
      <c r="AH226" s="46">
        <v>0</v>
      </c>
      <c r="AI226" s="46">
        <v>0</v>
      </c>
      <c r="AJ226" s="46">
        <v>0.01</v>
      </c>
      <c r="AK226" s="46">
        <v>0</v>
      </c>
      <c r="AL226" s="46">
        <v>0.14</v>
      </c>
      <c r="AM226" s="46">
        <v>0</v>
      </c>
      <c r="AN226" s="46">
        <v>0</v>
      </c>
      <c r="AO226" s="46">
        <v>0</v>
      </c>
      <c r="AP226" s="46">
        <v>0</v>
      </c>
      <c r="AQ226" s="46">
        <v>0</v>
      </c>
      <c r="AR226" s="46">
        <v>0</v>
      </c>
      <c r="AS226" s="46">
        <v>0</v>
      </c>
      <c r="AT226" s="46">
        <v>0.01</v>
      </c>
      <c r="AU226" s="46">
        <v>0</v>
      </c>
      <c r="AV226" s="46">
        <v>0</v>
      </c>
      <c r="AW226" s="46">
        <v>0</v>
      </c>
      <c r="AX226" s="46">
        <v>0</v>
      </c>
      <c r="AY226" s="46">
        <v>0</v>
      </c>
      <c r="AZ226" s="46">
        <v>0</v>
      </c>
      <c r="BA226" s="46">
        <v>0</v>
      </c>
      <c r="BB226" s="46">
        <v>0</v>
      </c>
      <c r="BC226" s="46">
        <v>0</v>
      </c>
      <c r="BD226" s="46">
        <v>0</v>
      </c>
      <c r="BE226" s="46">
        <v>0</v>
      </c>
      <c r="BF226" s="46">
        <v>0</v>
      </c>
      <c r="BG226" s="46">
        <v>0</v>
      </c>
      <c r="BH226" s="46" t="s">
        <v>1149</v>
      </c>
      <c r="BI226" s="46" t="s">
        <v>82</v>
      </c>
      <c r="BJ226" s="46" t="s">
        <v>518</v>
      </c>
      <c r="BK226" s="12" t="s">
        <v>120</v>
      </c>
      <c r="BL226" s="13" t="s">
        <v>190</v>
      </c>
      <c r="BM226" s="14" t="s">
        <v>194</v>
      </c>
      <c r="BN226" s="13" t="s">
        <v>1024</v>
      </c>
      <c r="BO226" s="15" t="s">
        <v>1147</v>
      </c>
      <c r="BP226" s="16" t="s">
        <v>1050</v>
      </c>
      <c r="BQ226" s="17"/>
    </row>
    <row r="227" spans="1:240" s="203" customFormat="1" ht="73.5" customHeight="1">
      <c r="A227" s="1">
        <f t="shared" si="74"/>
        <v>148</v>
      </c>
      <c r="B227" s="180" t="s">
        <v>519</v>
      </c>
      <c r="C227" s="42" t="s">
        <v>87</v>
      </c>
      <c r="D227" s="4" t="s">
        <v>41</v>
      </c>
      <c r="E227" s="45">
        <v>0.15000000000000002</v>
      </c>
      <c r="F227" s="5"/>
      <c r="G227" s="5">
        <v>0.15000000000000002</v>
      </c>
      <c r="H227" s="48"/>
      <c r="I227" s="48"/>
      <c r="J227" s="48"/>
      <c r="K227" s="48">
        <v>0.05</v>
      </c>
      <c r="L227" s="48">
        <v>0.02</v>
      </c>
      <c r="M227" s="48"/>
      <c r="N227" s="48"/>
      <c r="O227" s="48"/>
      <c r="P227" s="48"/>
      <c r="Q227" s="48"/>
      <c r="R227" s="48"/>
      <c r="S227" s="48"/>
      <c r="T227" s="48"/>
      <c r="U227" s="46">
        <v>0.08</v>
      </c>
      <c r="V227" s="120">
        <v>0.08</v>
      </c>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c r="AY227" s="120"/>
      <c r="AZ227" s="120"/>
      <c r="BA227" s="120"/>
      <c r="BB227" s="120"/>
      <c r="BC227" s="120"/>
      <c r="BD227" s="120"/>
      <c r="BE227" s="120"/>
      <c r="BF227" s="120"/>
      <c r="BG227" s="120"/>
      <c r="BH227" s="11" t="s">
        <v>520</v>
      </c>
      <c r="BI227" s="42" t="s">
        <v>87</v>
      </c>
      <c r="BJ227" s="60" t="s">
        <v>521</v>
      </c>
      <c r="BK227" s="12" t="s">
        <v>120</v>
      </c>
      <c r="BL227" s="13" t="s">
        <v>190</v>
      </c>
      <c r="BM227" s="14" t="s">
        <v>194</v>
      </c>
      <c r="BN227" s="13" t="s">
        <v>1025</v>
      </c>
      <c r="BO227" s="15" t="s">
        <v>1147</v>
      </c>
      <c r="BP227" s="16"/>
      <c r="BQ227" s="17"/>
      <c r="BR227" s="17"/>
      <c r="BS227" s="18"/>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c r="HB227" s="17"/>
      <c r="HC227" s="17"/>
      <c r="HD227" s="17"/>
      <c r="HE227" s="17"/>
      <c r="HF227" s="17"/>
      <c r="HG227" s="17"/>
      <c r="HH227" s="17"/>
      <c r="HI227" s="17"/>
      <c r="HJ227" s="17"/>
      <c r="HK227" s="17"/>
      <c r="HL227" s="17"/>
      <c r="HM227" s="17"/>
      <c r="HN227" s="17"/>
      <c r="HO227" s="17"/>
      <c r="HP227" s="17"/>
      <c r="HQ227" s="17"/>
      <c r="HR227" s="17"/>
      <c r="HS227" s="17"/>
      <c r="HT227" s="17"/>
      <c r="HU227" s="17"/>
      <c r="HV227" s="17"/>
      <c r="HW227" s="17"/>
      <c r="HX227" s="17"/>
      <c r="HY227" s="17"/>
      <c r="HZ227" s="17"/>
      <c r="IA227" s="17"/>
      <c r="IB227" s="17"/>
      <c r="IC227" s="17"/>
      <c r="ID227" s="17"/>
      <c r="IE227" s="17"/>
      <c r="IF227" s="17"/>
    </row>
    <row r="228" spans="1:240" s="203" customFormat="1" ht="54" customHeight="1">
      <c r="A228" s="1">
        <f t="shared" si="74"/>
        <v>149</v>
      </c>
      <c r="B228" s="180" t="s">
        <v>522</v>
      </c>
      <c r="C228" s="42" t="s">
        <v>130</v>
      </c>
      <c r="D228" s="4" t="s">
        <v>41</v>
      </c>
      <c r="E228" s="45">
        <v>0.08</v>
      </c>
      <c r="F228" s="5"/>
      <c r="G228" s="5">
        <v>0.08</v>
      </c>
      <c r="H228" s="48">
        <v>0</v>
      </c>
      <c r="I228" s="48">
        <v>0</v>
      </c>
      <c r="J228" s="48">
        <v>0</v>
      </c>
      <c r="K228" s="48">
        <v>0.02</v>
      </c>
      <c r="L228" s="48">
        <v>0.02</v>
      </c>
      <c r="M228" s="48">
        <v>0</v>
      </c>
      <c r="N228" s="48">
        <v>0</v>
      </c>
      <c r="O228" s="48">
        <v>0</v>
      </c>
      <c r="P228" s="48">
        <v>0</v>
      </c>
      <c r="Q228" s="48">
        <v>0</v>
      </c>
      <c r="R228" s="48">
        <v>0</v>
      </c>
      <c r="S228" s="48">
        <v>0</v>
      </c>
      <c r="T228" s="48">
        <v>0</v>
      </c>
      <c r="U228" s="46">
        <v>0.02</v>
      </c>
      <c r="V228" s="120">
        <v>0.02</v>
      </c>
      <c r="W228" s="120">
        <v>0</v>
      </c>
      <c r="X228" s="120">
        <v>0</v>
      </c>
      <c r="Y228" s="120">
        <v>0</v>
      </c>
      <c r="Z228" s="120">
        <v>0</v>
      </c>
      <c r="AA228" s="120">
        <v>0</v>
      </c>
      <c r="AB228" s="120">
        <v>0</v>
      </c>
      <c r="AC228" s="120">
        <v>0</v>
      </c>
      <c r="AD228" s="120">
        <v>0</v>
      </c>
      <c r="AE228" s="120">
        <v>0</v>
      </c>
      <c r="AF228" s="120">
        <v>0</v>
      </c>
      <c r="AG228" s="120">
        <v>0</v>
      </c>
      <c r="AH228" s="120">
        <v>0</v>
      </c>
      <c r="AI228" s="120">
        <v>0</v>
      </c>
      <c r="AJ228" s="120">
        <v>0</v>
      </c>
      <c r="AK228" s="120">
        <v>0</v>
      </c>
      <c r="AL228" s="120">
        <v>0</v>
      </c>
      <c r="AM228" s="120">
        <v>0</v>
      </c>
      <c r="AN228" s="120">
        <v>0</v>
      </c>
      <c r="AO228" s="120">
        <v>0</v>
      </c>
      <c r="AP228" s="120">
        <v>0</v>
      </c>
      <c r="AQ228" s="120">
        <v>0</v>
      </c>
      <c r="AR228" s="120">
        <v>0</v>
      </c>
      <c r="AS228" s="120">
        <v>0</v>
      </c>
      <c r="AT228" s="120">
        <v>0</v>
      </c>
      <c r="AU228" s="120">
        <v>0</v>
      </c>
      <c r="AV228" s="120">
        <v>0</v>
      </c>
      <c r="AW228" s="120">
        <v>0</v>
      </c>
      <c r="AX228" s="120">
        <v>0</v>
      </c>
      <c r="AY228" s="120">
        <v>0</v>
      </c>
      <c r="AZ228" s="120">
        <v>0</v>
      </c>
      <c r="BA228" s="120">
        <v>0</v>
      </c>
      <c r="BB228" s="120">
        <v>0</v>
      </c>
      <c r="BC228" s="120">
        <v>0</v>
      </c>
      <c r="BD228" s="120">
        <v>0</v>
      </c>
      <c r="BE228" s="120">
        <v>0</v>
      </c>
      <c r="BF228" s="120">
        <v>0</v>
      </c>
      <c r="BG228" s="120">
        <v>0.02</v>
      </c>
      <c r="BH228" s="10" t="s">
        <v>523</v>
      </c>
      <c r="BI228" s="42" t="s">
        <v>130</v>
      </c>
      <c r="BJ228" s="10" t="s">
        <v>524</v>
      </c>
      <c r="BK228" s="12" t="s">
        <v>965</v>
      </c>
      <c r="BL228" s="13" t="s">
        <v>190</v>
      </c>
      <c r="BM228" s="14" t="s">
        <v>194</v>
      </c>
      <c r="BN228" s="13" t="s">
        <v>1025</v>
      </c>
      <c r="BO228" s="15" t="s">
        <v>1147</v>
      </c>
      <c r="BP228" s="16"/>
      <c r="BQ228" s="17"/>
      <c r="BR228" s="17"/>
      <c r="BS228" s="18"/>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FC228" s="17"/>
      <c r="FD228" s="17"/>
      <c r="FE228" s="17"/>
      <c r="FF228" s="17"/>
      <c r="FG228" s="17"/>
      <c r="FH228" s="17"/>
      <c r="FI228" s="17"/>
      <c r="FJ228" s="17"/>
      <c r="FK228" s="17"/>
      <c r="FL228" s="17"/>
      <c r="FM228" s="17"/>
      <c r="FN228" s="17"/>
      <c r="FO228" s="17"/>
      <c r="FP228" s="17"/>
      <c r="FQ228" s="17"/>
      <c r="FR228" s="17"/>
      <c r="FS228" s="17"/>
      <c r="FT228" s="17"/>
      <c r="FU228" s="17"/>
      <c r="FV228" s="17"/>
      <c r="FW228" s="17"/>
      <c r="FX228" s="17"/>
      <c r="FY228" s="17"/>
      <c r="FZ228" s="17"/>
      <c r="GA228" s="17"/>
      <c r="GB228" s="17"/>
      <c r="GC228" s="17"/>
      <c r="GD228" s="17"/>
      <c r="GE228" s="17"/>
      <c r="GF228" s="17"/>
      <c r="GG228" s="17"/>
      <c r="GH228" s="17"/>
      <c r="GI228" s="17"/>
      <c r="GJ228" s="17"/>
      <c r="GK228" s="17"/>
      <c r="GL228" s="17"/>
      <c r="GM228" s="17"/>
      <c r="GN228" s="17"/>
      <c r="GO228" s="17"/>
      <c r="GP228" s="17"/>
      <c r="GQ228" s="17"/>
      <c r="GR228" s="17"/>
      <c r="GS228" s="17"/>
      <c r="GT228" s="17"/>
      <c r="GU228" s="17"/>
      <c r="GV228" s="17"/>
      <c r="GW228" s="17"/>
      <c r="GX228" s="17"/>
      <c r="GY228" s="17"/>
      <c r="GZ228" s="17"/>
      <c r="HA228" s="17"/>
      <c r="HB228" s="17"/>
      <c r="HC228" s="17"/>
      <c r="HD228" s="17"/>
      <c r="HE228" s="17"/>
      <c r="HF228" s="17"/>
      <c r="HG228" s="17"/>
      <c r="HH228" s="17"/>
      <c r="HI228" s="17"/>
      <c r="HJ228" s="17"/>
      <c r="HK228" s="17"/>
      <c r="HL228" s="17"/>
      <c r="HM228" s="17"/>
      <c r="HN228" s="17"/>
      <c r="HO228" s="17"/>
      <c r="HP228" s="17"/>
      <c r="HQ228" s="17"/>
      <c r="HR228" s="17"/>
      <c r="HS228" s="17"/>
      <c r="HT228" s="17"/>
      <c r="HU228" s="17"/>
      <c r="HV228" s="17"/>
      <c r="HW228" s="17"/>
      <c r="HX228" s="17"/>
      <c r="HY228" s="17"/>
      <c r="HZ228" s="17"/>
      <c r="IA228" s="17"/>
      <c r="IB228" s="17"/>
      <c r="IC228" s="17"/>
      <c r="ID228" s="17"/>
      <c r="IE228" s="17"/>
      <c r="IF228" s="17"/>
    </row>
    <row r="229" spans="1:240" s="203" customFormat="1" ht="69" customHeight="1">
      <c r="A229" s="1">
        <f t="shared" si="74"/>
        <v>150</v>
      </c>
      <c r="B229" s="180" t="s">
        <v>525</v>
      </c>
      <c r="C229" s="42" t="s">
        <v>122</v>
      </c>
      <c r="D229" s="4" t="s">
        <v>41</v>
      </c>
      <c r="E229" s="45">
        <v>0.15000000000000002</v>
      </c>
      <c r="F229" s="5"/>
      <c r="G229" s="5">
        <v>0.15000000000000002</v>
      </c>
      <c r="H229" s="48">
        <v>0</v>
      </c>
      <c r="I229" s="48">
        <v>0</v>
      </c>
      <c r="J229" s="48">
        <v>0</v>
      </c>
      <c r="K229" s="48">
        <v>0.04</v>
      </c>
      <c r="L229" s="48">
        <v>0.03</v>
      </c>
      <c r="M229" s="48">
        <v>0</v>
      </c>
      <c r="N229" s="48">
        <v>0</v>
      </c>
      <c r="O229" s="48">
        <v>0</v>
      </c>
      <c r="P229" s="48">
        <v>0</v>
      </c>
      <c r="Q229" s="48">
        <v>0</v>
      </c>
      <c r="R229" s="48">
        <v>0</v>
      </c>
      <c r="S229" s="48">
        <v>0</v>
      </c>
      <c r="T229" s="48">
        <v>0</v>
      </c>
      <c r="U229" s="46">
        <v>0.03</v>
      </c>
      <c r="V229" s="120">
        <v>0.03</v>
      </c>
      <c r="W229" s="120">
        <v>0</v>
      </c>
      <c r="X229" s="120">
        <v>0</v>
      </c>
      <c r="Y229" s="120">
        <v>0</v>
      </c>
      <c r="Z229" s="120">
        <v>0</v>
      </c>
      <c r="AA229" s="120">
        <v>0</v>
      </c>
      <c r="AB229" s="120">
        <v>0</v>
      </c>
      <c r="AC229" s="120">
        <v>0</v>
      </c>
      <c r="AD229" s="120">
        <v>0</v>
      </c>
      <c r="AE229" s="120">
        <v>0</v>
      </c>
      <c r="AF229" s="120">
        <v>0</v>
      </c>
      <c r="AG229" s="120">
        <v>0</v>
      </c>
      <c r="AH229" s="120">
        <v>0</v>
      </c>
      <c r="AI229" s="120">
        <v>0</v>
      </c>
      <c r="AJ229" s="120">
        <v>0.02</v>
      </c>
      <c r="AK229" s="120">
        <v>0</v>
      </c>
      <c r="AL229" s="120">
        <v>0.03</v>
      </c>
      <c r="AM229" s="120">
        <v>0</v>
      </c>
      <c r="AN229" s="120">
        <v>0</v>
      </c>
      <c r="AO229" s="120">
        <v>0</v>
      </c>
      <c r="AP229" s="120">
        <v>0</v>
      </c>
      <c r="AQ229" s="120">
        <v>0</v>
      </c>
      <c r="AR229" s="120">
        <v>0</v>
      </c>
      <c r="AS229" s="120">
        <v>0</v>
      </c>
      <c r="AT229" s="120">
        <v>0</v>
      </c>
      <c r="AU229" s="120">
        <v>0</v>
      </c>
      <c r="AV229" s="120">
        <v>0</v>
      </c>
      <c r="AW229" s="120">
        <v>0</v>
      </c>
      <c r="AX229" s="120">
        <v>0</v>
      </c>
      <c r="AY229" s="120">
        <v>0</v>
      </c>
      <c r="AZ229" s="120">
        <v>0</v>
      </c>
      <c r="BA229" s="120">
        <v>0</v>
      </c>
      <c r="BB229" s="120">
        <v>0</v>
      </c>
      <c r="BC229" s="120">
        <v>0</v>
      </c>
      <c r="BD229" s="120">
        <v>0</v>
      </c>
      <c r="BE229" s="120">
        <v>0</v>
      </c>
      <c r="BF229" s="120">
        <v>0</v>
      </c>
      <c r="BG229" s="120">
        <v>0</v>
      </c>
      <c r="BH229" s="60" t="s">
        <v>526</v>
      </c>
      <c r="BI229" s="42" t="s">
        <v>122</v>
      </c>
      <c r="BJ229" s="14" t="s">
        <v>527</v>
      </c>
      <c r="BK229" s="12" t="s">
        <v>374</v>
      </c>
      <c r="BL229" s="13" t="s">
        <v>190</v>
      </c>
      <c r="BM229" s="14" t="s">
        <v>194</v>
      </c>
      <c r="BN229" s="13" t="s">
        <v>1024</v>
      </c>
      <c r="BO229" s="15" t="s">
        <v>1147</v>
      </c>
      <c r="BP229" s="16"/>
      <c r="BQ229" s="17"/>
      <c r="BR229" s="17"/>
      <c r="BS229" s="18"/>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FC229" s="17"/>
      <c r="FD229" s="17"/>
      <c r="FE229" s="17"/>
      <c r="FF229" s="17"/>
      <c r="FG229" s="17"/>
      <c r="FH229" s="17"/>
      <c r="FI229" s="17"/>
      <c r="FJ229" s="17"/>
      <c r="FK229" s="17"/>
      <c r="FL229" s="17"/>
      <c r="FM229" s="17"/>
      <c r="FN229" s="17"/>
      <c r="FO229" s="17"/>
      <c r="FP229" s="17"/>
      <c r="FQ229" s="17"/>
      <c r="FR229" s="17"/>
      <c r="FS229" s="17"/>
      <c r="FT229" s="17"/>
      <c r="FU229" s="17"/>
      <c r="FV229" s="17"/>
      <c r="FW229" s="17"/>
      <c r="FX229" s="17"/>
      <c r="FY229" s="17"/>
      <c r="FZ229" s="17"/>
      <c r="GA229" s="17"/>
      <c r="GB229" s="17"/>
      <c r="GC229" s="17"/>
      <c r="GD229" s="17"/>
      <c r="GE229" s="17"/>
      <c r="GF229" s="17"/>
      <c r="GG229" s="17"/>
      <c r="GH229" s="17"/>
      <c r="GI229" s="17"/>
      <c r="GJ229" s="17"/>
      <c r="GK229" s="17"/>
      <c r="GL229" s="17"/>
      <c r="GM229" s="17"/>
      <c r="GN229" s="17"/>
      <c r="GO229" s="17"/>
      <c r="GP229" s="17"/>
      <c r="GQ229" s="17"/>
      <c r="GR229" s="17"/>
      <c r="GS229" s="17"/>
      <c r="GT229" s="17"/>
      <c r="GU229" s="17"/>
      <c r="GV229" s="17"/>
      <c r="GW229" s="17"/>
      <c r="GX229" s="17"/>
      <c r="GY229" s="17"/>
      <c r="GZ229" s="17"/>
      <c r="HA229" s="17"/>
      <c r="HB229" s="17"/>
      <c r="HC229" s="17"/>
      <c r="HD229" s="17"/>
      <c r="HE229" s="17"/>
      <c r="HF229" s="17"/>
      <c r="HG229" s="17"/>
      <c r="HH229" s="17"/>
      <c r="HI229" s="17"/>
      <c r="HJ229" s="17"/>
      <c r="HK229" s="17"/>
      <c r="HL229" s="17"/>
      <c r="HM229" s="17"/>
      <c r="HN229" s="17"/>
      <c r="HO229" s="17"/>
      <c r="HP229" s="17"/>
      <c r="HQ229" s="17"/>
      <c r="HR229" s="17"/>
      <c r="HS229" s="17"/>
      <c r="HT229" s="17"/>
      <c r="HU229" s="17"/>
      <c r="HV229" s="17"/>
      <c r="HW229" s="17"/>
      <c r="HX229" s="17"/>
      <c r="HY229" s="17"/>
      <c r="HZ229" s="17"/>
      <c r="IA229" s="17"/>
      <c r="IB229" s="17"/>
      <c r="IC229" s="17"/>
      <c r="ID229" s="17"/>
      <c r="IE229" s="17"/>
      <c r="IF229" s="17"/>
    </row>
    <row r="230" spans="1:240" s="203" customFormat="1" ht="93" customHeight="1">
      <c r="A230" s="1">
        <f t="shared" si="74"/>
        <v>151</v>
      </c>
      <c r="B230" s="180" t="s">
        <v>528</v>
      </c>
      <c r="C230" s="42" t="s">
        <v>134</v>
      </c>
      <c r="D230" s="4" t="s">
        <v>41</v>
      </c>
      <c r="E230" s="45">
        <v>0.13999999999999999</v>
      </c>
      <c r="F230" s="5"/>
      <c r="G230" s="5">
        <v>0.13999999999999999</v>
      </c>
      <c r="H230" s="48">
        <v>0</v>
      </c>
      <c r="I230" s="48">
        <v>0</v>
      </c>
      <c r="J230" s="48">
        <v>0</v>
      </c>
      <c r="K230" s="48">
        <v>0.04</v>
      </c>
      <c r="L230" s="48">
        <v>0.08</v>
      </c>
      <c r="M230" s="48">
        <v>0</v>
      </c>
      <c r="N230" s="48">
        <v>0</v>
      </c>
      <c r="O230" s="48">
        <v>0</v>
      </c>
      <c r="P230" s="48">
        <v>0</v>
      </c>
      <c r="Q230" s="48">
        <v>0</v>
      </c>
      <c r="R230" s="48">
        <v>0</v>
      </c>
      <c r="S230" s="48">
        <v>0</v>
      </c>
      <c r="T230" s="48">
        <v>0</v>
      </c>
      <c r="U230" s="46">
        <v>0.02</v>
      </c>
      <c r="V230" s="120">
        <v>0.02</v>
      </c>
      <c r="W230" s="120">
        <v>0</v>
      </c>
      <c r="X230" s="120">
        <v>0</v>
      </c>
      <c r="Y230" s="120">
        <v>0</v>
      </c>
      <c r="Z230" s="120">
        <v>0</v>
      </c>
      <c r="AA230" s="120">
        <v>0</v>
      </c>
      <c r="AB230" s="120">
        <v>0</v>
      </c>
      <c r="AC230" s="120">
        <v>0</v>
      </c>
      <c r="AD230" s="120">
        <v>0</v>
      </c>
      <c r="AE230" s="120">
        <v>0</v>
      </c>
      <c r="AF230" s="120">
        <v>0</v>
      </c>
      <c r="AG230" s="120">
        <v>0</v>
      </c>
      <c r="AH230" s="120">
        <v>0</v>
      </c>
      <c r="AI230" s="120">
        <v>0</v>
      </c>
      <c r="AJ230" s="120">
        <v>0</v>
      </c>
      <c r="AK230" s="120">
        <v>0</v>
      </c>
      <c r="AL230" s="120">
        <v>0</v>
      </c>
      <c r="AM230" s="120">
        <v>0</v>
      </c>
      <c r="AN230" s="120">
        <v>0</v>
      </c>
      <c r="AO230" s="120">
        <v>0</v>
      </c>
      <c r="AP230" s="120">
        <v>0</v>
      </c>
      <c r="AQ230" s="120">
        <v>0</v>
      </c>
      <c r="AR230" s="120">
        <v>0</v>
      </c>
      <c r="AS230" s="120">
        <v>0</v>
      </c>
      <c r="AT230" s="120">
        <v>0</v>
      </c>
      <c r="AU230" s="120">
        <v>0</v>
      </c>
      <c r="AV230" s="120">
        <v>0</v>
      </c>
      <c r="AW230" s="120">
        <v>0</v>
      </c>
      <c r="AX230" s="120">
        <v>0</v>
      </c>
      <c r="AY230" s="120">
        <v>0</v>
      </c>
      <c r="AZ230" s="120">
        <v>0</v>
      </c>
      <c r="BA230" s="120">
        <v>0</v>
      </c>
      <c r="BB230" s="120">
        <v>0</v>
      </c>
      <c r="BC230" s="120">
        <v>0</v>
      </c>
      <c r="BD230" s="120">
        <v>0</v>
      </c>
      <c r="BE230" s="120">
        <v>0</v>
      </c>
      <c r="BF230" s="120">
        <v>0</v>
      </c>
      <c r="BG230" s="120">
        <v>0</v>
      </c>
      <c r="BH230" s="46" t="s">
        <v>529</v>
      </c>
      <c r="BI230" s="42" t="s">
        <v>134</v>
      </c>
      <c r="BJ230" s="60" t="s">
        <v>530</v>
      </c>
      <c r="BK230" s="12" t="s">
        <v>120</v>
      </c>
      <c r="BL230" s="13" t="s">
        <v>190</v>
      </c>
      <c r="BM230" s="14" t="s">
        <v>194</v>
      </c>
      <c r="BN230" s="13" t="s">
        <v>1025</v>
      </c>
      <c r="BO230" s="15" t="s">
        <v>1147</v>
      </c>
      <c r="BP230" s="16" t="s">
        <v>1031</v>
      </c>
      <c r="BQ230" s="17"/>
      <c r="BR230" s="17"/>
      <c r="BS230" s="18"/>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FC230" s="17"/>
      <c r="FD230" s="17"/>
      <c r="FE230" s="17"/>
      <c r="FF230" s="17"/>
      <c r="FG230" s="17"/>
      <c r="FH230" s="17"/>
      <c r="FI230" s="17"/>
      <c r="FJ230" s="17"/>
      <c r="FK230" s="17"/>
      <c r="FL230" s="17"/>
      <c r="FM230" s="17"/>
      <c r="FN230" s="17"/>
      <c r="FO230" s="17"/>
      <c r="FP230" s="17"/>
      <c r="FQ230" s="17"/>
      <c r="FR230" s="17"/>
      <c r="FS230" s="17"/>
      <c r="FT230" s="17"/>
      <c r="FU230" s="17"/>
      <c r="FV230" s="17"/>
      <c r="FW230" s="17"/>
      <c r="FX230" s="17"/>
      <c r="FY230" s="17"/>
      <c r="FZ230" s="17"/>
      <c r="GA230" s="17"/>
      <c r="GB230" s="17"/>
      <c r="GC230" s="17"/>
      <c r="GD230" s="17"/>
      <c r="GE230" s="17"/>
      <c r="GF230" s="17"/>
      <c r="GG230" s="17"/>
      <c r="GH230" s="17"/>
      <c r="GI230" s="17"/>
      <c r="GJ230" s="17"/>
      <c r="GK230" s="17"/>
      <c r="GL230" s="17"/>
      <c r="GM230" s="17"/>
      <c r="GN230" s="17"/>
      <c r="GO230" s="17"/>
      <c r="GP230" s="17"/>
      <c r="GQ230" s="17"/>
      <c r="GR230" s="17"/>
      <c r="GS230" s="17"/>
      <c r="GT230" s="17"/>
      <c r="GU230" s="17"/>
      <c r="GV230" s="17"/>
      <c r="GW230" s="17"/>
      <c r="GX230" s="17"/>
      <c r="GY230" s="17"/>
      <c r="GZ230" s="17"/>
      <c r="HA230" s="17"/>
      <c r="HB230" s="17"/>
      <c r="HC230" s="17"/>
      <c r="HD230" s="17"/>
      <c r="HE230" s="17"/>
      <c r="HF230" s="17"/>
      <c r="HG230" s="17"/>
      <c r="HH230" s="17"/>
      <c r="HI230" s="17"/>
      <c r="HJ230" s="17"/>
      <c r="HK230" s="17"/>
      <c r="HL230" s="17"/>
      <c r="HM230" s="17"/>
      <c r="HN230" s="17"/>
      <c r="HO230" s="17"/>
      <c r="HP230" s="17"/>
      <c r="HQ230" s="17"/>
      <c r="HR230" s="17"/>
      <c r="HS230" s="17"/>
      <c r="HT230" s="17"/>
      <c r="HU230" s="17"/>
      <c r="HV230" s="17"/>
      <c r="HW230" s="17"/>
      <c r="HX230" s="17"/>
      <c r="HY230" s="17"/>
      <c r="HZ230" s="17"/>
      <c r="IA230" s="17"/>
      <c r="IB230" s="17"/>
      <c r="IC230" s="17"/>
      <c r="ID230" s="17"/>
      <c r="IE230" s="17"/>
      <c r="IF230" s="17"/>
    </row>
    <row r="231" spans="1:240" s="203" customFormat="1" ht="135.75" customHeight="1">
      <c r="A231" s="1">
        <f t="shared" si="74"/>
        <v>152</v>
      </c>
      <c r="B231" s="180" t="s">
        <v>531</v>
      </c>
      <c r="C231" s="42" t="s">
        <v>138</v>
      </c>
      <c r="D231" s="4" t="s">
        <v>41</v>
      </c>
      <c r="E231" s="45">
        <v>0.29</v>
      </c>
      <c r="F231" s="5"/>
      <c r="G231" s="5">
        <v>0.29</v>
      </c>
      <c r="H231" s="48">
        <v>0.02</v>
      </c>
      <c r="I231" s="48">
        <v>0.01</v>
      </c>
      <c r="J231" s="48">
        <v>0</v>
      </c>
      <c r="K231" s="48">
        <v>0.06</v>
      </c>
      <c r="L231" s="48">
        <v>0.06</v>
      </c>
      <c r="M231" s="48"/>
      <c r="N231" s="48"/>
      <c r="O231" s="48"/>
      <c r="P231" s="48"/>
      <c r="Q231" s="48"/>
      <c r="R231" s="48"/>
      <c r="S231" s="48"/>
      <c r="T231" s="48"/>
      <c r="U231" s="46">
        <v>0.03</v>
      </c>
      <c r="V231" s="120">
        <v>0.03</v>
      </c>
      <c r="W231" s="120"/>
      <c r="X231" s="120"/>
      <c r="Y231" s="120"/>
      <c r="Z231" s="120"/>
      <c r="AA231" s="120"/>
      <c r="AB231" s="120"/>
      <c r="AC231" s="120"/>
      <c r="AD231" s="120"/>
      <c r="AE231" s="120"/>
      <c r="AF231" s="120">
        <v>0.02</v>
      </c>
      <c r="AG231" s="120"/>
      <c r="AH231" s="120"/>
      <c r="AI231" s="120"/>
      <c r="AJ231" s="120">
        <v>0.04</v>
      </c>
      <c r="AK231" s="120"/>
      <c r="AL231" s="120"/>
      <c r="AM231" s="120"/>
      <c r="AN231" s="120"/>
      <c r="AO231" s="120"/>
      <c r="AP231" s="120"/>
      <c r="AQ231" s="120"/>
      <c r="AR231" s="120"/>
      <c r="AS231" s="120"/>
      <c r="AT231" s="120"/>
      <c r="AU231" s="120"/>
      <c r="AV231" s="120"/>
      <c r="AW231" s="120"/>
      <c r="AX231" s="120"/>
      <c r="AY231" s="120"/>
      <c r="AZ231" s="120"/>
      <c r="BA231" s="120"/>
      <c r="BB231" s="120"/>
      <c r="BC231" s="120"/>
      <c r="BD231" s="120"/>
      <c r="BE231" s="120"/>
      <c r="BF231" s="120"/>
      <c r="BG231" s="120">
        <v>0.05</v>
      </c>
      <c r="BH231" s="11" t="s">
        <v>532</v>
      </c>
      <c r="BI231" s="42" t="s">
        <v>138</v>
      </c>
      <c r="BJ231" s="60" t="s">
        <v>533</v>
      </c>
      <c r="BK231" s="12" t="s">
        <v>120</v>
      </c>
      <c r="BL231" s="13" t="s">
        <v>190</v>
      </c>
      <c r="BM231" s="14" t="s">
        <v>935</v>
      </c>
      <c r="BN231" s="13" t="s">
        <v>1025</v>
      </c>
      <c r="BO231" s="15" t="s">
        <v>1147</v>
      </c>
      <c r="BP231" s="16"/>
      <c r="BQ231" s="18"/>
      <c r="BR231" s="17"/>
      <c r="BS231" s="18"/>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c r="FD231" s="17"/>
      <c r="FE231" s="17"/>
      <c r="FF231" s="17"/>
      <c r="FG231" s="17"/>
      <c r="FH231" s="17"/>
      <c r="FI231" s="17"/>
      <c r="FJ231" s="17"/>
      <c r="FK231" s="17"/>
      <c r="FL231" s="17"/>
      <c r="FM231" s="17"/>
      <c r="FN231" s="17"/>
      <c r="FO231" s="17"/>
      <c r="FP231" s="17"/>
      <c r="FQ231" s="17"/>
      <c r="FR231" s="17"/>
      <c r="FS231" s="17"/>
      <c r="FT231" s="17"/>
      <c r="FU231" s="17"/>
      <c r="FV231" s="17"/>
      <c r="FW231" s="17"/>
      <c r="FX231" s="17"/>
      <c r="FY231" s="17"/>
      <c r="FZ231" s="17"/>
      <c r="GA231" s="17"/>
      <c r="GB231" s="17"/>
      <c r="GC231" s="17"/>
      <c r="GD231" s="17"/>
      <c r="GE231" s="17"/>
      <c r="GF231" s="17"/>
      <c r="GG231" s="17"/>
      <c r="GH231" s="17"/>
      <c r="GI231" s="17"/>
      <c r="GJ231" s="17"/>
      <c r="GK231" s="17"/>
      <c r="GL231" s="17"/>
      <c r="GM231" s="17"/>
      <c r="GN231" s="17"/>
      <c r="GO231" s="17"/>
      <c r="GP231" s="17"/>
      <c r="GQ231" s="17"/>
      <c r="GR231" s="17"/>
      <c r="GS231" s="17"/>
      <c r="GT231" s="17"/>
      <c r="GU231" s="17"/>
      <c r="GV231" s="17"/>
      <c r="GW231" s="17"/>
      <c r="GX231" s="17"/>
      <c r="GY231" s="17"/>
      <c r="GZ231" s="17"/>
      <c r="HA231" s="17"/>
      <c r="HB231" s="17"/>
      <c r="HC231" s="17"/>
      <c r="HD231" s="17"/>
      <c r="HE231" s="17"/>
      <c r="HF231" s="17"/>
      <c r="HG231" s="17"/>
      <c r="HH231" s="17"/>
      <c r="HI231" s="17"/>
      <c r="HJ231" s="17"/>
      <c r="HK231" s="17"/>
      <c r="HL231" s="17"/>
      <c r="HM231" s="17"/>
      <c r="HN231" s="17"/>
      <c r="HO231" s="17"/>
      <c r="HP231" s="17"/>
      <c r="HQ231" s="17"/>
      <c r="HR231" s="17"/>
      <c r="HS231" s="17"/>
      <c r="HT231" s="17"/>
      <c r="HU231" s="17"/>
      <c r="HV231" s="17"/>
      <c r="HW231" s="17"/>
      <c r="HX231" s="17"/>
      <c r="HY231" s="17"/>
      <c r="HZ231" s="17"/>
      <c r="IA231" s="17"/>
      <c r="IB231" s="17"/>
      <c r="IC231" s="17"/>
      <c r="ID231" s="17"/>
      <c r="IE231" s="17"/>
      <c r="IF231" s="17"/>
    </row>
    <row r="232" spans="1:240" s="203" customFormat="1" ht="100.5" customHeight="1">
      <c r="A232" s="1">
        <f t="shared" si="74"/>
        <v>153</v>
      </c>
      <c r="B232" s="180" t="s">
        <v>534</v>
      </c>
      <c r="C232" s="42" t="s">
        <v>91</v>
      </c>
      <c r="D232" s="4" t="s">
        <v>41</v>
      </c>
      <c r="E232" s="45">
        <v>0.19</v>
      </c>
      <c r="F232" s="5"/>
      <c r="G232" s="5">
        <v>0.19</v>
      </c>
      <c r="H232" s="48">
        <v>0.09</v>
      </c>
      <c r="I232" s="48">
        <v>0.02</v>
      </c>
      <c r="J232" s="48"/>
      <c r="K232" s="48"/>
      <c r="L232" s="48"/>
      <c r="M232" s="48"/>
      <c r="N232" s="48"/>
      <c r="O232" s="48"/>
      <c r="P232" s="48"/>
      <c r="Q232" s="48"/>
      <c r="R232" s="48"/>
      <c r="S232" s="48"/>
      <c r="T232" s="48"/>
      <c r="U232" s="46"/>
      <c r="V232" s="120"/>
      <c r="W232" s="120"/>
      <c r="X232" s="120"/>
      <c r="Y232" s="120"/>
      <c r="Z232" s="120"/>
      <c r="AA232" s="120"/>
      <c r="AB232" s="120"/>
      <c r="AC232" s="120"/>
      <c r="AD232" s="120"/>
      <c r="AE232" s="120"/>
      <c r="AF232" s="120"/>
      <c r="AG232" s="120"/>
      <c r="AH232" s="120"/>
      <c r="AI232" s="120"/>
      <c r="AJ232" s="120"/>
      <c r="AK232" s="120"/>
      <c r="AL232" s="120">
        <v>0.05</v>
      </c>
      <c r="AM232" s="120"/>
      <c r="AN232" s="120"/>
      <c r="AO232" s="120"/>
      <c r="AP232" s="120"/>
      <c r="AQ232" s="120"/>
      <c r="AR232" s="120"/>
      <c r="AS232" s="120"/>
      <c r="AT232" s="120"/>
      <c r="AU232" s="120"/>
      <c r="AV232" s="120"/>
      <c r="AW232" s="120"/>
      <c r="AX232" s="120"/>
      <c r="AY232" s="120"/>
      <c r="AZ232" s="120"/>
      <c r="BA232" s="120"/>
      <c r="BB232" s="120"/>
      <c r="BC232" s="120"/>
      <c r="BD232" s="120"/>
      <c r="BE232" s="120"/>
      <c r="BF232" s="120"/>
      <c r="BG232" s="120">
        <v>0.03</v>
      </c>
      <c r="BH232" s="60" t="s">
        <v>535</v>
      </c>
      <c r="BI232" s="42" t="s">
        <v>91</v>
      </c>
      <c r="BJ232" s="60" t="s">
        <v>536</v>
      </c>
      <c r="BK232" s="12" t="s">
        <v>120</v>
      </c>
      <c r="BL232" s="13" t="s">
        <v>190</v>
      </c>
      <c r="BM232" s="14" t="s">
        <v>978</v>
      </c>
      <c r="BN232" s="13" t="s">
        <v>1025</v>
      </c>
      <c r="BO232" s="15" t="s">
        <v>1147</v>
      </c>
      <c r="BP232" s="16"/>
      <c r="BQ232" s="17"/>
      <c r="BR232" s="17"/>
      <c r="BS232" s="18"/>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c r="FD232" s="17"/>
      <c r="FE232" s="17"/>
      <c r="FF232" s="17"/>
      <c r="FG232" s="17"/>
      <c r="FH232" s="17"/>
      <c r="FI232" s="17"/>
      <c r="FJ232" s="17"/>
      <c r="FK232" s="17"/>
      <c r="FL232" s="17"/>
      <c r="FM232" s="17"/>
      <c r="FN232" s="17"/>
      <c r="FO232" s="17"/>
      <c r="FP232" s="17"/>
      <c r="FQ232" s="17"/>
      <c r="FR232" s="17"/>
      <c r="FS232" s="17"/>
      <c r="FT232" s="17"/>
      <c r="FU232" s="17"/>
      <c r="FV232" s="17"/>
      <c r="FW232" s="17"/>
      <c r="FX232" s="17"/>
      <c r="FY232" s="17"/>
      <c r="FZ232" s="17"/>
      <c r="GA232" s="17"/>
      <c r="GB232" s="17"/>
      <c r="GC232" s="17"/>
      <c r="GD232" s="17"/>
      <c r="GE232" s="17"/>
      <c r="GF232" s="17"/>
      <c r="GG232" s="17"/>
      <c r="GH232" s="17"/>
      <c r="GI232" s="17"/>
      <c r="GJ232" s="17"/>
      <c r="GK232" s="17"/>
      <c r="GL232" s="17"/>
      <c r="GM232" s="17"/>
      <c r="GN232" s="17"/>
      <c r="GO232" s="17"/>
      <c r="GP232" s="17"/>
      <c r="GQ232" s="17"/>
      <c r="GR232" s="17"/>
      <c r="GS232" s="17"/>
      <c r="GT232" s="17"/>
      <c r="GU232" s="17"/>
      <c r="GV232" s="17"/>
      <c r="GW232" s="17"/>
      <c r="GX232" s="17"/>
      <c r="GY232" s="17"/>
      <c r="GZ232" s="17"/>
      <c r="HA232" s="17"/>
      <c r="HB232" s="17"/>
      <c r="HC232" s="17"/>
      <c r="HD232" s="17"/>
      <c r="HE232" s="17"/>
      <c r="HF232" s="17"/>
      <c r="HG232" s="17"/>
      <c r="HH232" s="17"/>
      <c r="HI232" s="17"/>
      <c r="HJ232" s="17"/>
      <c r="HK232" s="17"/>
      <c r="HL232" s="17"/>
      <c r="HM232" s="17"/>
      <c r="HN232" s="17"/>
      <c r="HO232" s="17"/>
      <c r="HP232" s="17"/>
      <c r="HQ232" s="17"/>
      <c r="HR232" s="17"/>
      <c r="HS232" s="17"/>
      <c r="HT232" s="17"/>
      <c r="HU232" s="17"/>
      <c r="HV232" s="17"/>
      <c r="HW232" s="17"/>
      <c r="HX232" s="17"/>
      <c r="HY232" s="17"/>
      <c r="HZ232" s="17"/>
      <c r="IA232" s="17"/>
      <c r="IB232" s="17"/>
      <c r="IC232" s="17"/>
      <c r="ID232" s="17"/>
      <c r="IE232" s="17"/>
      <c r="IF232" s="17"/>
    </row>
    <row r="233" spans="1:240" s="203" customFormat="1" ht="78">
      <c r="A233" s="1">
        <f t="shared" si="74"/>
        <v>154</v>
      </c>
      <c r="B233" s="180" t="s">
        <v>537</v>
      </c>
      <c r="C233" s="42" t="s">
        <v>95</v>
      </c>
      <c r="D233" s="4" t="s">
        <v>41</v>
      </c>
      <c r="E233" s="45">
        <v>0.15000000000000002</v>
      </c>
      <c r="F233" s="5"/>
      <c r="G233" s="5">
        <v>0.15000000000000002</v>
      </c>
      <c r="H233" s="48">
        <v>0</v>
      </c>
      <c r="I233" s="48">
        <v>0</v>
      </c>
      <c r="J233" s="48">
        <v>0</v>
      </c>
      <c r="K233" s="48">
        <v>0.03</v>
      </c>
      <c r="L233" s="48">
        <v>0</v>
      </c>
      <c r="M233" s="48">
        <v>0</v>
      </c>
      <c r="N233" s="48">
        <v>0</v>
      </c>
      <c r="O233" s="48">
        <v>0</v>
      </c>
      <c r="P233" s="48">
        <v>0</v>
      </c>
      <c r="Q233" s="48">
        <v>0</v>
      </c>
      <c r="R233" s="48">
        <v>0</v>
      </c>
      <c r="S233" s="48">
        <v>0</v>
      </c>
      <c r="T233" s="48">
        <v>0</v>
      </c>
      <c r="U233" s="46">
        <v>0.02</v>
      </c>
      <c r="V233" s="120">
        <v>0.02</v>
      </c>
      <c r="W233" s="120"/>
      <c r="X233" s="120">
        <v>0</v>
      </c>
      <c r="Y233" s="120">
        <v>0</v>
      </c>
      <c r="Z233" s="120">
        <v>0</v>
      </c>
      <c r="AA233" s="120">
        <v>0</v>
      </c>
      <c r="AB233" s="120">
        <v>0</v>
      </c>
      <c r="AC233" s="120">
        <v>0</v>
      </c>
      <c r="AD233" s="120">
        <v>0</v>
      </c>
      <c r="AE233" s="120">
        <v>0</v>
      </c>
      <c r="AF233" s="120">
        <v>0</v>
      </c>
      <c r="AG233" s="120">
        <v>0</v>
      </c>
      <c r="AH233" s="120">
        <v>0</v>
      </c>
      <c r="AI233" s="120">
        <v>0</v>
      </c>
      <c r="AJ233" s="120">
        <v>0</v>
      </c>
      <c r="AK233" s="120">
        <v>0</v>
      </c>
      <c r="AL233" s="120">
        <v>0.02</v>
      </c>
      <c r="AM233" s="120">
        <v>0</v>
      </c>
      <c r="AN233" s="120">
        <v>0</v>
      </c>
      <c r="AO233" s="120">
        <v>0</v>
      </c>
      <c r="AP233" s="120">
        <v>0</v>
      </c>
      <c r="AQ233" s="120">
        <v>0</v>
      </c>
      <c r="AR233" s="120">
        <v>0</v>
      </c>
      <c r="AS233" s="120">
        <v>0</v>
      </c>
      <c r="AT233" s="120">
        <v>0</v>
      </c>
      <c r="AU233" s="120">
        <v>0</v>
      </c>
      <c r="AV233" s="120">
        <v>0</v>
      </c>
      <c r="AW233" s="120">
        <v>0</v>
      </c>
      <c r="AX233" s="120">
        <v>0</v>
      </c>
      <c r="AY233" s="120">
        <v>0</v>
      </c>
      <c r="AZ233" s="120">
        <v>0</v>
      </c>
      <c r="BA233" s="120">
        <v>0</v>
      </c>
      <c r="BB233" s="120">
        <v>0</v>
      </c>
      <c r="BC233" s="120">
        <v>0</v>
      </c>
      <c r="BD233" s="120">
        <v>0</v>
      </c>
      <c r="BE233" s="120">
        <v>0</v>
      </c>
      <c r="BF233" s="120">
        <v>0</v>
      </c>
      <c r="BG233" s="120">
        <v>0.08</v>
      </c>
      <c r="BH233" s="11" t="s">
        <v>1150</v>
      </c>
      <c r="BI233" s="42" t="s">
        <v>95</v>
      </c>
      <c r="BJ233" s="60" t="s">
        <v>538</v>
      </c>
      <c r="BK233" s="12" t="s">
        <v>386</v>
      </c>
      <c r="BL233" s="13" t="s">
        <v>190</v>
      </c>
      <c r="BM233" s="14" t="s">
        <v>194</v>
      </c>
      <c r="BN233" s="13" t="s">
        <v>1025</v>
      </c>
      <c r="BO233" s="15" t="s">
        <v>1147</v>
      </c>
      <c r="BP233" s="16" t="s">
        <v>1047</v>
      </c>
      <c r="BQ233" s="18" t="s">
        <v>1150</v>
      </c>
      <c r="BR233" s="17"/>
      <c r="BS233" s="18"/>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c r="HB233" s="17"/>
      <c r="HC233" s="17"/>
      <c r="HD233" s="17"/>
      <c r="HE233" s="17"/>
      <c r="HF233" s="17"/>
      <c r="HG233" s="17"/>
      <c r="HH233" s="17"/>
      <c r="HI233" s="17"/>
      <c r="HJ233" s="17"/>
      <c r="HK233" s="17"/>
      <c r="HL233" s="17"/>
      <c r="HM233" s="17"/>
      <c r="HN233" s="17"/>
      <c r="HO233" s="17"/>
      <c r="HP233" s="17"/>
      <c r="HQ233" s="17"/>
      <c r="HR233" s="17"/>
      <c r="HS233" s="17"/>
      <c r="HT233" s="17"/>
      <c r="HU233" s="17"/>
      <c r="HV233" s="17"/>
      <c r="HW233" s="17"/>
      <c r="HX233" s="17"/>
      <c r="HY233" s="17"/>
      <c r="HZ233" s="17"/>
      <c r="IA233" s="17"/>
      <c r="IB233" s="17"/>
      <c r="IC233" s="17"/>
      <c r="ID233" s="17"/>
      <c r="IE233" s="17"/>
      <c r="IF233" s="17"/>
    </row>
    <row r="234" spans="1:240" s="203" customFormat="1" ht="78">
      <c r="A234" s="1">
        <f t="shared" si="74"/>
        <v>155</v>
      </c>
      <c r="B234" s="180" t="s">
        <v>539</v>
      </c>
      <c r="C234" s="42" t="s">
        <v>145</v>
      </c>
      <c r="D234" s="4" t="s">
        <v>41</v>
      </c>
      <c r="E234" s="45">
        <v>0.14</v>
      </c>
      <c r="F234" s="5"/>
      <c r="G234" s="5">
        <v>0.12</v>
      </c>
      <c r="H234" s="48"/>
      <c r="I234" s="48"/>
      <c r="J234" s="48"/>
      <c r="K234" s="48">
        <v>0.02</v>
      </c>
      <c r="L234" s="48">
        <v>0.02</v>
      </c>
      <c r="M234" s="48"/>
      <c r="N234" s="48"/>
      <c r="O234" s="48"/>
      <c r="P234" s="48"/>
      <c r="Q234" s="48"/>
      <c r="R234" s="48"/>
      <c r="S234" s="48"/>
      <c r="T234" s="48"/>
      <c r="U234" s="46">
        <v>0.01</v>
      </c>
      <c r="V234" s="120">
        <v>0.01</v>
      </c>
      <c r="W234" s="120"/>
      <c r="X234" s="120"/>
      <c r="Y234" s="120">
        <v>0.02</v>
      </c>
      <c r="Z234" s="120"/>
      <c r="AA234" s="120"/>
      <c r="AB234" s="120"/>
      <c r="AC234" s="120"/>
      <c r="AD234" s="120"/>
      <c r="AE234" s="120"/>
      <c r="AF234" s="120"/>
      <c r="AG234" s="120"/>
      <c r="AH234" s="120"/>
      <c r="AI234" s="120"/>
      <c r="AJ234" s="120"/>
      <c r="AK234" s="120"/>
      <c r="AL234" s="120">
        <v>0.02</v>
      </c>
      <c r="AM234" s="120"/>
      <c r="AN234" s="120"/>
      <c r="AO234" s="120"/>
      <c r="AP234" s="120"/>
      <c r="AQ234" s="120"/>
      <c r="AR234" s="120"/>
      <c r="AS234" s="120"/>
      <c r="AT234" s="120">
        <v>0.01</v>
      </c>
      <c r="AU234" s="120"/>
      <c r="AV234" s="120"/>
      <c r="AW234" s="120"/>
      <c r="AX234" s="120"/>
      <c r="AY234" s="120"/>
      <c r="AZ234" s="120"/>
      <c r="BA234" s="120"/>
      <c r="BB234" s="120"/>
      <c r="BC234" s="120">
        <v>0.02</v>
      </c>
      <c r="BD234" s="120"/>
      <c r="BE234" s="120"/>
      <c r="BF234" s="120"/>
      <c r="BG234" s="120">
        <v>0.02</v>
      </c>
      <c r="BH234" s="11" t="s">
        <v>1156</v>
      </c>
      <c r="BI234" s="42" t="s">
        <v>145</v>
      </c>
      <c r="BJ234" s="60" t="s">
        <v>930</v>
      </c>
      <c r="BK234" s="12" t="s">
        <v>120</v>
      </c>
      <c r="BL234" s="13" t="s">
        <v>190</v>
      </c>
      <c r="BM234" s="14" t="s">
        <v>935</v>
      </c>
      <c r="BN234" s="13" t="s">
        <v>1024</v>
      </c>
      <c r="BO234" s="15" t="s">
        <v>1147</v>
      </c>
      <c r="BP234" s="16"/>
      <c r="BQ234" s="17"/>
      <c r="BR234" s="17"/>
      <c r="BS234" s="18"/>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c r="HC234" s="17"/>
      <c r="HD234" s="17"/>
      <c r="HE234" s="17"/>
      <c r="HF234" s="17"/>
      <c r="HG234" s="17"/>
      <c r="HH234" s="17"/>
      <c r="HI234" s="17"/>
      <c r="HJ234" s="17"/>
      <c r="HK234" s="17"/>
      <c r="HL234" s="17"/>
      <c r="HM234" s="17"/>
      <c r="HN234" s="17"/>
      <c r="HO234" s="17"/>
      <c r="HP234" s="17"/>
      <c r="HQ234" s="17"/>
      <c r="HR234" s="17"/>
      <c r="HS234" s="17"/>
      <c r="HT234" s="17"/>
      <c r="HU234" s="17"/>
      <c r="HV234" s="17"/>
      <c r="HW234" s="17"/>
      <c r="HX234" s="17"/>
      <c r="HY234" s="17"/>
      <c r="HZ234" s="17"/>
      <c r="IA234" s="17"/>
      <c r="IB234" s="17"/>
      <c r="IC234" s="17"/>
      <c r="ID234" s="17"/>
      <c r="IE234" s="17"/>
      <c r="IF234" s="17"/>
    </row>
    <row r="235" spans="1:240" s="203" customFormat="1" ht="99" customHeight="1">
      <c r="A235" s="1">
        <f t="shared" si="74"/>
        <v>156</v>
      </c>
      <c r="B235" s="180" t="s">
        <v>540</v>
      </c>
      <c r="C235" s="42" t="s">
        <v>150</v>
      </c>
      <c r="D235" s="4" t="s">
        <v>41</v>
      </c>
      <c r="E235" s="45">
        <v>0.16999999999999998</v>
      </c>
      <c r="F235" s="5"/>
      <c r="G235" s="5">
        <v>0.16999999999999998</v>
      </c>
      <c r="H235" s="48">
        <v>0.06</v>
      </c>
      <c r="I235" s="48">
        <v>0.05</v>
      </c>
      <c r="J235" s="48"/>
      <c r="K235" s="48">
        <v>0.04</v>
      </c>
      <c r="L235" s="48"/>
      <c r="M235" s="48"/>
      <c r="N235" s="48"/>
      <c r="O235" s="48"/>
      <c r="P235" s="48"/>
      <c r="Q235" s="48"/>
      <c r="R235" s="48"/>
      <c r="S235" s="48"/>
      <c r="T235" s="48"/>
      <c r="U235" s="46">
        <v>0</v>
      </c>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c r="AY235" s="120"/>
      <c r="AZ235" s="120"/>
      <c r="BA235" s="120"/>
      <c r="BB235" s="120"/>
      <c r="BC235" s="120"/>
      <c r="BD235" s="120"/>
      <c r="BE235" s="120"/>
      <c r="BF235" s="120"/>
      <c r="BG235" s="120">
        <v>0.02</v>
      </c>
      <c r="BH235" s="11" t="s">
        <v>541</v>
      </c>
      <c r="BI235" s="42" t="s">
        <v>150</v>
      </c>
      <c r="BJ235" s="60" t="s">
        <v>542</v>
      </c>
      <c r="BK235" s="12" t="s">
        <v>120</v>
      </c>
      <c r="BL235" s="13" t="s">
        <v>190</v>
      </c>
      <c r="BM235" s="14" t="s">
        <v>194</v>
      </c>
      <c r="BN235" s="13" t="s">
        <v>1025</v>
      </c>
      <c r="BO235" s="15" t="s">
        <v>1147</v>
      </c>
      <c r="BP235" s="16"/>
      <c r="BQ235" s="17"/>
      <c r="BR235" s="17"/>
      <c r="BS235" s="18"/>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c r="FD235" s="17"/>
      <c r="FE235" s="17"/>
      <c r="FF235" s="17"/>
      <c r="FG235" s="17"/>
      <c r="FH235" s="17"/>
      <c r="FI235" s="17"/>
      <c r="FJ235" s="17"/>
      <c r="FK235" s="17"/>
      <c r="FL235" s="17"/>
      <c r="FM235" s="17"/>
      <c r="FN235" s="17"/>
      <c r="FO235" s="17"/>
      <c r="FP235" s="17"/>
      <c r="FQ235" s="17"/>
      <c r="FR235" s="17"/>
      <c r="FS235" s="17"/>
      <c r="FT235" s="17"/>
      <c r="FU235" s="17"/>
      <c r="FV235" s="17"/>
      <c r="FW235" s="17"/>
      <c r="FX235" s="17"/>
      <c r="FY235" s="17"/>
      <c r="FZ235" s="17"/>
      <c r="GA235" s="17"/>
      <c r="GB235" s="17"/>
      <c r="GC235" s="17"/>
      <c r="GD235" s="17"/>
      <c r="GE235" s="17"/>
      <c r="GF235" s="17"/>
      <c r="GG235" s="17"/>
      <c r="GH235" s="17"/>
      <c r="GI235" s="17"/>
      <c r="GJ235" s="17"/>
      <c r="GK235" s="17"/>
      <c r="GL235" s="17"/>
      <c r="GM235" s="17"/>
      <c r="GN235" s="17"/>
      <c r="GO235" s="17"/>
      <c r="GP235" s="17"/>
      <c r="GQ235" s="17"/>
      <c r="GR235" s="17"/>
      <c r="GS235" s="17"/>
      <c r="GT235" s="17"/>
      <c r="GU235" s="17"/>
      <c r="GV235" s="17"/>
      <c r="GW235" s="17"/>
      <c r="GX235" s="17"/>
      <c r="GY235" s="17"/>
      <c r="GZ235" s="17"/>
      <c r="HA235" s="17"/>
      <c r="HB235" s="17"/>
      <c r="HC235" s="17"/>
      <c r="HD235" s="17"/>
      <c r="HE235" s="17"/>
      <c r="HF235" s="17"/>
      <c r="HG235" s="17"/>
      <c r="HH235" s="17"/>
      <c r="HI235" s="17"/>
      <c r="HJ235" s="17"/>
      <c r="HK235" s="17"/>
      <c r="HL235" s="17"/>
      <c r="HM235" s="17"/>
      <c r="HN235" s="17"/>
      <c r="HO235" s="17"/>
      <c r="HP235" s="17"/>
      <c r="HQ235" s="17"/>
      <c r="HR235" s="17"/>
      <c r="HS235" s="17"/>
      <c r="HT235" s="17"/>
      <c r="HU235" s="17"/>
      <c r="HV235" s="17"/>
      <c r="HW235" s="17"/>
      <c r="HX235" s="17"/>
      <c r="HY235" s="17"/>
      <c r="HZ235" s="17"/>
      <c r="IA235" s="17"/>
      <c r="IB235" s="17"/>
      <c r="IC235" s="17"/>
      <c r="ID235" s="17"/>
      <c r="IE235" s="17"/>
      <c r="IF235" s="17"/>
    </row>
    <row r="236" spans="1:240" s="203" customFormat="1" ht="197.25" customHeight="1">
      <c r="A236" s="1">
        <f t="shared" si="74"/>
        <v>157</v>
      </c>
      <c r="B236" s="180" t="s">
        <v>543</v>
      </c>
      <c r="C236" s="42" t="s">
        <v>99</v>
      </c>
      <c r="D236" s="4" t="s">
        <v>41</v>
      </c>
      <c r="E236" s="45">
        <v>0.45999999999999996</v>
      </c>
      <c r="F236" s="5"/>
      <c r="G236" s="5">
        <v>0.45999999999999996</v>
      </c>
      <c r="H236" s="48"/>
      <c r="I236" s="48"/>
      <c r="J236" s="48"/>
      <c r="K236" s="48">
        <v>0.08</v>
      </c>
      <c r="L236" s="48">
        <v>0.23</v>
      </c>
      <c r="M236" s="48"/>
      <c r="N236" s="48"/>
      <c r="O236" s="48"/>
      <c r="P236" s="48"/>
      <c r="Q236" s="48"/>
      <c r="R236" s="48"/>
      <c r="S236" s="48"/>
      <c r="T236" s="48"/>
      <c r="U236" s="46">
        <v>0</v>
      </c>
      <c r="V236" s="120"/>
      <c r="W236" s="120"/>
      <c r="X236" s="120"/>
      <c r="Y236" s="120"/>
      <c r="Z236" s="120"/>
      <c r="AA236" s="120"/>
      <c r="AB236" s="120"/>
      <c r="AC236" s="120"/>
      <c r="AD236" s="120"/>
      <c r="AE236" s="120"/>
      <c r="AF236" s="120"/>
      <c r="AG236" s="120"/>
      <c r="AH236" s="120"/>
      <c r="AI236" s="120"/>
      <c r="AJ236" s="120">
        <v>0.04</v>
      </c>
      <c r="AK236" s="120"/>
      <c r="AL236" s="120"/>
      <c r="AM236" s="120"/>
      <c r="AN236" s="120"/>
      <c r="AO236" s="120"/>
      <c r="AP236" s="120"/>
      <c r="AQ236" s="120"/>
      <c r="AR236" s="120"/>
      <c r="AS236" s="120"/>
      <c r="AT236" s="120"/>
      <c r="AU236" s="120"/>
      <c r="AV236" s="120"/>
      <c r="AW236" s="120"/>
      <c r="AX236" s="120"/>
      <c r="AY236" s="120"/>
      <c r="AZ236" s="120"/>
      <c r="BA236" s="120"/>
      <c r="BB236" s="120"/>
      <c r="BC236" s="120"/>
      <c r="BD236" s="120"/>
      <c r="BE236" s="120"/>
      <c r="BF236" s="120"/>
      <c r="BG236" s="120">
        <v>0.11</v>
      </c>
      <c r="BH236" s="11" t="s">
        <v>1020</v>
      </c>
      <c r="BI236" s="42" t="s">
        <v>99</v>
      </c>
      <c r="BJ236" s="60" t="s">
        <v>1021</v>
      </c>
      <c r="BK236" s="12" t="s">
        <v>351</v>
      </c>
      <c r="BL236" s="13" t="s">
        <v>190</v>
      </c>
      <c r="BM236" s="14" t="s">
        <v>936</v>
      </c>
      <c r="BN236" s="13" t="s">
        <v>1025</v>
      </c>
      <c r="BO236" s="15" t="s">
        <v>1147</v>
      </c>
      <c r="BP236" s="16"/>
      <c r="BQ236" s="17"/>
      <c r="BR236" s="17"/>
      <c r="BS236" s="18"/>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c r="HC236" s="17"/>
      <c r="HD236" s="17"/>
      <c r="HE236" s="17"/>
      <c r="HF236" s="17"/>
      <c r="HG236" s="17"/>
      <c r="HH236" s="17"/>
      <c r="HI236" s="17"/>
      <c r="HJ236" s="17"/>
      <c r="HK236" s="17"/>
      <c r="HL236" s="17"/>
      <c r="HM236" s="17"/>
      <c r="HN236" s="17"/>
      <c r="HO236" s="17"/>
      <c r="HP236" s="17"/>
      <c r="HQ236" s="17"/>
      <c r="HR236" s="17"/>
      <c r="HS236" s="17"/>
      <c r="HT236" s="17"/>
      <c r="HU236" s="17"/>
      <c r="HV236" s="17"/>
      <c r="HW236" s="17"/>
      <c r="HX236" s="17"/>
      <c r="HY236" s="17"/>
      <c r="HZ236" s="17"/>
      <c r="IA236" s="17"/>
      <c r="IB236" s="17"/>
      <c r="IC236" s="17"/>
      <c r="ID236" s="17"/>
      <c r="IE236" s="17"/>
      <c r="IF236" s="17"/>
    </row>
    <row r="237" spans="1:240" s="203" customFormat="1" ht="72.75" customHeight="1">
      <c r="A237" s="1">
        <f>A236+1</f>
        <v>158</v>
      </c>
      <c r="B237" s="180" t="s">
        <v>544</v>
      </c>
      <c r="C237" s="42" t="s">
        <v>106</v>
      </c>
      <c r="D237" s="4" t="s">
        <v>41</v>
      </c>
      <c r="E237" s="45">
        <v>0.13</v>
      </c>
      <c r="F237" s="5"/>
      <c r="G237" s="5">
        <v>0.13</v>
      </c>
      <c r="H237" s="48"/>
      <c r="I237" s="48"/>
      <c r="J237" s="48"/>
      <c r="K237" s="48">
        <v>0.06</v>
      </c>
      <c r="L237" s="48">
        <v>0.02</v>
      </c>
      <c r="M237" s="48"/>
      <c r="N237" s="48"/>
      <c r="O237" s="48"/>
      <c r="P237" s="48"/>
      <c r="Q237" s="48"/>
      <c r="R237" s="48"/>
      <c r="S237" s="48"/>
      <c r="T237" s="48"/>
      <c r="U237" s="46">
        <v>0.05</v>
      </c>
      <c r="V237" s="120">
        <v>0.02</v>
      </c>
      <c r="W237" s="120"/>
      <c r="X237" s="120">
        <v>0.03</v>
      </c>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c r="AY237" s="120"/>
      <c r="AZ237" s="120"/>
      <c r="BA237" s="120"/>
      <c r="BB237" s="120"/>
      <c r="BC237" s="120"/>
      <c r="BD237" s="120"/>
      <c r="BE237" s="120"/>
      <c r="BF237" s="120"/>
      <c r="BG237" s="120"/>
      <c r="BH237" s="11" t="s">
        <v>545</v>
      </c>
      <c r="BI237" s="42" t="s">
        <v>106</v>
      </c>
      <c r="BJ237" s="60" t="s">
        <v>546</v>
      </c>
      <c r="BK237" s="12" t="s">
        <v>120</v>
      </c>
      <c r="BL237" s="13" t="s">
        <v>190</v>
      </c>
      <c r="BM237" s="14" t="s">
        <v>194</v>
      </c>
      <c r="BN237" s="13" t="s">
        <v>1025</v>
      </c>
      <c r="BO237" s="15" t="s">
        <v>1147</v>
      </c>
      <c r="BP237" s="16"/>
      <c r="BQ237" s="17"/>
      <c r="BR237" s="17"/>
      <c r="BS237" s="18"/>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c r="HB237" s="17"/>
      <c r="HC237" s="17"/>
      <c r="HD237" s="17"/>
      <c r="HE237" s="17"/>
      <c r="HF237" s="17"/>
      <c r="HG237" s="17"/>
      <c r="HH237" s="17"/>
      <c r="HI237" s="17"/>
      <c r="HJ237" s="17"/>
      <c r="HK237" s="17"/>
      <c r="HL237" s="17"/>
      <c r="HM237" s="17"/>
      <c r="HN237" s="17"/>
      <c r="HO237" s="17"/>
      <c r="HP237" s="17"/>
      <c r="HQ237" s="17"/>
      <c r="HR237" s="17"/>
      <c r="HS237" s="17"/>
      <c r="HT237" s="17"/>
      <c r="HU237" s="17"/>
      <c r="HV237" s="17"/>
      <c r="HW237" s="17"/>
      <c r="HX237" s="17"/>
      <c r="HY237" s="17"/>
      <c r="HZ237" s="17"/>
      <c r="IA237" s="17"/>
      <c r="IB237" s="17"/>
      <c r="IC237" s="17"/>
      <c r="ID237" s="17"/>
      <c r="IE237" s="17"/>
      <c r="IF237" s="17"/>
    </row>
    <row r="238" spans="1:69" ht="25.5" customHeight="1">
      <c r="A238" s="66" t="s">
        <v>547</v>
      </c>
      <c r="B238" s="85" t="s">
        <v>548</v>
      </c>
      <c r="C238" s="46"/>
      <c r="D238" s="36" t="s">
        <v>36</v>
      </c>
      <c r="E238" s="69">
        <f>F238+G238</f>
        <v>41.463</v>
      </c>
      <c r="F238" s="38">
        <f aca="true" t="shared" si="75" ref="F238:AK238">SUM(F239:F267)</f>
        <v>0</v>
      </c>
      <c r="G238" s="38">
        <f t="shared" si="75"/>
        <v>41.463</v>
      </c>
      <c r="H238" s="38">
        <f t="shared" si="75"/>
        <v>2.422999999999999</v>
      </c>
      <c r="I238" s="38">
        <f t="shared" si="75"/>
        <v>0.777</v>
      </c>
      <c r="J238" s="38">
        <f t="shared" si="75"/>
        <v>0</v>
      </c>
      <c r="K238" s="38">
        <f t="shared" si="75"/>
        <v>5.016599999999999</v>
      </c>
      <c r="L238" s="38">
        <f t="shared" si="75"/>
        <v>2.5728999999999993</v>
      </c>
      <c r="M238" s="38">
        <f t="shared" si="75"/>
        <v>1.8</v>
      </c>
      <c r="N238" s="38">
        <f t="shared" si="75"/>
        <v>0</v>
      </c>
      <c r="O238" s="38">
        <f t="shared" si="75"/>
        <v>0.56</v>
      </c>
      <c r="P238" s="38">
        <f t="shared" si="75"/>
        <v>1.24</v>
      </c>
      <c r="Q238" s="38">
        <f t="shared" si="75"/>
        <v>0</v>
      </c>
      <c r="R238" s="38">
        <f t="shared" si="75"/>
        <v>0</v>
      </c>
      <c r="S238" s="38">
        <f t="shared" si="75"/>
        <v>0</v>
      </c>
      <c r="T238" s="38">
        <f t="shared" si="75"/>
        <v>0</v>
      </c>
      <c r="U238" s="38">
        <f t="shared" si="75"/>
        <v>24.731500000000004</v>
      </c>
      <c r="V238" s="38">
        <f t="shared" si="75"/>
        <v>13.071500000000002</v>
      </c>
      <c r="W238" s="38">
        <f t="shared" si="75"/>
        <v>6.08</v>
      </c>
      <c r="X238" s="38">
        <f t="shared" si="75"/>
        <v>5.58</v>
      </c>
      <c r="Y238" s="38">
        <f t="shared" si="75"/>
        <v>0.1</v>
      </c>
      <c r="Z238" s="38">
        <f t="shared" si="75"/>
        <v>0</v>
      </c>
      <c r="AA238" s="38">
        <f t="shared" si="75"/>
        <v>0</v>
      </c>
      <c r="AB238" s="38">
        <f t="shared" si="75"/>
        <v>0</v>
      </c>
      <c r="AC238" s="38">
        <f t="shared" si="75"/>
        <v>0</v>
      </c>
      <c r="AD238" s="38">
        <f t="shared" si="75"/>
        <v>0</v>
      </c>
      <c r="AE238" s="38">
        <f t="shared" si="75"/>
        <v>0</v>
      </c>
      <c r="AF238" s="38">
        <f t="shared" si="75"/>
        <v>0.16</v>
      </c>
      <c r="AG238" s="38">
        <f t="shared" si="75"/>
        <v>0</v>
      </c>
      <c r="AH238" s="38">
        <f t="shared" si="75"/>
        <v>0</v>
      </c>
      <c r="AI238" s="38">
        <f t="shared" si="75"/>
        <v>0</v>
      </c>
      <c r="AJ238" s="38">
        <f t="shared" si="75"/>
        <v>0</v>
      </c>
      <c r="AK238" s="38">
        <f t="shared" si="75"/>
        <v>0</v>
      </c>
      <c r="AL238" s="38">
        <f aca="true" t="shared" si="76" ref="AL238:BG238">SUM(AL239:AL267)</f>
        <v>0</v>
      </c>
      <c r="AM238" s="38">
        <f t="shared" si="76"/>
        <v>0</v>
      </c>
      <c r="AN238" s="38">
        <f t="shared" si="76"/>
        <v>0</v>
      </c>
      <c r="AO238" s="38">
        <f t="shared" si="76"/>
        <v>0</v>
      </c>
      <c r="AP238" s="38">
        <f t="shared" si="76"/>
        <v>0</v>
      </c>
      <c r="AQ238" s="38">
        <f t="shared" si="76"/>
        <v>0</v>
      </c>
      <c r="AR238" s="38">
        <f t="shared" si="76"/>
        <v>0</v>
      </c>
      <c r="AS238" s="38">
        <f t="shared" si="76"/>
        <v>0</v>
      </c>
      <c r="AT238" s="38">
        <f t="shared" si="76"/>
        <v>0.22300000000000003</v>
      </c>
      <c r="AU238" s="38">
        <f t="shared" si="76"/>
        <v>0</v>
      </c>
      <c r="AV238" s="38">
        <f t="shared" si="76"/>
        <v>0</v>
      </c>
      <c r="AW238" s="38">
        <f t="shared" si="76"/>
        <v>0</v>
      </c>
      <c r="AX238" s="38">
        <f t="shared" si="76"/>
        <v>0</v>
      </c>
      <c r="AY238" s="38">
        <f t="shared" si="76"/>
        <v>0</v>
      </c>
      <c r="AZ238" s="38">
        <f t="shared" si="76"/>
        <v>0</v>
      </c>
      <c r="BA238" s="38">
        <f t="shared" si="76"/>
        <v>0</v>
      </c>
      <c r="BB238" s="38">
        <f t="shared" si="76"/>
        <v>0</v>
      </c>
      <c r="BC238" s="38">
        <f t="shared" si="76"/>
        <v>0</v>
      </c>
      <c r="BD238" s="38">
        <f t="shared" si="76"/>
        <v>1.503</v>
      </c>
      <c r="BE238" s="38">
        <f t="shared" si="76"/>
        <v>0</v>
      </c>
      <c r="BF238" s="38">
        <f t="shared" si="76"/>
        <v>0</v>
      </c>
      <c r="BG238" s="38">
        <f t="shared" si="76"/>
        <v>2.3</v>
      </c>
      <c r="BH238" s="86"/>
      <c r="BI238" s="46"/>
      <c r="BJ238" s="46"/>
      <c r="BK238" s="46"/>
      <c r="BL238" s="46"/>
      <c r="BM238" s="46"/>
      <c r="BN238" s="13"/>
      <c r="BO238" s="15"/>
      <c r="BQ238" s="17"/>
    </row>
    <row r="239" spans="1:69" ht="46.5">
      <c r="A239" s="1">
        <f>A237+1</f>
        <v>159</v>
      </c>
      <c r="B239" s="15" t="s">
        <v>549</v>
      </c>
      <c r="C239" s="55" t="s">
        <v>550</v>
      </c>
      <c r="D239" s="4" t="s">
        <v>36</v>
      </c>
      <c r="E239" s="45">
        <f aca="true" t="shared" si="77" ref="E239:E275">F239+G239</f>
        <v>10</v>
      </c>
      <c r="F239" s="45"/>
      <c r="G239" s="5">
        <f>SUM(H239:M239,Q239,U239,Y239:BG239)</f>
        <v>10</v>
      </c>
      <c r="H239" s="74">
        <v>0.55</v>
      </c>
      <c r="I239" s="74"/>
      <c r="J239" s="74"/>
      <c r="K239" s="74">
        <v>0.8</v>
      </c>
      <c r="L239" s="74">
        <v>0.45</v>
      </c>
      <c r="M239" s="74"/>
      <c r="N239" s="74"/>
      <c r="O239" s="74"/>
      <c r="P239" s="74"/>
      <c r="Q239" s="74"/>
      <c r="R239" s="74"/>
      <c r="S239" s="74"/>
      <c r="T239" s="74"/>
      <c r="U239" s="6">
        <f aca="true" t="shared" si="78" ref="U239:U248">SUM(V239:X239)</f>
        <v>4</v>
      </c>
      <c r="V239" s="74">
        <v>4</v>
      </c>
      <c r="W239" s="49"/>
      <c r="X239" s="74"/>
      <c r="Y239" s="74">
        <v>0.1</v>
      </c>
      <c r="Z239" s="74"/>
      <c r="AA239" s="74"/>
      <c r="AB239" s="74"/>
      <c r="AC239" s="74"/>
      <c r="AD239" s="74"/>
      <c r="AE239" s="74"/>
      <c r="AF239" s="74">
        <v>0.15</v>
      </c>
      <c r="AG239" s="74"/>
      <c r="AH239" s="74"/>
      <c r="AI239" s="74"/>
      <c r="AJ239" s="74"/>
      <c r="AK239" s="74"/>
      <c r="AL239" s="74"/>
      <c r="AM239" s="74"/>
      <c r="AN239" s="74"/>
      <c r="AO239" s="74"/>
      <c r="AP239" s="74"/>
      <c r="AQ239" s="74"/>
      <c r="AR239" s="74"/>
      <c r="AS239" s="74"/>
      <c r="AT239" s="74">
        <v>0.15</v>
      </c>
      <c r="AU239" s="74"/>
      <c r="AV239" s="74"/>
      <c r="AW239" s="74"/>
      <c r="AX239" s="74"/>
      <c r="AY239" s="74"/>
      <c r="AZ239" s="74"/>
      <c r="BA239" s="74"/>
      <c r="BB239" s="74"/>
      <c r="BC239" s="74"/>
      <c r="BD239" s="74">
        <v>1.5</v>
      </c>
      <c r="BE239" s="74"/>
      <c r="BF239" s="74"/>
      <c r="BG239" s="74">
        <v>2.3</v>
      </c>
      <c r="BH239" s="10"/>
      <c r="BI239" s="55" t="s">
        <v>550</v>
      </c>
      <c r="BJ239" s="13" t="s">
        <v>955</v>
      </c>
      <c r="BK239" s="98" t="s">
        <v>120</v>
      </c>
      <c r="BL239" s="13" t="s">
        <v>551</v>
      </c>
      <c r="BM239" s="14" t="s">
        <v>935</v>
      </c>
      <c r="BN239" s="13" t="s">
        <v>1024</v>
      </c>
      <c r="BO239" s="15" t="s">
        <v>1147</v>
      </c>
      <c r="BP239" s="16" t="s">
        <v>1064</v>
      </c>
      <c r="BQ239" s="17"/>
    </row>
    <row r="240" spans="1:69" ht="46.5">
      <c r="A240" s="42">
        <f>A239+1</f>
        <v>160</v>
      </c>
      <c r="B240" s="15" t="s">
        <v>552</v>
      </c>
      <c r="C240" s="13" t="s">
        <v>553</v>
      </c>
      <c r="D240" s="13" t="s">
        <v>36</v>
      </c>
      <c r="E240" s="5">
        <f t="shared" si="77"/>
        <v>17.11</v>
      </c>
      <c r="F240" s="45"/>
      <c r="G240" s="5">
        <f aca="true" t="shared" si="79" ref="G240:G267">SUM(H240:M240,Q240,U240,Y240:BG240)</f>
        <v>17.11</v>
      </c>
      <c r="H240" s="62">
        <v>0.94</v>
      </c>
      <c r="I240" s="62">
        <v>0</v>
      </c>
      <c r="J240" s="62"/>
      <c r="K240" s="62">
        <v>1.08</v>
      </c>
      <c r="L240" s="62">
        <v>0.1</v>
      </c>
      <c r="M240" s="62"/>
      <c r="N240" s="62"/>
      <c r="O240" s="62"/>
      <c r="P240" s="62"/>
      <c r="Q240" s="62"/>
      <c r="R240" s="62"/>
      <c r="S240" s="62"/>
      <c r="T240" s="62"/>
      <c r="U240" s="48">
        <f t="shared" si="78"/>
        <v>14.99</v>
      </c>
      <c r="V240" s="120">
        <f>2.81+2.38</f>
        <v>5.1899999999999995</v>
      </c>
      <c r="W240" s="120">
        <v>4.22</v>
      </c>
      <c r="X240" s="62">
        <v>5.58</v>
      </c>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10"/>
      <c r="BI240" s="13" t="s">
        <v>553</v>
      </c>
      <c r="BJ240" s="13" t="s">
        <v>956</v>
      </c>
      <c r="BK240" s="91" t="s">
        <v>120</v>
      </c>
      <c r="BL240" s="13" t="s">
        <v>554</v>
      </c>
      <c r="BM240" s="13" t="s">
        <v>194</v>
      </c>
      <c r="BN240" s="13" t="s">
        <v>1025</v>
      </c>
      <c r="BO240" s="15" t="s">
        <v>1147</v>
      </c>
      <c r="BQ240" s="17"/>
    </row>
    <row r="241" spans="1:69" ht="78">
      <c r="A241" s="42">
        <f aca="true" t="shared" si="80" ref="A241:A267">A240+1</f>
        <v>161</v>
      </c>
      <c r="B241" s="15" t="s">
        <v>555</v>
      </c>
      <c r="C241" s="13" t="s">
        <v>91</v>
      </c>
      <c r="D241" s="13" t="s">
        <v>36</v>
      </c>
      <c r="E241" s="5">
        <f t="shared" si="77"/>
        <v>7.529999999999999</v>
      </c>
      <c r="F241" s="45"/>
      <c r="G241" s="5">
        <f t="shared" si="79"/>
        <v>7.529999999999999</v>
      </c>
      <c r="H241" s="204"/>
      <c r="I241" s="204"/>
      <c r="J241" s="204"/>
      <c r="K241" s="204">
        <v>0.8</v>
      </c>
      <c r="L241" s="204">
        <v>0.54</v>
      </c>
      <c r="M241" s="62">
        <f>SUM(N241:P241)</f>
        <v>1.8</v>
      </c>
      <c r="N241" s="204"/>
      <c r="O241" s="204">
        <v>0.56</v>
      </c>
      <c r="P241" s="204">
        <v>1.24</v>
      </c>
      <c r="Q241" s="204"/>
      <c r="R241" s="204"/>
      <c r="S241" s="204"/>
      <c r="T241" s="204"/>
      <c r="U241" s="205">
        <f t="shared" si="78"/>
        <v>4.39</v>
      </c>
      <c r="V241" s="206">
        <v>2.53</v>
      </c>
      <c r="W241" s="206">
        <v>1.86</v>
      </c>
      <c r="X241" s="204"/>
      <c r="Y241" s="204"/>
      <c r="Z241" s="204"/>
      <c r="AA241" s="204"/>
      <c r="AB241" s="204"/>
      <c r="AC241" s="204"/>
      <c r="AD241" s="204"/>
      <c r="AE241" s="204"/>
      <c r="AF241" s="204"/>
      <c r="AG241" s="204"/>
      <c r="AH241" s="204"/>
      <c r="AI241" s="204"/>
      <c r="AJ241" s="204"/>
      <c r="AK241" s="204"/>
      <c r="AL241" s="204"/>
      <c r="AM241" s="204"/>
      <c r="AN241" s="204"/>
      <c r="AO241" s="204"/>
      <c r="AP241" s="204"/>
      <c r="AQ241" s="204"/>
      <c r="AR241" s="204"/>
      <c r="AS241" s="204"/>
      <c r="AT241" s="204"/>
      <c r="AU241" s="204"/>
      <c r="AV241" s="204"/>
      <c r="AW241" s="204"/>
      <c r="AX241" s="204"/>
      <c r="AY241" s="204"/>
      <c r="AZ241" s="204"/>
      <c r="BA241" s="204"/>
      <c r="BB241" s="204"/>
      <c r="BC241" s="204"/>
      <c r="BD241" s="204"/>
      <c r="BE241" s="204"/>
      <c r="BF241" s="204"/>
      <c r="BG241" s="204"/>
      <c r="BH241" s="10" t="s">
        <v>952</v>
      </c>
      <c r="BI241" s="13" t="s">
        <v>91</v>
      </c>
      <c r="BJ241" s="13" t="s">
        <v>957</v>
      </c>
      <c r="BK241" s="91" t="s">
        <v>120</v>
      </c>
      <c r="BL241" s="48" t="s">
        <v>556</v>
      </c>
      <c r="BM241" s="13" t="s">
        <v>194</v>
      </c>
      <c r="BN241" s="13" t="s">
        <v>1025</v>
      </c>
      <c r="BO241" s="15" t="s">
        <v>1147</v>
      </c>
      <c r="BQ241" s="17"/>
    </row>
    <row r="242" spans="1:69" ht="124.5">
      <c r="A242" s="42">
        <f>+A241+1</f>
        <v>162</v>
      </c>
      <c r="B242" s="207" t="s">
        <v>557</v>
      </c>
      <c r="C242" s="14" t="s">
        <v>82</v>
      </c>
      <c r="D242" s="4" t="s">
        <v>36</v>
      </c>
      <c r="E242" s="45">
        <f t="shared" si="77"/>
        <v>0.13</v>
      </c>
      <c r="F242" s="5"/>
      <c r="G242" s="5">
        <v>0.13</v>
      </c>
      <c r="H242" s="208">
        <v>0.015</v>
      </c>
      <c r="I242" s="208"/>
      <c r="J242" s="208"/>
      <c r="K242" s="208">
        <v>0.0196</v>
      </c>
      <c r="L242" s="208">
        <v>0.0769</v>
      </c>
      <c r="M242" s="208">
        <f>SUM(N242:P242)</f>
        <v>0</v>
      </c>
      <c r="N242" s="208"/>
      <c r="O242" s="208"/>
      <c r="P242" s="208"/>
      <c r="Q242" s="208">
        <f>R242+S242+T242</f>
        <v>0</v>
      </c>
      <c r="R242" s="208"/>
      <c r="S242" s="208"/>
      <c r="T242" s="208"/>
      <c r="U242" s="208">
        <f t="shared" si="78"/>
        <v>0.1025</v>
      </c>
      <c r="V242" s="208">
        <v>0.1025</v>
      </c>
      <c r="W242" s="208"/>
      <c r="X242" s="208"/>
      <c r="Y242" s="208"/>
      <c r="Z242" s="208"/>
      <c r="AA242" s="208"/>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208"/>
      <c r="BD242" s="208"/>
      <c r="BE242" s="208"/>
      <c r="BF242" s="208"/>
      <c r="BG242" s="208"/>
      <c r="BH242" s="10"/>
      <c r="BI242" s="14" t="s">
        <v>82</v>
      </c>
      <c r="BJ242" s="55"/>
      <c r="BK242" s="12" t="s">
        <v>68</v>
      </c>
      <c r="BL242" s="209" t="s">
        <v>558</v>
      </c>
      <c r="BM242" s="14" t="s">
        <v>935</v>
      </c>
      <c r="BN242" s="13" t="s">
        <v>1024</v>
      </c>
      <c r="BO242" s="15" t="s">
        <v>1147</v>
      </c>
      <c r="BQ242" s="17"/>
    </row>
    <row r="243" spans="1:69" ht="78">
      <c r="A243" s="42">
        <f t="shared" si="80"/>
        <v>163</v>
      </c>
      <c r="B243" s="207" t="s">
        <v>559</v>
      </c>
      <c r="C243" s="14" t="s">
        <v>71</v>
      </c>
      <c r="D243" s="4" t="s">
        <v>36</v>
      </c>
      <c r="E243" s="45">
        <f t="shared" si="77"/>
        <v>0.016</v>
      </c>
      <c r="F243" s="73"/>
      <c r="G243" s="5">
        <f t="shared" si="79"/>
        <v>0.016</v>
      </c>
      <c r="H243" s="205">
        <v>0.003</v>
      </c>
      <c r="I243" s="205"/>
      <c r="J243" s="205"/>
      <c r="K243" s="205">
        <v>0.005</v>
      </c>
      <c r="L243" s="205">
        <v>0.005</v>
      </c>
      <c r="M243" s="205">
        <f>SUM(N243:P243)</f>
        <v>0</v>
      </c>
      <c r="N243" s="205"/>
      <c r="O243" s="205"/>
      <c r="P243" s="205"/>
      <c r="Q243" s="205"/>
      <c r="R243" s="205"/>
      <c r="S243" s="205"/>
      <c r="T243" s="205"/>
      <c r="U243" s="205">
        <f t="shared" si="78"/>
        <v>0</v>
      </c>
      <c r="V243" s="204"/>
      <c r="W243" s="204"/>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205"/>
      <c r="AT243" s="205">
        <v>0.003</v>
      </c>
      <c r="AU243" s="205"/>
      <c r="AV243" s="205"/>
      <c r="AW243" s="205"/>
      <c r="AX243" s="205"/>
      <c r="AY243" s="205"/>
      <c r="AZ243" s="205"/>
      <c r="BA243" s="205"/>
      <c r="BB243" s="205"/>
      <c r="BC243" s="205"/>
      <c r="BD243" s="205"/>
      <c r="BE243" s="205"/>
      <c r="BF243" s="205"/>
      <c r="BG243" s="205"/>
      <c r="BH243" s="10"/>
      <c r="BI243" s="14" t="s">
        <v>71</v>
      </c>
      <c r="BJ243" s="55"/>
      <c r="BK243" s="91" t="s">
        <v>120</v>
      </c>
      <c r="BL243" s="48" t="s">
        <v>556</v>
      </c>
      <c r="BM243" s="14" t="s">
        <v>935</v>
      </c>
      <c r="BN243" s="13" t="s">
        <v>1025</v>
      </c>
      <c r="BO243" s="15" t="s">
        <v>1147</v>
      </c>
      <c r="BQ243" s="17"/>
    </row>
    <row r="244" spans="1:67" ht="46.5">
      <c r="A244" s="42">
        <f t="shared" si="80"/>
        <v>164</v>
      </c>
      <c r="B244" s="15" t="s">
        <v>560</v>
      </c>
      <c r="C244" s="210" t="s">
        <v>138</v>
      </c>
      <c r="D244" s="4" t="s">
        <v>36</v>
      </c>
      <c r="E244" s="45">
        <f t="shared" si="77"/>
        <v>0.12</v>
      </c>
      <c r="F244" s="73"/>
      <c r="G244" s="5">
        <f t="shared" si="79"/>
        <v>0.12</v>
      </c>
      <c r="H244" s="205">
        <v>0.08</v>
      </c>
      <c r="I244" s="205"/>
      <c r="J244" s="205"/>
      <c r="K244" s="205">
        <v>0.03</v>
      </c>
      <c r="L244" s="205"/>
      <c r="M244" s="205">
        <f>SUM(N244:P244)</f>
        <v>0</v>
      </c>
      <c r="N244" s="205"/>
      <c r="O244" s="205"/>
      <c r="P244" s="205"/>
      <c r="Q244" s="205"/>
      <c r="R244" s="205"/>
      <c r="S244" s="205"/>
      <c r="T244" s="205"/>
      <c r="U244" s="205">
        <f t="shared" si="78"/>
        <v>0</v>
      </c>
      <c r="V244" s="204"/>
      <c r="W244" s="205"/>
      <c r="X244" s="205"/>
      <c r="Y244" s="205"/>
      <c r="Z244" s="205"/>
      <c r="AA244" s="205"/>
      <c r="AB244" s="205"/>
      <c r="AC244" s="205"/>
      <c r="AD244" s="205"/>
      <c r="AE244" s="205"/>
      <c r="AF244" s="205">
        <v>0.01</v>
      </c>
      <c r="AG244" s="205"/>
      <c r="AH244" s="205"/>
      <c r="AI244" s="205"/>
      <c r="AJ244" s="205"/>
      <c r="AK244" s="205"/>
      <c r="AL244" s="205"/>
      <c r="AM244" s="205"/>
      <c r="AN244" s="205"/>
      <c r="AO244" s="205"/>
      <c r="AP244" s="205"/>
      <c r="AQ244" s="205"/>
      <c r="AR244" s="205"/>
      <c r="AS244" s="205"/>
      <c r="AT244" s="205"/>
      <c r="AU244" s="205"/>
      <c r="AV244" s="205"/>
      <c r="AW244" s="205"/>
      <c r="AX244" s="205"/>
      <c r="AY244" s="205"/>
      <c r="AZ244" s="205"/>
      <c r="BA244" s="205"/>
      <c r="BB244" s="205"/>
      <c r="BC244" s="205"/>
      <c r="BD244" s="205"/>
      <c r="BE244" s="205"/>
      <c r="BF244" s="205"/>
      <c r="BG244" s="205"/>
      <c r="BH244" s="60" t="s">
        <v>950</v>
      </c>
      <c r="BI244" s="210" t="s">
        <v>138</v>
      </c>
      <c r="BJ244" s="14" t="s">
        <v>561</v>
      </c>
      <c r="BK244" s="91" t="s">
        <v>120</v>
      </c>
      <c r="BL244" s="330" t="s">
        <v>556</v>
      </c>
      <c r="BM244" s="14" t="s">
        <v>935</v>
      </c>
      <c r="BN244" s="13" t="s">
        <v>1025</v>
      </c>
      <c r="BO244" s="15" t="s">
        <v>1147</v>
      </c>
    </row>
    <row r="245" spans="1:67" ht="46.5">
      <c r="A245" s="42">
        <f t="shared" si="80"/>
        <v>165</v>
      </c>
      <c r="B245" s="15" t="s">
        <v>562</v>
      </c>
      <c r="C245" s="210" t="s">
        <v>138</v>
      </c>
      <c r="D245" s="4" t="s">
        <v>36</v>
      </c>
      <c r="E245" s="45">
        <f t="shared" si="77"/>
        <v>0.02</v>
      </c>
      <c r="F245" s="73"/>
      <c r="G245" s="5">
        <f t="shared" si="79"/>
        <v>0.02</v>
      </c>
      <c r="H245" s="205">
        <v>0.006</v>
      </c>
      <c r="I245" s="205"/>
      <c r="J245" s="205"/>
      <c r="K245" s="205">
        <v>0.006</v>
      </c>
      <c r="L245" s="205">
        <v>0.005</v>
      </c>
      <c r="M245" s="205">
        <f>SUM(N245:P245)</f>
        <v>0</v>
      </c>
      <c r="N245" s="205"/>
      <c r="O245" s="205"/>
      <c r="P245" s="205"/>
      <c r="Q245" s="205"/>
      <c r="R245" s="205"/>
      <c r="S245" s="205"/>
      <c r="T245" s="205"/>
      <c r="U245" s="205">
        <f t="shared" si="78"/>
        <v>0.003</v>
      </c>
      <c r="V245" s="204">
        <v>0.003</v>
      </c>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205"/>
      <c r="AU245" s="205"/>
      <c r="AV245" s="205"/>
      <c r="AW245" s="205"/>
      <c r="AX245" s="205"/>
      <c r="AY245" s="205"/>
      <c r="AZ245" s="205"/>
      <c r="BA245" s="205"/>
      <c r="BB245" s="205"/>
      <c r="BC245" s="205"/>
      <c r="BD245" s="205"/>
      <c r="BE245" s="205"/>
      <c r="BF245" s="205"/>
      <c r="BG245" s="205"/>
      <c r="BH245" s="60"/>
      <c r="BI245" s="210" t="s">
        <v>138</v>
      </c>
      <c r="BJ245" s="14"/>
      <c r="BK245" s="91" t="s">
        <v>120</v>
      </c>
      <c r="BL245" s="330"/>
      <c r="BM245" s="14" t="s">
        <v>935</v>
      </c>
      <c r="BN245" s="13" t="s">
        <v>1025</v>
      </c>
      <c r="BO245" s="15" t="s">
        <v>1147</v>
      </c>
    </row>
    <row r="246" spans="1:69" ht="78">
      <c r="A246" s="42">
        <f t="shared" si="80"/>
        <v>166</v>
      </c>
      <c r="B246" s="118" t="s">
        <v>933</v>
      </c>
      <c r="C246" s="79" t="s">
        <v>147</v>
      </c>
      <c r="D246" s="4" t="s">
        <v>36</v>
      </c>
      <c r="E246" s="45">
        <f t="shared" si="77"/>
        <v>0.022</v>
      </c>
      <c r="F246" s="73"/>
      <c r="G246" s="5">
        <f t="shared" si="79"/>
        <v>0.022</v>
      </c>
      <c r="H246" s="150">
        <v>0.005</v>
      </c>
      <c r="I246" s="150"/>
      <c r="J246" s="150"/>
      <c r="K246" s="150">
        <v>0.005</v>
      </c>
      <c r="L246" s="150">
        <v>0.005</v>
      </c>
      <c r="M246" s="150"/>
      <c r="N246" s="150"/>
      <c r="O246" s="150"/>
      <c r="P246" s="150"/>
      <c r="Q246" s="150"/>
      <c r="R246" s="150"/>
      <c r="S246" s="150"/>
      <c r="T246" s="150"/>
      <c r="U246" s="205">
        <f t="shared" si="78"/>
        <v>0.005</v>
      </c>
      <c r="V246" s="204">
        <v>0.005</v>
      </c>
      <c r="W246" s="150"/>
      <c r="X246" s="150"/>
      <c r="Y246" s="150"/>
      <c r="Z246" s="150"/>
      <c r="AA246" s="150"/>
      <c r="AB246" s="150"/>
      <c r="AC246" s="150"/>
      <c r="AD246" s="150"/>
      <c r="AE246" s="150"/>
      <c r="AF246" s="150"/>
      <c r="AG246" s="150"/>
      <c r="AH246" s="150"/>
      <c r="AI246" s="150"/>
      <c r="AJ246" s="150"/>
      <c r="AK246" s="150"/>
      <c r="AL246" s="150"/>
      <c r="AM246" s="150"/>
      <c r="AN246" s="150"/>
      <c r="AO246" s="150"/>
      <c r="AP246" s="150"/>
      <c r="AQ246" s="150"/>
      <c r="AR246" s="150"/>
      <c r="AS246" s="150"/>
      <c r="AT246" s="150">
        <v>0.002</v>
      </c>
      <c r="AU246" s="150"/>
      <c r="AV246" s="150"/>
      <c r="AW246" s="150"/>
      <c r="AX246" s="150"/>
      <c r="AY246" s="150"/>
      <c r="AZ246" s="150"/>
      <c r="BA246" s="150"/>
      <c r="BB246" s="150"/>
      <c r="BC246" s="150"/>
      <c r="BD246" s="150"/>
      <c r="BE246" s="150"/>
      <c r="BF246" s="150"/>
      <c r="BG246" s="150"/>
      <c r="BH246" s="3" t="s">
        <v>264</v>
      </c>
      <c r="BI246" s="79" t="s">
        <v>147</v>
      </c>
      <c r="BJ246" s="55"/>
      <c r="BK246" s="91" t="s">
        <v>120</v>
      </c>
      <c r="BL246" s="48" t="s">
        <v>556</v>
      </c>
      <c r="BM246" s="14" t="s">
        <v>935</v>
      </c>
      <c r="BN246" s="13" t="s">
        <v>1025</v>
      </c>
      <c r="BO246" s="15" t="s">
        <v>1147</v>
      </c>
      <c r="BQ246" s="17"/>
    </row>
    <row r="247" spans="1:67" ht="46.5">
      <c r="A247" s="42">
        <f t="shared" si="80"/>
        <v>167</v>
      </c>
      <c r="B247" s="15" t="s">
        <v>563</v>
      </c>
      <c r="C247" s="211" t="s">
        <v>564</v>
      </c>
      <c r="D247" s="4" t="s">
        <v>36</v>
      </c>
      <c r="E247" s="45">
        <f t="shared" si="77"/>
        <v>0.382</v>
      </c>
      <c r="F247" s="73"/>
      <c r="G247" s="5">
        <f t="shared" si="79"/>
        <v>0.382</v>
      </c>
      <c r="H247" s="205">
        <v>0.1</v>
      </c>
      <c r="I247" s="205"/>
      <c r="J247" s="205"/>
      <c r="K247" s="205">
        <v>0.2</v>
      </c>
      <c r="L247" s="205">
        <v>0.05</v>
      </c>
      <c r="M247" s="205"/>
      <c r="N247" s="205"/>
      <c r="O247" s="205"/>
      <c r="P247" s="205"/>
      <c r="Q247" s="205"/>
      <c r="R247" s="205"/>
      <c r="S247" s="205"/>
      <c r="T247" s="205"/>
      <c r="U247" s="205">
        <f t="shared" si="78"/>
        <v>0.03</v>
      </c>
      <c r="V247" s="204">
        <v>0.03</v>
      </c>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v>0.002</v>
      </c>
      <c r="AU247" s="205"/>
      <c r="AV247" s="205"/>
      <c r="AW247" s="205"/>
      <c r="AX247" s="205"/>
      <c r="AY247" s="205"/>
      <c r="AZ247" s="205"/>
      <c r="BA247" s="205"/>
      <c r="BB247" s="205"/>
      <c r="BC247" s="205"/>
      <c r="BD247" s="205"/>
      <c r="BE247" s="205"/>
      <c r="BF247" s="205"/>
      <c r="BG247" s="205"/>
      <c r="BH247" s="60"/>
      <c r="BI247" s="211" t="s">
        <v>564</v>
      </c>
      <c r="BJ247" s="14"/>
      <c r="BK247" s="91" t="s">
        <v>120</v>
      </c>
      <c r="BL247" s="310" t="s">
        <v>565</v>
      </c>
      <c r="BM247" s="13" t="s">
        <v>194</v>
      </c>
      <c r="BN247" s="13" t="s">
        <v>1025</v>
      </c>
      <c r="BO247" s="15" t="s">
        <v>1147</v>
      </c>
    </row>
    <row r="248" spans="1:67" ht="46.5">
      <c r="A248" s="42">
        <f t="shared" si="80"/>
        <v>168</v>
      </c>
      <c r="B248" s="15" t="s">
        <v>566</v>
      </c>
      <c r="C248" s="211" t="s">
        <v>564</v>
      </c>
      <c r="D248" s="4" t="s">
        <v>36</v>
      </c>
      <c r="E248" s="45">
        <f t="shared" si="77"/>
        <v>0.5</v>
      </c>
      <c r="F248" s="73"/>
      <c r="G248" s="5">
        <f t="shared" si="79"/>
        <v>0.5</v>
      </c>
      <c r="H248" s="205">
        <v>0.1</v>
      </c>
      <c r="I248" s="205"/>
      <c r="J248" s="205"/>
      <c r="K248" s="205">
        <v>0.2</v>
      </c>
      <c r="L248" s="205">
        <v>0.1</v>
      </c>
      <c r="M248" s="205"/>
      <c r="N248" s="205"/>
      <c r="O248" s="205"/>
      <c r="P248" s="205"/>
      <c r="Q248" s="205"/>
      <c r="R248" s="205"/>
      <c r="S248" s="205"/>
      <c r="T248" s="205"/>
      <c r="U248" s="205">
        <f t="shared" si="78"/>
        <v>0.1</v>
      </c>
      <c r="V248" s="204">
        <v>0.1</v>
      </c>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05"/>
      <c r="BC248" s="205"/>
      <c r="BD248" s="205"/>
      <c r="BE248" s="205"/>
      <c r="BF248" s="205"/>
      <c r="BG248" s="205"/>
      <c r="BH248" s="60"/>
      <c r="BI248" s="211" t="s">
        <v>564</v>
      </c>
      <c r="BJ248" s="14"/>
      <c r="BK248" s="91" t="s">
        <v>120</v>
      </c>
      <c r="BL248" s="310"/>
      <c r="BM248" s="13" t="s">
        <v>194</v>
      </c>
      <c r="BN248" s="13" t="s">
        <v>1025</v>
      </c>
      <c r="BO248" s="15" t="s">
        <v>1147</v>
      </c>
    </row>
    <row r="249" spans="1:69" ht="31.5" customHeight="1">
      <c r="A249" s="42">
        <f t="shared" si="80"/>
        <v>169</v>
      </c>
      <c r="B249" s="83" t="s">
        <v>567</v>
      </c>
      <c r="C249" s="59" t="s">
        <v>91</v>
      </c>
      <c r="D249" s="4" t="s">
        <v>36</v>
      </c>
      <c r="E249" s="45">
        <f t="shared" si="77"/>
        <v>0.018000000000000002</v>
      </c>
      <c r="F249" s="73"/>
      <c r="G249" s="5">
        <f t="shared" si="79"/>
        <v>0.018000000000000002</v>
      </c>
      <c r="H249" s="205">
        <v>0.006</v>
      </c>
      <c r="I249" s="205"/>
      <c r="J249" s="205"/>
      <c r="K249" s="205">
        <v>0.005</v>
      </c>
      <c r="L249" s="205">
        <v>0.005</v>
      </c>
      <c r="M249" s="205"/>
      <c r="N249" s="212"/>
      <c r="O249" s="205"/>
      <c r="P249" s="205"/>
      <c r="Q249" s="205"/>
      <c r="R249" s="205"/>
      <c r="S249" s="205"/>
      <c r="T249" s="205"/>
      <c r="U249" s="205"/>
      <c r="V249" s="204"/>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205">
        <v>0.002</v>
      </c>
      <c r="AU249" s="205"/>
      <c r="AV249" s="205"/>
      <c r="AW249" s="205"/>
      <c r="AX249" s="205"/>
      <c r="AY249" s="205"/>
      <c r="AZ249" s="205"/>
      <c r="BA249" s="205"/>
      <c r="BB249" s="205"/>
      <c r="BC249" s="205"/>
      <c r="BD249" s="205"/>
      <c r="BE249" s="205"/>
      <c r="BF249" s="205"/>
      <c r="BG249" s="205"/>
      <c r="BH249" s="10" t="s">
        <v>299</v>
      </c>
      <c r="BI249" s="59" t="s">
        <v>91</v>
      </c>
      <c r="BJ249" s="14"/>
      <c r="BK249" s="91" t="s">
        <v>68</v>
      </c>
      <c r="BL249" s="330" t="s">
        <v>556</v>
      </c>
      <c r="BM249" s="13" t="s">
        <v>194</v>
      </c>
      <c r="BN249" s="13"/>
      <c r="BO249" s="15" t="s">
        <v>1147</v>
      </c>
      <c r="BQ249" s="17"/>
    </row>
    <row r="250" spans="1:69" ht="46.5">
      <c r="A250" s="42">
        <f t="shared" si="80"/>
        <v>170</v>
      </c>
      <c r="B250" s="83" t="s">
        <v>568</v>
      </c>
      <c r="C250" s="59" t="s">
        <v>91</v>
      </c>
      <c r="D250" s="4" t="s">
        <v>36</v>
      </c>
      <c r="E250" s="45">
        <f t="shared" si="77"/>
        <v>0.018000000000000002</v>
      </c>
      <c r="F250" s="73"/>
      <c r="G250" s="5">
        <f t="shared" si="79"/>
        <v>0.018000000000000002</v>
      </c>
      <c r="H250" s="205">
        <v>0.006</v>
      </c>
      <c r="I250" s="205"/>
      <c r="J250" s="205"/>
      <c r="K250" s="205">
        <v>0.005</v>
      </c>
      <c r="L250" s="205">
        <v>0.005</v>
      </c>
      <c r="M250" s="205"/>
      <c r="N250" s="212"/>
      <c r="O250" s="205"/>
      <c r="P250" s="205"/>
      <c r="Q250" s="205"/>
      <c r="R250" s="205"/>
      <c r="S250" s="205"/>
      <c r="T250" s="205"/>
      <c r="U250" s="205"/>
      <c r="V250" s="204"/>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v>0.002</v>
      </c>
      <c r="AU250" s="205"/>
      <c r="AV250" s="205"/>
      <c r="AW250" s="205"/>
      <c r="AX250" s="205"/>
      <c r="AY250" s="205"/>
      <c r="AZ250" s="205"/>
      <c r="BA250" s="205"/>
      <c r="BB250" s="205"/>
      <c r="BC250" s="205"/>
      <c r="BD250" s="205"/>
      <c r="BE250" s="205"/>
      <c r="BF250" s="205"/>
      <c r="BG250" s="205"/>
      <c r="BH250" s="10" t="s">
        <v>400</v>
      </c>
      <c r="BI250" s="59" t="s">
        <v>91</v>
      </c>
      <c r="BJ250" s="14"/>
      <c r="BK250" s="91" t="s">
        <v>68</v>
      </c>
      <c r="BL250" s="330"/>
      <c r="BM250" s="13" t="s">
        <v>194</v>
      </c>
      <c r="BN250" s="13"/>
      <c r="BO250" s="15" t="s">
        <v>1147</v>
      </c>
      <c r="BQ250" s="17"/>
    </row>
    <row r="251" spans="1:69" ht="78">
      <c r="A251" s="42">
        <f t="shared" si="80"/>
        <v>171</v>
      </c>
      <c r="B251" s="213" t="s">
        <v>569</v>
      </c>
      <c r="C251" s="14" t="s">
        <v>71</v>
      </c>
      <c r="D251" s="4" t="s">
        <v>36</v>
      </c>
      <c r="E251" s="45">
        <f t="shared" si="77"/>
        <v>0.026000000000000002</v>
      </c>
      <c r="F251" s="73"/>
      <c r="G251" s="5">
        <f t="shared" si="79"/>
        <v>0.026000000000000002</v>
      </c>
      <c r="H251" s="205">
        <v>0.006</v>
      </c>
      <c r="I251" s="212"/>
      <c r="J251" s="205"/>
      <c r="K251" s="212">
        <v>0.006</v>
      </c>
      <c r="L251" s="212">
        <v>0.006</v>
      </c>
      <c r="M251" s="205"/>
      <c r="N251" s="205"/>
      <c r="O251" s="205"/>
      <c r="P251" s="205"/>
      <c r="Q251" s="205"/>
      <c r="R251" s="205"/>
      <c r="S251" s="205"/>
      <c r="T251" s="205"/>
      <c r="U251" s="205">
        <f aca="true" t="shared" si="81" ref="U251:U259">SUM(V251:X251)</f>
        <v>0.006</v>
      </c>
      <c r="V251" s="206">
        <v>0.006</v>
      </c>
      <c r="W251" s="206"/>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12">
        <v>0.002</v>
      </c>
      <c r="AU251" s="205"/>
      <c r="AV251" s="205"/>
      <c r="AW251" s="205"/>
      <c r="AX251" s="205"/>
      <c r="AY251" s="205"/>
      <c r="AZ251" s="205"/>
      <c r="BA251" s="205"/>
      <c r="BB251" s="205"/>
      <c r="BC251" s="205"/>
      <c r="BD251" s="205"/>
      <c r="BE251" s="205"/>
      <c r="BF251" s="205"/>
      <c r="BG251" s="205"/>
      <c r="BH251" s="10"/>
      <c r="BI251" s="14" t="s">
        <v>71</v>
      </c>
      <c r="BJ251" s="214"/>
      <c r="BK251" s="91" t="s">
        <v>120</v>
      </c>
      <c r="BL251" s="330"/>
      <c r="BM251" s="13" t="s">
        <v>194</v>
      </c>
      <c r="BN251" s="13"/>
      <c r="BO251" s="15" t="s">
        <v>1147</v>
      </c>
      <c r="BQ251" s="17"/>
    </row>
    <row r="252" spans="1:69" ht="46.5">
      <c r="A252" s="42">
        <f t="shared" si="80"/>
        <v>172</v>
      </c>
      <c r="B252" s="118" t="s">
        <v>570</v>
      </c>
      <c r="C252" s="14" t="s">
        <v>87</v>
      </c>
      <c r="D252" s="4" t="s">
        <v>36</v>
      </c>
      <c r="E252" s="45">
        <f t="shared" si="77"/>
        <v>0.022</v>
      </c>
      <c r="F252" s="73"/>
      <c r="G252" s="5">
        <f t="shared" si="79"/>
        <v>0.022</v>
      </c>
      <c r="H252" s="205">
        <v>0.005</v>
      </c>
      <c r="I252" s="205"/>
      <c r="J252" s="205"/>
      <c r="K252" s="205">
        <v>0.005</v>
      </c>
      <c r="L252" s="205">
        <v>0.005</v>
      </c>
      <c r="M252" s="205">
        <f>SUM(N252:P252)</f>
        <v>0</v>
      </c>
      <c r="N252" s="205"/>
      <c r="O252" s="205"/>
      <c r="P252" s="205"/>
      <c r="Q252" s="205"/>
      <c r="R252" s="205"/>
      <c r="S252" s="205"/>
      <c r="T252" s="205"/>
      <c r="U252" s="205">
        <f t="shared" si="81"/>
        <v>0.005</v>
      </c>
      <c r="V252" s="204">
        <v>0.005</v>
      </c>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205"/>
      <c r="AT252" s="205">
        <v>0.002</v>
      </c>
      <c r="AU252" s="205"/>
      <c r="AV252" s="205"/>
      <c r="AW252" s="205"/>
      <c r="AX252" s="205"/>
      <c r="AY252" s="205"/>
      <c r="AZ252" s="205"/>
      <c r="BA252" s="205"/>
      <c r="BB252" s="205"/>
      <c r="BC252" s="205"/>
      <c r="BD252" s="205"/>
      <c r="BE252" s="205"/>
      <c r="BF252" s="205"/>
      <c r="BG252" s="205"/>
      <c r="BH252" s="10" t="s">
        <v>127</v>
      </c>
      <c r="BI252" s="14" t="s">
        <v>87</v>
      </c>
      <c r="BJ252" s="4"/>
      <c r="BK252" s="91" t="s">
        <v>120</v>
      </c>
      <c r="BL252" s="330"/>
      <c r="BM252" s="14" t="s">
        <v>935</v>
      </c>
      <c r="BN252" s="13"/>
      <c r="BO252" s="15" t="s">
        <v>1147</v>
      </c>
      <c r="BQ252" s="17"/>
    </row>
    <row r="253" spans="1:69" ht="46.5">
      <c r="A253" s="42">
        <f t="shared" si="80"/>
        <v>173</v>
      </c>
      <c r="B253" s="118" t="s">
        <v>571</v>
      </c>
      <c r="C253" s="14" t="s">
        <v>147</v>
      </c>
      <c r="D253" s="4" t="s">
        <v>36</v>
      </c>
      <c r="E253" s="45">
        <f t="shared" si="77"/>
        <v>0.022</v>
      </c>
      <c r="F253" s="73"/>
      <c r="G253" s="5">
        <f t="shared" si="79"/>
        <v>0.022</v>
      </c>
      <c r="H253" s="150">
        <v>0.005</v>
      </c>
      <c r="I253" s="150"/>
      <c r="J253" s="150"/>
      <c r="K253" s="150">
        <v>0.005</v>
      </c>
      <c r="L253" s="150">
        <v>0.005</v>
      </c>
      <c r="M253" s="150">
        <f>SUM(N253:P253)</f>
        <v>0</v>
      </c>
      <c r="N253" s="150"/>
      <c r="O253" s="150"/>
      <c r="P253" s="150"/>
      <c r="Q253" s="150"/>
      <c r="R253" s="150"/>
      <c r="S253" s="150"/>
      <c r="T253" s="150"/>
      <c r="U253" s="205">
        <f t="shared" si="81"/>
        <v>0.005</v>
      </c>
      <c r="V253" s="204">
        <v>0.005</v>
      </c>
      <c r="W253" s="150"/>
      <c r="X253" s="150"/>
      <c r="Y253" s="150"/>
      <c r="Z253" s="150"/>
      <c r="AA253" s="150"/>
      <c r="AB253" s="150"/>
      <c r="AC253" s="150"/>
      <c r="AD253" s="150"/>
      <c r="AE253" s="150"/>
      <c r="AF253" s="150"/>
      <c r="AG253" s="150"/>
      <c r="AH253" s="150"/>
      <c r="AI253" s="150"/>
      <c r="AJ253" s="150"/>
      <c r="AK253" s="150"/>
      <c r="AL253" s="150"/>
      <c r="AM253" s="150"/>
      <c r="AN253" s="150"/>
      <c r="AO253" s="150"/>
      <c r="AP253" s="150"/>
      <c r="AQ253" s="150"/>
      <c r="AR253" s="150"/>
      <c r="AS253" s="150"/>
      <c r="AT253" s="150">
        <v>0.002</v>
      </c>
      <c r="AU253" s="150"/>
      <c r="AV253" s="150"/>
      <c r="AW253" s="150"/>
      <c r="AX253" s="150"/>
      <c r="AY253" s="150"/>
      <c r="AZ253" s="150"/>
      <c r="BA253" s="150"/>
      <c r="BB253" s="150"/>
      <c r="BC253" s="150"/>
      <c r="BD253" s="150"/>
      <c r="BE253" s="150"/>
      <c r="BF253" s="150"/>
      <c r="BG253" s="150"/>
      <c r="BH253" s="10"/>
      <c r="BI253" s="14" t="s">
        <v>147</v>
      </c>
      <c r="BJ253" s="14"/>
      <c r="BK253" s="91" t="s">
        <v>120</v>
      </c>
      <c r="BL253" s="330" t="s">
        <v>556</v>
      </c>
      <c r="BM253" s="14" t="s">
        <v>935</v>
      </c>
      <c r="BN253" s="13"/>
      <c r="BO253" s="15" t="s">
        <v>1147</v>
      </c>
      <c r="BQ253" s="17"/>
    </row>
    <row r="254" spans="1:69" ht="46.5">
      <c r="A254" s="42">
        <f t="shared" si="80"/>
        <v>174</v>
      </c>
      <c r="B254" s="118" t="s">
        <v>572</v>
      </c>
      <c r="C254" s="14" t="s">
        <v>82</v>
      </c>
      <c r="D254" s="4" t="s">
        <v>36</v>
      </c>
      <c r="E254" s="45">
        <f t="shared" si="77"/>
        <v>0.022</v>
      </c>
      <c r="F254" s="5"/>
      <c r="G254" s="5">
        <f t="shared" si="79"/>
        <v>0.022</v>
      </c>
      <c r="H254" s="208">
        <v>0.005</v>
      </c>
      <c r="I254" s="208"/>
      <c r="J254" s="208"/>
      <c r="K254" s="208">
        <v>0.005</v>
      </c>
      <c r="L254" s="208">
        <v>0.005</v>
      </c>
      <c r="M254" s="208">
        <f>SUM(N254:P254)</f>
        <v>0</v>
      </c>
      <c r="N254" s="208"/>
      <c r="O254" s="208"/>
      <c r="P254" s="208"/>
      <c r="Q254" s="208">
        <f>R254+S254+T254</f>
        <v>0</v>
      </c>
      <c r="R254" s="208"/>
      <c r="S254" s="208"/>
      <c r="T254" s="208"/>
      <c r="U254" s="208">
        <f t="shared" si="81"/>
        <v>0.005</v>
      </c>
      <c r="V254" s="208">
        <v>0.005</v>
      </c>
      <c r="W254" s="208"/>
      <c r="X254" s="208"/>
      <c r="Y254" s="208"/>
      <c r="Z254" s="208"/>
      <c r="AA254" s="208"/>
      <c r="AB254" s="208"/>
      <c r="AC254" s="208"/>
      <c r="AD254" s="208"/>
      <c r="AE254" s="208"/>
      <c r="AF254" s="208"/>
      <c r="AG254" s="208"/>
      <c r="AH254" s="208"/>
      <c r="AI254" s="208"/>
      <c r="AJ254" s="208"/>
      <c r="AK254" s="208"/>
      <c r="AL254" s="208"/>
      <c r="AM254" s="208"/>
      <c r="AN254" s="208"/>
      <c r="AO254" s="208"/>
      <c r="AP254" s="208"/>
      <c r="AQ254" s="208"/>
      <c r="AR254" s="208"/>
      <c r="AS254" s="208"/>
      <c r="AT254" s="208">
        <v>0.002</v>
      </c>
      <c r="AU254" s="208"/>
      <c r="AV254" s="208"/>
      <c r="AW254" s="208"/>
      <c r="AX254" s="208"/>
      <c r="AY254" s="208"/>
      <c r="AZ254" s="208"/>
      <c r="BA254" s="208"/>
      <c r="BB254" s="208"/>
      <c r="BC254" s="208"/>
      <c r="BD254" s="208"/>
      <c r="BE254" s="208"/>
      <c r="BF254" s="208"/>
      <c r="BG254" s="208"/>
      <c r="BH254" s="10"/>
      <c r="BI254" s="14" t="s">
        <v>82</v>
      </c>
      <c r="BJ254" s="14"/>
      <c r="BK254" s="12" t="s">
        <v>120</v>
      </c>
      <c r="BL254" s="330"/>
      <c r="BM254" s="14" t="s">
        <v>935</v>
      </c>
      <c r="BN254" s="13"/>
      <c r="BO254" s="15" t="s">
        <v>1147</v>
      </c>
      <c r="BQ254" s="17"/>
    </row>
    <row r="255" spans="1:69" ht="46.5">
      <c r="A255" s="42">
        <f t="shared" si="80"/>
        <v>175</v>
      </c>
      <c r="B255" s="47" t="s">
        <v>573</v>
      </c>
      <c r="C255" s="56" t="s">
        <v>106</v>
      </c>
      <c r="D255" s="4" t="s">
        <v>36</v>
      </c>
      <c r="E255" s="45">
        <f t="shared" si="77"/>
        <v>0.022</v>
      </c>
      <c r="F255" s="73"/>
      <c r="G255" s="5">
        <f t="shared" si="79"/>
        <v>0.022</v>
      </c>
      <c r="H255" s="205">
        <v>0.005</v>
      </c>
      <c r="I255" s="205"/>
      <c r="J255" s="205"/>
      <c r="K255" s="205">
        <v>0.005</v>
      </c>
      <c r="L255" s="205">
        <v>0.005</v>
      </c>
      <c r="M255" s="205">
        <f>SUM(N255:P255)</f>
        <v>0</v>
      </c>
      <c r="N255" s="205"/>
      <c r="O255" s="205"/>
      <c r="P255" s="205"/>
      <c r="Q255" s="205"/>
      <c r="R255" s="205"/>
      <c r="S255" s="205"/>
      <c r="T255" s="205"/>
      <c r="U255" s="205">
        <f t="shared" si="81"/>
        <v>0.005</v>
      </c>
      <c r="V255" s="204">
        <v>0.005</v>
      </c>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205"/>
      <c r="AT255" s="205">
        <v>0.002</v>
      </c>
      <c r="AU255" s="205"/>
      <c r="AV255" s="205"/>
      <c r="AW255" s="205"/>
      <c r="AX255" s="205"/>
      <c r="AY255" s="205"/>
      <c r="AZ255" s="205"/>
      <c r="BA255" s="205"/>
      <c r="BB255" s="205"/>
      <c r="BC255" s="205"/>
      <c r="BD255" s="205"/>
      <c r="BE255" s="205"/>
      <c r="BF255" s="205"/>
      <c r="BG255" s="205"/>
      <c r="BH255" s="79" t="s">
        <v>107</v>
      </c>
      <c r="BI255" s="56" t="s">
        <v>106</v>
      </c>
      <c r="BJ255" s="14"/>
      <c r="BK255" s="91" t="s">
        <v>120</v>
      </c>
      <c r="BL255" s="330"/>
      <c r="BM255" s="14" t="s">
        <v>935</v>
      </c>
      <c r="BN255" s="13"/>
      <c r="BO255" s="15" t="s">
        <v>1147</v>
      </c>
      <c r="BQ255" s="17"/>
    </row>
    <row r="256" spans="1:69" ht="31.5" customHeight="1">
      <c r="A256" s="42">
        <f t="shared" si="80"/>
        <v>176</v>
      </c>
      <c r="B256" s="47" t="s">
        <v>574</v>
      </c>
      <c r="C256" s="14" t="s">
        <v>147</v>
      </c>
      <c r="D256" s="4" t="s">
        <v>36</v>
      </c>
      <c r="E256" s="45">
        <f t="shared" si="77"/>
        <v>0.022</v>
      </c>
      <c r="F256" s="73"/>
      <c r="G256" s="5">
        <f t="shared" si="79"/>
        <v>0.022</v>
      </c>
      <c r="H256" s="150">
        <v>0.005</v>
      </c>
      <c r="I256" s="150"/>
      <c r="J256" s="150"/>
      <c r="K256" s="150">
        <v>0.005</v>
      </c>
      <c r="L256" s="150">
        <v>0.005</v>
      </c>
      <c r="M256" s="150">
        <f>SUM(N256:P256)</f>
        <v>0</v>
      </c>
      <c r="N256" s="150"/>
      <c r="O256" s="150"/>
      <c r="P256" s="150"/>
      <c r="Q256" s="150"/>
      <c r="R256" s="150"/>
      <c r="S256" s="150"/>
      <c r="T256" s="150"/>
      <c r="U256" s="205">
        <f t="shared" si="81"/>
        <v>0.005</v>
      </c>
      <c r="V256" s="204">
        <v>0.005</v>
      </c>
      <c r="W256" s="150"/>
      <c r="X256" s="150"/>
      <c r="Y256" s="150"/>
      <c r="Z256" s="150"/>
      <c r="AA256" s="150"/>
      <c r="AB256" s="150"/>
      <c r="AC256" s="150"/>
      <c r="AD256" s="150"/>
      <c r="AE256" s="150"/>
      <c r="AF256" s="150"/>
      <c r="AG256" s="150"/>
      <c r="AH256" s="150"/>
      <c r="AI256" s="150"/>
      <c r="AJ256" s="150"/>
      <c r="AK256" s="150"/>
      <c r="AL256" s="150"/>
      <c r="AM256" s="150"/>
      <c r="AN256" s="150"/>
      <c r="AO256" s="150"/>
      <c r="AP256" s="150"/>
      <c r="AQ256" s="150"/>
      <c r="AR256" s="150"/>
      <c r="AS256" s="150"/>
      <c r="AT256" s="150">
        <v>0.002</v>
      </c>
      <c r="AU256" s="150"/>
      <c r="AV256" s="150"/>
      <c r="AW256" s="150"/>
      <c r="AX256" s="150"/>
      <c r="AY256" s="150"/>
      <c r="AZ256" s="150"/>
      <c r="BA256" s="150"/>
      <c r="BB256" s="150"/>
      <c r="BC256" s="150"/>
      <c r="BD256" s="150"/>
      <c r="BE256" s="150"/>
      <c r="BF256" s="150"/>
      <c r="BG256" s="150"/>
      <c r="BH256" s="10" t="s">
        <v>232</v>
      </c>
      <c r="BI256" s="14" t="s">
        <v>147</v>
      </c>
      <c r="BJ256" s="14"/>
      <c r="BK256" s="91" t="s">
        <v>120</v>
      </c>
      <c r="BL256" s="330"/>
      <c r="BM256" s="14" t="s">
        <v>935</v>
      </c>
      <c r="BN256" s="13"/>
      <c r="BO256" s="15" t="s">
        <v>1147</v>
      </c>
      <c r="BQ256" s="17"/>
    </row>
    <row r="257" spans="1:69" ht="46.5">
      <c r="A257" s="42">
        <f t="shared" si="80"/>
        <v>177</v>
      </c>
      <c r="B257" s="215" t="s">
        <v>575</v>
      </c>
      <c r="C257" s="14" t="s">
        <v>99</v>
      </c>
      <c r="D257" s="4" t="s">
        <v>36</v>
      </c>
      <c r="E257" s="45">
        <f t="shared" si="77"/>
        <v>0.016</v>
      </c>
      <c r="F257" s="73"/>
      <c r="G257" s="5">
        <f t="shared" si="79"/>
        <v>0.016</v>
      </c>
      <c r="H257" s="205">
        <v>0.006</v>
      </c>
      <c r="I257" s="205"/>
      <c r="J257" s="205"/>
      <c r="K257" s="205">
        <v>0.005</v>
      </c>
      <c r="L257" s="205">
        <v>0.005</v>
      </c>
      <c r="M257" s="205"/>
      <c r="N257" s="205"/>
      <c r="O257" s="205"/>
      <c r="P257" s="205"/>
      <c r="Q257" s="205"/>
      <c r="R257" s="205"/>
      <c r="S257" s="205"/>
      <c r="T257" s="205"/>
      <c r="U257" s="205">
        <f t="shared" si="81"/>
        <v>0</v>
      </c>
      <c r="V257" s="204"/>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205"/>
      <c r="AU257" s="205"/>
      <c r="AV257" s="205"/>
      <c r="AW257" s="205"/>
      <c r="AX257" s="205"/>
      <c r="AY257" s="205"/>
      <c r="AZ257" s="205"/>
      <c r="BA257" s="205"/>
      <c r="BB257" s="205"/>
      <c r="BC257" s="205"/>
      <c r="BD257" s="205"/>
      <c r="BE257" s="205"/>
      <c r="BF257" s="205"/>
      <c r="BG257" s="205"/>
      <c r="BH257" s="10" t="s">
        <v>953</v>
      </c>
      <c r="BI257" s="14" t="s">
        <v>99</v>
      </c>
      <c r="BJ257" s="13"/>
      <c r="BK257" s="91" t="s">
        <v>68</v>
      </c>
      <c r="BL257" s="330"/>
      <c r="BM257" s="13" t="s">
        <v>194</v>
      </c>
      <c r="BN257" s="13"/>
      <c r="BO257" s="15" t="s">
        <v>1147</v>
      </c>
      <c r="BQ257" s="17"/>
    </row>
    <row r="258" spans="1:67" ht="46.5">
      <c r="A258" s="42">
        <f t="shared" si="80"/>
        <v>178</v>
      </c>
      <c r="B258" s="215" t="s">
        <v>576</v>
      </c>
      <c r="C258" s="14" t="s">
        <v>973</v>
      </c>
      <c r="D258" s="4" t="s">
        <v>36</v>
      </c>
      <c r="E258" s="45">
        <f t="shared" si="77"/>
        <v>0.8500000000000001</v>
      </c>
      <c r="F258" s="73"/>
      <c r="G258" s="5">
        <f t="shared" si="79"/>
        <v>0.8500000000000001</v>
      </c>
      <c r="H258" s="205">
        <v>0.28</v>
      </c>
      <c r="I258" s="205"/>
      <c r="J258" s="205"/>
      <c r="K258" s="205">
        <v>0.2</v>
      </c>
      <c r="L258" s="205">
        <v>0.2</v>
      </c>
      <c r="M258" s="205"/>
      <c r="N258" s="205"/>
      <c r="O258" s="205"/>
      <c r="P258" s="205"/>
      <c r="Q258" s="205"/>
      <c r="R258" s="205"/>
      <c r="S258" s="205"/>
      <c r="T258" s="205"/>
      <c r="U258" s="205">
        <f t="shared" si="81"/>
        <v>0.15</v>
      </c>
      <c r="V258" s="204">
        <v>0.15</v>
      </c>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205">
        <v>0.02</v>
      </c>
      <c r="AU258" s="205"/>
      <c r="AV258" s="205"/>
      <c r="AW258" s="205"/>
      <c r="AX258" s="205"/>
      <c r="AY258" s="205"/>
      <c r="AZ258" s="205"/>
      <c r="BA258" s="205"/>
      <c r="BB258" s="205"/>
      <c r="BC258" s="205"/>
      <c r="BD258" s="205"/>
      <c r="BE258" s="205"/>
      <c r="BF258" s="205"/>
      <c r="BG258" s="205"/>
      <c r="BH258" s="10"/>
      <c r="BI258" s="14" t="s">
        <v>973</v>
      </c>
      <c r="BJ258" s="13"/>
      <c r="BK258" s="91" t="s">
        <v>374</v>
      </c>
      <c r="BL258" s="330"/>
      <c r="BM258" s="13" t="s">
        <v>194</v>
      </c>
      <c r="BN258" s="13"/>
      <c r="BO258" s="15" t="s">
        <v>1147</v>
      </c>
    </row>
    <row r="259" spans="1:69" ht="46.5">
      <c r="A259" s="42">
        <f t="shared" si="80"/>
        <v>179</v>
      </c>
      <c r="B259" s="215" t="s">
        <v>577</v>
      </c>
      <c r="C259" s="14" t="s">
        <v>578</v>
      </c>
      <c r="D259" s="4" t="s">
        <v>36</v>
      </c>
      <c r="E259" s="45">
        <f t="shared" si="77"/>
        <v>0.04</v>
      </c>
      <c r="F259" s="73"/>
      <c r="G259" s="5">
        <f t="shared" si="79"/>
        <v>0.04</v>
      </c>
      <c r="H259" s="205">
        <v>0.01</v>
      </c>
      <c r="I259" s="205"/>
      <c r="J259" s="205"/>
      <c r="K259" s="205">
        <v>0.01</v>
      </c>
      <c r="L259" s="205">
        <v>0.01</v>
      </c>
      <c r="M259" s="205"/>
      <c r="N259" s="205"/>
      <c r="O259" s="205"/>
      <c r="P259" s="205"/>
      <c r="Q259" s="205"/>
      <c r="R259" s="205"/>
      <c r="S259" s="205"/>
      <c r="T259" s="205"/>
      <c r="U259" s="205">
        <f t="shared" si="81"/>
        <v>0.01</v>
      </c>
      <c r="V259" s="205">
        <v>0.01</v>
      </c>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205"/>
      <c r="AT259" s="205"/>
      <c r="AU259" s="205"/>
      <c r="AV259" s="205"/>
      <c r="AW259" s="205"/>
      <c r="AX259" s="205"/>
      <c r="AY259" s="205"/>
      <c r="AZ259" s="205"/>
      <c r="BA259" s="205"/>
      <c r="BB259" s="205"/>
      <c r="BC259" s="205"/>
      <c r="BD259" s="205"/>
      <c r="BE259" s="205"/>
      <c r="BF259" s="205"/>
      <c r="BG259" s="205"/>
      <c r="BH259" s="10"/>
      <c r="BI259" s="14" t="s">
        <v>578</v>
      </c>
      <c r="BJ259" s="13"/>
      <c r="BK259" s="91" t="s">
        <v>120</v>
      </c>
      <c r="BL259" s="330"/>
      <c r="BM259" s="14" t="s">
        <v>935</v>
      </c>
      <c r="BN259" s="13"/>
      <c r="BO259" s="15" t="s">
        <v>1147</v>
      </c>
      <c r="BQ259" s="17"/>
    </row>
    <row r="260" spans="1:69" ht="46.5">
      <c r="A260" s="42">
        <f t="shared" si="80"/>
        <v>180</v>
      </c>
      <c r="B260" s="215" t="s">
        <v>579</v>
      </c>
      <c r="C260" s="14" t="s">
        <v>370</v>
      </c>
      <c r="D260" s="4" t="s">
        <v>36</v>
      </c>
      <c r="E260" s="45">
        <f t="shared" si="77"/>
        <v>0.060000000000000005</v>
      </c>
      <c r="F260" s="73"/>
      <c r="G260" s="198">
        <f t="shared" si="79"/>
        <v>0.060000000000000005</v>
      </c>
      <c r="H260" s="205">
        <v>0.015</v>
      </c>
      <c r="I260" s="205"/>
      <c r="J260" s="205"/>
      <c r="K260" s="205">
        <v>0.015</v>
      </c>
      <c r="L260" s="205">
        <v>0.015</v>
      </c>
      <c r="M260" s="205"/>
      <c r="N260" s="205"/>
      <c r="O260" s="205"/>
      <c r="P260" s="205"/>
      <c r="Q260" s="205"/>
      <c r="R260" s="205"/>
      <c r="S260" s="205"/>
      <c r="T260" s="205"/>
      <c r="U260" s="205">
        <f aca="true" t="shared" si="82" ref="U260:U267">SUM(V260:X260)</f>
        <v>0.01</v>
      </c>
      <c r="V260" s="204">
        <v>0.01</v>
      </c>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205">
        <v>0.002</v>
      </c>
      <c r="AU260" s="205"/>
      <c r="AV260" s="205"/>
      <c r="AW260" s="205"/>
      <c r="AX260" s="205"/>
      <c r="AY260" s="205"/>
      <c r="AZ260" s="205"/>
      <c r="BA260" s="205"/>
      <c r="BB260" s="205"/>
      <c r="BC260" s="205"/>
      <c r="BD260" s="205">
        <v>0.003</v>
      </c>
      <c r="BE260" s="205"/>
      <c r="BF260" s="205"/>
      <c r="BG260" s="205"/>
      <c r="BH260" s="10"/>
      <c r="BI260" s="14" t="s">
        <v>370</v>
      </c>
      <c r="BJ260" s="13"/>
      <c r="BK260" s="91" t="s">
        <v>120</v>
      </c>
      <c r="BL260" s="330"/>
      <c r="BM260" s="14" t="s">
        <v>935</v>
      </c>
      <c r="BN260" s="13"/>
      <c r="BO260" s="15" t="s">
        <v>1147</v>
      </c>
      <c r="BQ260" s="17"/>
    </row>
    <row r="261" spans="1:69" ht="46.5">
      <c r="A261" s="42">
        <f t="shared" si="80"/>
        <v>181</v>
      </c>
      <c r="B261" s="215" t="s">
        <v>580</v>
      </c>
      <c r="C261" s="14" t="s">
        <v>370</v>
      </c>
      <c r="D261" s="4" t="s">
        <v>36</v>
      </c>
      <c r="E261" s="45">
        <f t="shared" si="77"/>
        <v>0.2</v>
      </c>
      <c r="F261" s="73"/>
      <c r="G261" s="198">
        <f t="shared" si="79"/>
        <v>0.2</v>
      </c>
      <c r="H261" s="205">
        <v>0.05</v>
      </c>
      <c r="I261" s="205"/>
      <c r="J261" s="205"/>
      <c r="K261" s="205">
        <v>0.05</v>
      </c>
      <c r="L261" s="205">
        <v>0.05</v>
      </c>
      <c r="M261" s="205"/>
      <c r="N261" s="205"/>
      <c r="O261" s="205"/>
      <c r="P261" s="205"/>
      <c r="Q261" s="205"/>
      <c r="R261" s="205"/>
      <c r="S261" s="205"/>
      <c r="T261" s="205"/>
      <c r="U261" s="205">
        <f t="shared" si="82"/>
        <v>0.05</v>
      </c>
      <c r="V261" s="204">
        <v>0.05</v>
      </c>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205"/>
      <c r="AU261" s="205"/>
      <c r="AV261" s="205"/>
      <c r="AW261" s="205"/>
      <c r="AX261" s="205"/>
      <c r="AY261" s="205"/>
      <c r="AZ261" s="205"/>
      <c r="BA261" s="205"/>
      <c r="BB261" s="205"/>
      <c r="BC261" s="205"/>
      <c r="BD261" s="205"/>
      <c r="BE261" s="205"/>
      <c r="BF261" s="205"/>
      <c r="BG261" s="205"/>
      <c r="BH261" s="10"/>
      <c r="BI261" s="14" t="s">
        <v>370</v>
      </c>
      <c r="BJ261" s="13"/>
      <c r="BK261" s="91" t="s">
        <v>374</v>
      </c>
      <c r="BL261" s="330"/>
      <c r="BM261" s="13" t="s">
        <v>194</v>
      </c>
      <c r="BN261" s="13"/>
      <c r="BO261" s="15" t="s">
        <v>1147</v>
      </c>
      <c r="BQ261" s="17"/>
    </row>
    <row r="262" spans="1:69" ht="46.5">
      <c r="A262" s="42">
        <f t="shared" si="80"/>
        <v>182</v>
      </c>
      <c r="B262" s="215" t="s">
        <v>581</v>
      </c>
      <c r="C262" s="14" t="s">
        <v>370</v>
      </c>
      <c r="D262" s="4" t="s">
        <v>36</v>
      </c>
      <c r="E262" s="45">
        <f t="shared" si="77"/>
        <v>0.78</v>
      </c>
      <c r="F262" s="73"/>
      <c r="G262" s="198">
        <f t="shared" si="79"/>
        <v>0.78</v>
      </c>
      <c r="H262" s="205">
        <f>0.23-0.01</f>
        <v>0.22</v>
      </c>
      <c r="I262" s="205"/>
      <c r="J262" s="205"/>
      <c r="K262" s="205">
        <f>0.13-0.01</f>
        <v>0.12000000000000001</v>
      </c>
      <c r="L262" s="205">
        <f>0.22-0.01</f>
        <v>0.21</v>
      </c>
      <c r="M262" s="205"/>
      <c r="N262" s="205"/>
      <c r="O262" s="205"/>
      <c r="P262" s="205"/>
      <c r="Q262" s="205"/>
      <c r="R262" s="205"/>
      <c r="S262" s="205"/>
      <c r="T262" s="205"/>
      <c r="U262" s="205">
        <f t="shared" si="82"/>
        <v>0.23</v>
      </c>
      <c r="V262" s="204">
        <f>0.23</f>
        <v>0.23</v>
      </c>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205"/>
      <c r="AT262" s="205"/>
      <c r="AU262" s="205"/>
      <c r="AV262" s="205"/>
      <c r="AW262" s="205"/>
      <c r="AX262" s="205"/>
      <c r="AY262" s="205"/>
      <c r="AZ262" s="205"/>
      <c r="BA262" s="205"/>
      <c r="BB262" s="205"/>
      <c r="BC262" s="205"/>
      <c r="BD262" s="205"/>
      <c r="BE262" s="205"/>
      <c r="BF262" s="205"/>
      <c r="BG262" s="205"/>
      <c r="BH262" s="10"/>
      <c r="BI262" s="14" t="s">
        <v>370</v>
      </c>
      <c r="BJ262" s="13"/>
      <c r="BK262" s="91" t="s">
        <v>374</v>
      </c>
      <c r="BL262" s="330"/>
      <c r="BM262" s="13" t="s">
        <v>194</v>
      </c>
      <c r="BN262" s="13"/>
      <c r="BO262" s="15" t="s">
        <v>1147</v>
      </c>
      <c r="BQ262" s="17"/>
    </row>
    <row r="263" spans="1:69" ht="46.5">
      <c r="A263" s="42">
        <f t="shared" si="80"/>
        <v>183</v>
      </c>
      <c r="B263" s="215" t="s">
        <v>582</v>
      </c>
      <c r="C263" s="14" t="s">
        <v>370</v>
      </c>
      <c r="D263" s="4" t="s">
        <v>36</v>
      </c>
      <c r="E263" s="45">
        <f t="shared" si="77"/>
        <v>0.02</v>
      </c>
      <c r="F263" s="73"/>
      <c r="G263" s="198">
        <v>0.02</v>
      </c>
      <c r="H263" s="205"/>
      <c r="I263" s="205">
        <v>0.017</v>
      </c>
      <c r="J263" s="205"/>
      <c r="K263" s="205">
        <v>0.02</v>
      </c>
      <c r="L263" s="205">
        <v>0.02</v>
      </c>
      <c r="M263" s="205"/>
      <c r="N263" s="205"/>
      <c r="O263" s="205"/>
      <c r="P263" s="205"/>
      <c r="Q263" s="205"/>
      <c r="R263" s="205"/>
      <c r="S263" s="205"/>
      <c r="T263" s="205"/>
      <c r="U263" s="205">
        <f t="shared" si="82"/>
        <v>0.02</v>
      </c>
      <c r="V263" s="204">
        <v>0.02</v>
      </c>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205">
        <v>0.003</v>
      </c>
      <c r="AU263" s="205"/>
      <c r="AV263" s="205"/>
      <c r="AW263" s="205"/>
      <c r="AX263" s="205"/>
      <c r="AY263" s="205"/>
      <c r="AZ263" s="205"/>
      <c r="BA263" s="205"/>
      <c r="BB263" s="205"/>
      <c r="BC263" s="205"/>
      <c r="BD263" s="205"/>
      <c r="BE263" s="205"/>
      <c r="BF263" s="205"/>
      <c r="BG263" s="205"/>
      <c r="BH263" s="10"/>
      <c r="BI263" s="14" t="s">
        <v>370</v>
      </c>
      <c r="BJ263" s="13"/>
      <c r="BK263" s="91" t="s">
        <v>68</v>
      </c>
      <c r="BL263" s="330" t="s">
        <v>583</v>
      </c>
      <c r="BM263" s="13" t="s">
        <v>194</v>
      </c>
      <c r="BN263" s="13" t="s">
        <v>1024</v>
      </c>
      <c r="BO263" s="15" t="s">
        <v>1147</v>
      </c>
      <c r="BQ263" s="17"/>
    </row>
    <row r="264" spans="1:69" ht="52.5" customHeight="1">
      <c r="A264" s="42">
        <f t="shared" si="80"/>
        <v>184</v>
      </c>
      <c r="B264" s="215" t="s">
        <v>584</v>
      </c>
      <c r="C264" s="14" t="s">
        <v>370</v>
      </c>
      <c r="D264" s="4" t="s">
        <v>36</v>
      </c>
      <c r="E264" s="45">
        <f t="shared" si="77"/>
        <v>0.08</v>
      </c>
      <c r="F264" s="73"/>
      <c r="G264" s="198">
        <f t="shared" si="79"/>
        <v>0.08</v>
      </c>
      <c r="H264" s="205"/>
      <c r="I264" s="205">
        <v>0.02</v>
      </c>
      <c r="J264" s="205"/>
      <c r="K264" s="205">
        <v>0.02</v>
      </c>
      <c r="L264" s="205">
        <v>0.02</v>
      </c>
      <c r="M264" s="205"/>
      <c r="N264" s="205"/>
      <c r="O264" s="205"/>
      <c r="P264" s="205"/>
      <c r="Q264" s="205"/>
      <c r="R264" s="205"/>
      <c r="S264" s="205"/>
      <c r="T264" s="205"/>
      <c r="U264" s="205">
        <f>SUM(V264:X264)</f>
        <v>0.02</v>
      </c>
      <c r="V264" s="204">
        <v>0.02</v>
      </c>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205"/>
      <c r="AT264" s="205"/>
      <c r="AU264" s="205"/>
      <c r="AV264" s="205"/>
      <c r="AW264" s="205"/>
      <c r="AX264" s="205"/>
      <c r="AY264" s="205"/>
      <c r="AZ264" s="205"/>
      <c r="BA264" s="205"/>
      <c r="BB264" s="205"/>
      <c r="BC264" s="205"/>
      <c r="BD264" s="205"/>
      <c r="BE264" s="205"/>
      <c r="BF264" s="205"/>
      <c r="BG264" s="205"/>
      <c r="BH264" s="10"/>
      <c r="BI264" s="14" t="s">
        <v>370</v>
      </c>
      <c r="BJ264" s="13"/>
      <c r="BK264" s="91" t="s">
        <v>68</v>
      </c>
      <c r="BL264" s="330"/>
      <c r="BM264" s="13" t="s">
        <v>194</v>
      </c>
      <c r="BN264" s="13"/>
      <c r="BO264" s="15" t="s">
        <v>1147</v>
      </c>
      <c r="BQ264" s="17"/>
    </row>
    <row r="265" spans="1:69" ht="46.5">
      <c r="A265" s="42">
        <f t="shared" si="80"/>
        <v>185</v>
      </c>
      <c r="B265" s="216" t="s">
        <v>585</v>
      </c>
      <c r="C265" s="14" t="s">
        <v>370</v>
      </c>
      <c r="D265" s="4" t="s">
        <v>36</v>
      </c>
      <c r="E265" s="45">
        <f t="shared" si="77"/>
        <v>1.0699999999999998</v>
      </c>
      <c r="F265" s="73"/>
      <c r="G265" s="198">
        <f t="shared" si="79"/>
        <v>1.0699999999999998</v>
      </c>
      <c r="H265" s="88"/>
      <c r="I265" s="88">
        <v>0.25</v>
      </c>
      <c r="J265" s="88"/>
      <c r="K265" s="88">
        <v>0.42</v>
      </c>
      <c r="L265" s="88">
        <v>0.2</v>
      </c>
      <c r="M265" s="88"/>
      <c r="N265" s="88"/>
      <c r="O265" s="88"/>
      <c r="P265" s="88"/>
      <c r="Q265" s="88"/>
      <c r="R265" s="88"/>
      <c r="S265" s="88"/>
      <c r="T265" s="88"/>
      <c r="U265" s="205">
        <f t="shared" si="82"/>
        <v>0.19</v>
      </c>
      <c r="V265" s="88">
        <v>0.19</v>
      </c>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v>0.01</v>
      </c>
      <c r="AU265" s="88"/>
      <c r="AV265" s="88"/>
      <c r="AW265" s="88"/>
      <c r="AX265" s="88"/>
      <c r="AY265" s="88"/>
      <c r="AZ265" s="88"/>
      <c r="BA265" s="88"/>
      <c r="BB265" s="88"/>
      <c r="BC265" s="88"/>
      <c r="BD265" s="88"/>
      <c r="BE265" s="88"/>
      <c r="BF265" s="88"/>
      <c r="BG265" s="88"/>
      <c r="BH265" s="86"/>
      <c r="BI265" s="14" t="s">
        <v>370</v>
      </c>
      <c r="BJ265" s="46"/>
      <c r="BK265" s="46" t="s">
        <v>969</v>
      </c>
      <c r="BL265" s="330" t="s">
        <v>556</v>
      </c>
      <c r="BM265" s="14" t="s">
        <v>935</v>
      </c>
      <c r="BN265" s="13"/>
      <c r="BO265" s="15" t="s">
        <v>1147</v>
      </c>
      <c r="BQ265" s="17"/>
    </row>
    <row r="266" spans="1:69" ht="46.5">
      <c r="A266" s="42">
        <f t="shared" si="80"/>
        <v>186</v>
      </c>
      <c r="B266" s="216" t="s">
        <v>586</v>
      </c>
      <c r="C266" s="14" t="s">
        <v>370</v>
      </c>
      <c r="D266" s="4" t="s">
        <v>36</v>
      </c>
      <c r="E266" s="45">
        <f t="shared" si="77"/>
        <v>1.0699999999999998</v>
      </c>
      <c r="F266" s="73"/>
      <c r="G266" s="198">
        <f t="shared" si="79"/>
        <v>1.0699999999999998</v>
      </c>
      <c r="H266" s="88"/>
      <c r="I266" s="88">
        <v>0.25</v>
      </c>
      <c r="J266" s="88"/>
      <c r="K266" s="88">
        <v>0.42</v>
      </c>
      <c r="L266" s="88">
        <v>0.2</v>
      </c>
      <c r="M266" s="88"/>
      <c r="N266" s="88"/>
      <c r="O266" s="88"/>
      <c r="P266" s="88"/>
      <c r="Q266" s="88"/>
      <c r="R266" s="88"/>
      <c r="S266" s="88"/>
      <c r="T266" s="88"/>
      <c r="U266" s="205">
        <f t="shared" si="82"/>
        <v>0.19</v>
      </c>
      <c r="V266" s="88">
        <v>0.19</v>
      </c>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v>0.01</v>
      </c>
      <c r="AU266" s="88"/>
      <c r="AV266" s="88"/>
      <c r="AW266" s="88"/>
      <c r="AX266" s="88"/>
      <c r="AY266" s="88"/>
      <c r="AZ266" s="88"/>
      <c r="BA266" s="88"/>
      <c r="BB266" s="88"/>
      <c r="BC266" s="88"/>
      <c r="BD266" s="88"/>
      <c r="BE266" s="88"/>
      <c r="BF266" s="88"/>
      <c r="BG266" s="88"/>
      <c r="BH266" s="86"/>
      <c r="BI266" s="14" t="s">
        <v>370</v>
      </c>
      <c r="BJ266" s="46"/>
      <c r="BK266" s="46" t="s">
        <v>969</v>
      </c>
      <c r="BL266" s="330"/>
      <c r="BM266" s="14" t="s">
        <v>935</v>
      </c>
      <c r="BN266" s="13"/>
      <c r="BO266" s="15" t="s">
        <v>1147</v>
      </c>
      <c r="BQ266" s="17"/>
    </row>
    <row r="267" spans="1:69" ht="46.5">
      <c r="A267" s="42">
        <f t="shared" si="80"/>
        <v>187</v>
      </c>
      <c r="B267" s="216" t="s">
        <v>587</v>
      </c>
      <c r="C267" s="14" t="s">
        <v>370</v>
      </c>
      <c r="D267" s="4" t="s">
        <v>36</v>
      </c>
      <c r="E267" s="45">
        <f t="shared" si="77"/>
        <v>1.275</v>
      </c>
      <c r="F267" s="73"/>
      <c r="G267" s="198">
        <f t="shared" si="79"/>
        <v>1.275</v>
      </c>
      <c r="H267" s="88"/>
      <c r="I267" s="88">
        <v>0.24</v>
      </c>
      <c r="J267" s="88"/>
      <c r="K267" s="88">
        <f>0.6-0.05</f>
        <v>0.5499999999999999</v>
      </c>
      <c r="L267" s="88">
        <f>0.32-0.05</f>
        <v>0.27</v>
      </c>
      <c r="M267" s="88"/>
      <c r="N267" s="88"/>
      <c r="O267" s="88"/>
      <c r="P267" s="88"/>
      <c r="Q267" s="88"/>
      <c r="R267" s="88"/>
      <c r="S267" s="88"/>
      <c r="T267" s="88"/>
      <c r="U267" s="88">
        <f t="shared" si="82"/>
        <v>0.21000000000000002</v>
      </c>
      <c r="V267" s="88">
        <f>0.26-0.05-0.01+0.01</f>
        <v>0.21000000000000002</v>
      </c>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f>0.01-0.005</f>
        <v>0.005</v>
      </c>
      <c r="AU267" s="88"/>
      <c r="AV267" s="88"/>
      <c r="AW267" s="88"/>
      <c r="AX267" s="88"/>
      <c r="AY267" s="88"/>
      <c r="AZ267" s="88"/>
      <c r="BA267" s="88"/>
      <c r="BB267" s="88"/>
      <c r="BC267" s="88"/>
      <c r="BD267" s="88"/>
      <c r="BE267" s="88"/>
      <c r="BF267" s="88"/>
      <c r="BG267" s="88"/>
      <c r="BH267" s="86"/>
      <c r="BI267" s="14" t="s">
        <v>370</v>
      </c>
      <c r="BJ267" s="46"/>
      <c r="BK267" s="46" t="s">
        <v>970</v>
      </c>
      <c r="BL267" s="330"/>
      <c r="BM267" s="14" t="s">
        <v>935</v>
      </c>
      <c r="BN267" s="13"/>
      <c r="BO267" s="15" t="s">
        <v>1147</v>
      </c>
      <c r="BQ267" s="17"/>
    </row>
    <row r="268" spans="1:69" ht="30.75">
      <c r="A268" s="66" t="s">
        <v>588</v>
      </c>
      <c r="B268" s="85" t="s">
        <v>589</v>
      </c>
      <c r="C268" s="39"/>
      <c r="D268" s="36"/>
      <c r="E268" s="69">
        <f t="shared" si="77"/>
        <v>0.4</v>
      </c>
      <c r="F268" s="69">
        <v>0</v>
      </c>
      <c r="G268" s="69">
        <f>SUM(G269:G275)</f>
        <v>0.4</v>
      </c>
      <c r="H268" s="69">
        <f>SUM(H269:H275)</f>
        <v>0.08</v>
      </c>
      <c r="I268" s="69">
        <f aca="true" t="shared" si="83" ref="I268:BG268">SUM(I269:I275)</f>
        <v>0</v>
      </c>
      <c r="J268" s="69">
        <f t="shared" si="83"/>
        <v>0</v>
      </c>
      <c r="K268" s="69">
        <f t="shared" si="83"/>
        <v>0.12000000000000001</v>
      </c>
      <c r="L268" s="69">
        <f t="shared" si="83"/>
        <v>0.02</v>
      </c>
      <c r="M268" s="69">
        <f t="shared" si="83"/>
        <v>0</v>
      </c>
      <c r="N268" s="69">
        <f t="shared" si="83"/>
        <v>0</v>
      </c>
      <c r="O268" s="69">
        <f t="shared" si="83"/>
        <v>0</v>
      </c>
      <c r="P268" s="69">
        <f t="shared" si="83"/>
        <v>0</v>
      </c>
      <c r="Q268" s="69">
        <f t="shared" si="83"/>
        <v>0</v>
      </c>
      <c r="R268" s="69">
        <f t="shared" si="83"/>
        <v>0</v>
      </c>
      <c r="S268" s="69">
        <f t="shared" si="83"/>
        <v>0</v>
      </c>
      <c r="T268" s="69">
        <f t="shared" si="83"/>
        <v>0</v>
      </c>
      <c r="U268" s="69">
        <f t="shared" si="83"/>
        <v>0.13</v>
      </c>
      <c r="V268" s="69">
        <f t="shared" si="83"/>
        <v>0.13</v>
      </c>
      <c r="W268" s="69">
        <f t="shared" si="83"/>
        <v>0</v>
      </c>
      <c r="X268" s="69">
        <f t="shared" si="83"/>
        <v>0</v>
      </c>
      <c r="Y268" s="69">
        <f t="shared" si="83"/>
        <v>0</v>
      </c>
      <c r="Z268" s="69">
        <f t="shared" si="83"/>
        <v>0</v>
      </c>
      <c r="AA268" s="69">
        <f t="shared" si="83"/>
        <v>0</v>
      </c>
      <c r="AB268" s="69">
        <f t="shared" si="83"/>
        <v>0</v>
      </c>
      <c r="AC268" s="69">
        <f t="shared" si="83"/>
        <v>0</v>
      </c>
      <c r="AD268" s="69">
        <f t="shared" si="83"/>
        <v>0</v>
      </c>
      <c r="AE268" s="69">
        <f t="shared" si="83"/>
        <v>0</v>
      </c>
      <c r="AF268" s="69">
        <f t="shared" si="83"/>
        <v>0.01</v>
      </c>
      <c r="AG268" s="69">
        <f t="shared" si="83"/>
        <v>0</v>
      </c>
      <c r="AH268" s="69">
        <f t="shared" si="83"/>
        <v>0</v>
      </c>
      <c r="AI268" s="69">
        <f t="shared" si="83"/>
        <v>0</v>
      </c>
      <c r="AJ268" s="69">
        <f t="shared" si="83"/>
        <v>0.01</v>
      </c>
      <c r="AK268" s="69">
        <f t="shared" si="83"/>
        <v>0</v>
      </c>
      <c r="AL268" s="69">
        <f t="shared" si="83"/>
        <v>0</v>
      </c>
      <c r="AM268" s="69">
        <f t="shared" si="83"/>
        <v>0</v>
      </c>
      <c r="AN268" s="69">
        <f t="shared" si="83"/>
        <v>0</v>
      </c>
      <c r="AO268" s="69">
        <f t="shared" si="83"/>
        <v>0</v>
      </c>
      <c r="AP268" s="69">
        <f t="shared" si="83"/>
        <v>0</v>
      </c>
      <c r="AQ268" s="69">
        <f t="shared" si="83"/>
        <v>0</v>
      </c>
      <c r="AR268" s="69">
        <f t="shared" si="83"/>
        <v>0</v>
      </c>
      <c r="AS268" s="69">
        <f t="shared" si="83"/>
        <v>0</v>
      </c>
      <c r="AT268" s="69">
        <f t="shared" si="83"/>
        <v>0</v>
      </c>
      <c r="AU268" s="69">
        <f t="shared" si="83"/>
        <v>0</v>
      </c>
      <c r="AV268" s="69">
        <f t="shared" si="83"/>
        <v>0</v>
      </c>
      <c r="AW268" s="69">
        <f t="shared" si="83"/>
        <v>0</v>
      </c>
      <c r="AX268" s="69">
        <f t="shared" si="83"/>
        <v>0</v>
      </c>
      <c r="AY268" s="69">
        <f t="shared" si="83"/>
        <v>0</v>
      </c>
      <c r="AZ268" s="69">
        <f t="shared" si="83"/>
        <v>0</v>
      </c>
      <c r="BA268" s="69">
        <f t="shared" si="83"/>
        <v>0</v>
      </c>
      <c r="BB268" s="69">
        <f t="shared" si="83"/>
        <v>0</v>
      </c>
      <c r="BC268" s="69">
        <f t="shared" si="83"/>
        <v>0</v>
      </c>
      <c r="BD268" s="69">
        <f t="shared" si="83"/>
        <v>0</v>
      </c>
      <c r="BE268" s="69">
        <f t="shared" si="83"/>
        <v>0</v>
      </c>
      <c r="BF268" s="69">
        <f t="shared" si="83"/>
        <v>0</v>
      </c>
      <c r="BG268" s="69">
        <f t="shared" si="83"/>
        <v>0.03</v>
      </c>
      <c r="BH268" s="39"/>
      <c r="BI268" s="39"/>
      <c r="BJ268" s="39"/>
      <c r="BK268" s="39"/>
      <c r="BL268" s="13"/>
      <c r="BM268" s="39"/>
      <c r="BN268" s="13"/>
      <c r="BO268" s="15"/>
      <c r="BQ268" s="17"/>
    </row>
    <row r="269" spans="1:69" ht="46.5">
      <c r="A269" s="305">
        <f>A267+1</f>
        <v>188</v>
      </c>
      <c r="B269" s="331" t="s">
        <v>590</v>
      </c>
      <c r="C269" s="14" t="s">
        <v>122</v>
      </c>
      <c r="D269" s="4" t="s">
        <v>37</v>
      </c>
      <c r="E269" s="45">
        <f t="shared" si="77"/>
        <v>0.09999999999999999</v>
      </c>
      <c r="F269" s="73"/>
      <c r="G269" s="5">
        <f aca="true" t="shared" si="84" ref="G269:G275">SUM(H269:M269,Q269,U269,Y269:BG269)</f>
        <v>0.09999999999999999</v>
      </c>
      <c r="H269" s="10">
        <v>0.08</v>
      </c>
      <c r="I269" s="76"/>
      <c r="J269" s="76"/>
      <c r="K269" s="10">
        <v>0.01</v>
      </c>
      <c r="L269" s="10"/>
      <c r="M269" s="10"/>
      <c r="N269" s="10"/>
      <c r="O269" s="10"/>
      <c r="P269" s="10"/>
      <c r="Q269" s="10"/>
      <c r="R269" s="10"/>
      <c r="S269" s="10"/>
      <c r="T269" s="10"/>
      <c r="U269" s="6">
        <f aca="true" t="shared" si="85" ref="U269:U275">SUM(V269:X269)</f>
        <v>0</v>
      </c>
      <c r="V269" s="49"/>
      <c r="W269" s="10"/>
      <c r="X269" s="10"/>
      <c r="Y269" s="10"/>
      <c r="Z269" s="10"/>
      <c r="AA269" s="10"/>
      <c r="AB269" s="10"/>
      <c r="AC269" s="10"/>
      <c r="AD269" s="10"/>
      <c r="AE269" s="10"/>
      <c r="AF269" s="10">
        <v>0.01</v>
      </c>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t="s">
        <v>123</v>
      </c>
      <c r="BI269" s="14" t="s">
        <v>122</v>
      </c>
      <c r="BJ269" s="14" t="s">
        <v>591</v>
      </c>
      <c r="BK269" s="91" t="s">
        <v>120</v>
      </c>
      <c r="BL269" s="13" t="s">
        <v>190</v>
      </c>
      <c r="BM269" s="14" t="s">
        <v>935</v>
      </c>
      <c r="BN269" s="13" t="s">
        <v>1025</v>
      </c>
      <c r="BO269" s="15" t="s">
        <v>1147</v>
      </c>
      <c r="BQ269" s="17"/>
    </row>
    <row r="270" spans="1:69" ht="46.5">
      <c r="A270" s="305"/>
      <c r="B270" s="331"/>
      <c r="C270" s="14" t="s">
        <v>87</v>
      </c>
      <c r="D270" s="4" t="s">
        <v>37</v>
      </c>
      <c r="E270" s="45">
        <f t="shared" si="77"/>
        <v>0.02</v>
      </c>
      <c r="F270" s="73"/>
      <c r="G270" s="5">
        <f t="shared" si="84"/>
        <v>0.02</v>
      </c>
      <c r="H270" s="10"/>
      <c r="I270" s="76"/>
      <c r="J270" s="76"/>
      <c r="K270" s="10"/>
      <c r="L270" s="166">
        <v>0.02</v>
      </c>
      <c r="M270" s="10">
        <f>SUM(N270:P270)</f>
        <v>0</v>
      </c>
      <c r="N270" s="10"/>
      <c r="O270" s="10"/>
      <c r="P270" s="10"/>
      <c r="Q270" s="10"/>
      <c r="R270" s="10"/>
      <c r="S270" s="10"/>
      <c r="T270" s="10"/>
      <c r="U270" s="6">
        <f t="shared" si="85"/>
        <v>0</v>
      </c>
      <c r="V270" s="166"/>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t="s">
        <v>127</v>
      </c>
      <c r="BI270" s="14" t="s">
        <v>87</v>
      </c>
      <c r="BJ270" s="14" t="s">
        <v>592</v>
      </c>
      <c r="BK270" s="91" t="s">
        <v>120</v>
      </c>
      <c r="BL270" s="13" t="s">
        <v>190</v>
      </c>
      <c r="BM270" s="14" t="s">
        <v>935</v>
      </c>
      <c r="BN270" s="13" t="s">
        <v>1025</v>
      </c>
      <c r="BO270" s="15" t="s">
        <v>1147</v>
      </c>
      <c r="BQ270" s="17"/>
    </row>
    <row r="271" spans="1:69" ht="46.5">
      <c r="A271" s="305"/>
      <c r="B271" s="331"/>
      <c r="C271" s="14" t="s">
        <v>130</v>
      </c>
      <c r="D271" s="4" t="s">
        <v>37</v>
      </c>
      <c r="E271" s="45">
        <f t="shared" si="77"/>
        <v>0.01</v>
      </c>
      <c r="F271" s="73"/>
      <c r="G271" s="5">
        <f t="shared" si="84"/>
        <v>0.01</v>
      </c>
      <c r="H271" s="10"/>
      <c r="I271" s="76"/>
      <c r="J271" s="76"/>
      <c r="K271" s="10"/>
      <c r="L271" s="10"/>
      <c r="M271" s="10"/>
      <c r="N271" s="10"/>
      <c r="O271" s="10"/>
      <c r="P271" s="10"/>
      <c r="Q271" s="10"/>
      <c r="R271" s="10"/>
      <c r="S271" s="10"/>
      <c r="T271" s="10"/>
      <c r="U271" s="6">
        <f t="shared" si="85"/>
        <v>0</v>
      </c>
      <c r="V271" s="166"/>
      <c r="W271" s="10"/>
      <c r="X271" s="10"/>
      <c r="Y271" s="10"/>
      <c r="Z271" s="10"/>
      <c r="AA271" s="10"/>
      <c r="AB271" s="10"/>
      <c r="AC271" s="10"/>
      <c r="AD271" s="10"/>
      <c r="AE271" s="10"/>
      <c r="AF271" s="10"/>
      <c r="AG271" s="10"/>
      <c r="AH271" s="10"/>
      <c r="AI271" s="10"/>
      <c r="AJ271" s="10">
        <v>0.01</v>
      </c>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t="s">
        <v>131</v>
      </c>
      <c r="BI271" s="14" t="s">
        <v>130</v>
      </c>
      <c r="BJ271" s="14" t="s">
        <v>593</v>
      </c>
      <c r="BK271" s="91" t="s">
        <v>120</v>
      </c>
      <c r="BL271" s="13" t="s">
        <v>190</v>
      </c>
      <c r="BM271" s="14" t="s">
        <v>935</v>
      </c>
      <c r="BN271" s="13" t="s">
        <v>1025</v>
      </c>
      <c r="BO271" s="15" t="s">
        <v>1147</v>
      </c>
      <c r="BQ271" s="17"/>
    </row>
    <row r="272" spans="1:69" ht="46.5">
      <c r="A272" s="305"/>
      <c r="B272" s="331"/>
      <c r="C272" s="14" t="s">
        <v>150</v>
      </c>
      <c r="D272" s="4" t="s">
        <v>37</v>
      </c>
      <c r="E272" s="5">
        <f t="shared" si="77"/>
        <v>0.05</v>
      </c>
      <c r="F272" s="73"/>
      <c r="G272" s="5">
        <f t="shared" si="84"/>
        <v>0.05</v>
      </c>
      <c r="H272" s="10"/>
      <c r="I272" s="76"/>
      <c r="J272" s="76"/>
      <c r="K272" s="10">
        <v>0.05</v>
      </c>
      <c r="L272" s="10"/>
      <c r="M272" s="10"/>
      <c r="N272" s="10"/>
      <c r="O272" s="10"/>
      <c r="P272" s="10"/>
      <c r="Q272" s="10"/>
      <c r="R272" s="10"/>
      <c r="S272" s="10"/>
      <c r="T272" s="10"/>
      <c r="U272" s="6">
        <f t="shared" si="85"/>
        <v>0</v>
      </c>
      <c r="V272" s="166"/>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t="s">
        <v>151</v>
      </c>
      <c r="BI272" s="14" t="s">
        <v>150</v>
      </c>
      <c r="BJ272" s="14" t="s">
        <v>594</v>
      </c>
      <c r="BK272" s="91" t="s">
        <v>120</v>
      </c>
      <c r="BL272" s="13" t="s">
        <v>190</v>
      </c>
      <c r="BM272" s="14" t="s">
        <v>935</v>
      </c>
      <c r="BN272" s="13" t="s">
        <v>1025</v>
      </c>
      <c r="BO272" s="15" t="s">
        <v>1147</v>
      </c>
      <c r="BQ272" s="17"/>
    </row>
    <row r="273" spans="1:69" ht="46.5">
      <c r="A273" s="305"/>
      <c r="B273" s="331"/>
      <c r="C273" s="14" t="s">
        <v>99</v>
      </c>
      <c r="D273" s="4" t="s">
        <v>37</v>
      </c>
      <c r="E273" s="5">
        <f t="shared" si="77"/>
        <v>0.03</v>
      </c>
      <c r="F273" s="73"/>
      <c r="G273" s="5">
        <f t="shared" si="84"/>
        <v>0.03</v>
      </c>
      <c r="H273" s="10"/>
      <c r="I273" s="181"/>
      <c r="J273" s="181"/>
      <c r="K273" s="10"/>
      <c r="L273" s="10"/>
      <c r="M273" s="10">
        <f>SUM(N273:P273)</f>
        <v>0</v>
      </c>
      <c r="N273" s="10"/>
      <c r="O273" s="10"/>
      <c r="P273" s="10"/>
      <c r="Q273" s="10"/>
      <c r="R273" s="10"/>
      <c r="S273" s="10"/>
      <c r="T273" s="10"/>
      <c r="U273" s="6">
        <f t="shared" si="85"/>
        <v>0</v>
      </c>
      <c r="V273" s="166"/>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v>0.03</v>
      </c>
      <c r="BH273" s="10" t="s">
        <v>384</v>
      </c>
      <c r="BI273" s="14" t="s">
        <v>99</v>
      </c>
      <c r="BJ273" s="14" t="s">
        <v>595</v>
      </c>
      <c r="BK273" s="91" t="s">
        <v>120</v>
      </c>
      <c r="BL273" s="13" t="s">
        <v>190</v>
      </c>
      <c r="BM273" s="14" t="s">
        <v>935</v>
      </c>
      <c r="BN273" s="13" t="s">
        <v>1025</v>
      </c>
      <c r="BO273" s="15" t="s">
        <v>1147</v>
      </c>
      <c r="BQ273" s="17"/>
    </row>
    <row r="274" spans="1:71" s="93" customFormat="1" ht="46.5">
      <c r="A274" s="42">
        <f>A269+1</f>
        <v>189</v>
      </c>
      <c r="B274" s="118" t="s">
        <v>596</v>
      </c>
      <c r="C274" s="14" t="s">
        <v>154</v>
      </c>
      <c r="D274" s="4" t="s">
        <v>37</v>
      </c>
      <c r="E274" s="45">
        <f t="shared" si="77"/>
        <v>0.09</v>
      </c>
      <c r="F274" s="73"/>
      <c r="G274" s="5">
        <f t="shared" si="84"/>
        <v>0.09</v>
      </c>
      <c r="H274" s="10"/>
      <c r="I274" s="76"/>
      <c r="J274" s="76"/>
      <c r="K274" s="10"/>
      <c r="L274" s="10"/>
      <c r="M274" s="10">
        <f>SUM(N274:P274)</f>
        <v>0</v>
      </c>
      <c r="N274" s="10"/>
      <c r="O274" s="10"/>
      <c r="P274" s="10"/>
      <c r="Q274" s="10"/>
      <c r="R274" s="10"/>
      <c r="S274" s="10"/>
      <c r="T274" s="10"/>
      <c r="U274" s="6">
        <f t="shared" si="85"/>
        <v>0.09</v>
      </c>
      <c r="V274" s="140">
        <v>0.09</v>
      </c>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78" t="s">
        <v>597</v>
      </c>
      <c r="BI274" s="14" t="s">
        <v>154</v>
      </c>
      <c r="BJ274" s="14" t="s">
        <v>598</v>
      </c>
      <c r="BK274" s="91" t="s">
        <v>120</v>
      </c>
      <c r="BL274" s="13" t="s">
        <v>190</v>
      </c>
      <c r="BM274" s="14" t="s">
        <v>935</v>
      </c>
      <c r="BN274" s="13" t="s">
        <v>1025</v>
      </c>
      <c r="BO274" s="179" t="s">
        <v>1147</v>
      </c>
      <c r="BP274" s="92"/>
      <c r="BS274" s="94"/>
    </row>
    <row r="275" spans="1:71" s="93" customFormat="1" ht="46.5">
      <c r="A275" s="42">
        <f>A274+1</f>
        <v>190</v>
      </c>
      <c r="B275" s="118" t="s">
        <v>599</v>
      </c>
      <c r="C275" s="178" t="s">
        <v>370</v>
      </c>
      <c r="D275" s="4" t="s">
        <v>37</v>
      </c>
      <c r="E275" s="45">
        <f t="shared" si="77"/>
        <v>0.1</v>
      </c>
      <c r="F275" s="73"/>
      <c r="G275" s="5">
        <f t="shared" si="84"/>
        <v>0.1</v>
      </c>
      <c r="H275" s="10"/>
      <c r="I275" s="76"/>
      <c r="J275" s="76"/>
      <c r="K275" s="10">
        <v>0.060000000000000005</v>
      </c>
      <c r="L275" s="10"/>
      <c r="M275" s="10"/>
      <c r="N275" s="10"/>
      <c r="O275" s="10"/>
      <c r="P275" s="10"/>
      <c r="Q275" s="10"/>
      <c r="R275" s="10"/>
      <c r="S275" s="10"/>
      <c r="T275" s="10"/>
      <c r="U275" s="6">
        <f t="shared" si="85"/>
        <v>0.04</v>
      </c>
      <c r="V275" s="140">
        <v>0.04</v>
      </c>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40"/>
      <c r="BI275" s="178" t="s">
        <v>370</v>
      </c>
      <c r="BJ275" s="14"/>
      <c r="BK275" s="91" t="s">
        <v>374</v>
      </c>
      <c r="BL275" s="13" t="s">
        <v>190</v>
      </c>
      <c r="BM275" s="14" t="s">
        <v>194</v>
      </c>
      <c r="BN275" s="13" t="s">
        <v>1025</v>
      </c>
      <c r="BO275" s="179" t="s">
        <v>1147</v>
      </c>
      <c r="BP275" s="92"/>
      <c r="BS275" s="94"/>
    </row>
    <row r="276" spans="1:69" ht="15">
      <c r="A276" s="66" t="s">
        <v>600</v>
      </c>
      <c r="B276" s="34" t="s">
        <v>601</v>
      </c>
      <c r="C276" s="101"/>
      <c r="D276" s="36"/>
      <c r="E276" s="123">
        <f>SUM(F276:G276)</f>
        <v>6.23</v>
      </c>
      <c r="F276" s="69">
        <f>SUM(F277:G279)</f>
        <v>3.4600000000000004</v>
      </c>
      <c r="G276" s="69">
        <f>SUM(G277:G279)</f>
        <v>2.77</v>
      </c>
      <c r="H276" s="69">
        <f>SUM(H277:H279)</f>
        <v>0.24</v>
      </c>
      <c r="I276" s="69">
        <f aca="true" t="shared" si="86" ref="I276:BG276">SUM(I277:I279)</f>
        <v>0.09</v>
      </c>
      <c r="J276" s="69">
        <f t="shared" si="86"/>
        <v>0</v>
      </c>
      <c r="K276" s="69">
        <f t="shared" si="86"/>
        <v>0.66</v>
      </c>
      <c r="L276" s="69">
        <f t="shared" si="86"/>
        <v>1</v>
      </c>
      <c r="M276" s="69">
        <f t="shared" si="86"/>
        <v>0</v>
      </c>
      <c r="N276" s="69">
        <f t="shared" si="86"/>
        <v>0</v>
      </c>
      <c r="O276" s="69">
        <f t="shared" si="86"/>
        <v>0</v>
      </c>
      <c r="P276" s="69">
        <f t="shared" si="86"/>
        <v>0</v>
      </c>
      <c r="Q276" s="69">
        <f t="shared" si="86"/>
        <v>0</v>
      </c>
      <c r="R276" s="69">
        <f t="shared" si="86"/>
        <v>0</v>
      </c>
      <c r="S276" s="69">
        <f t="shared" si="86"/>
        <v>0</v>
      </c>
      <c r="T276" s="69">
        <f t="shared" si="86"/>
        <v>0</v>
      </c>
      <c r="U276" s="69">
        <f t="shared" si="86"/>
        <v>0.2</v>
      </c>
      <c r="V276" s="69">
        <f t="shared" si="86"/>
        <v>0.2</v>
      </c>
      <c r="W276" s="69">
        <f t="shared" si="86"/>
        <v>0</v>
      </c>
      <c r="X276" s="69">
        <f t="shared" si="86"/>
        <v>0</v>
      </c>
      <c r="Y276" s="69">
        <f t="shared" si="86"/>
        <v>0</v>
      </c>
      <c r="Z276" s="69">
        <f t="shared" si="86"/>
        <v>0</v>
      </c>
      <c r="AA276" s="69">
        <f t="shared" si="86"/>
        <v>0</v>
      </c>
      <c r="AB276" s="69">
        <f t="shared" si="86"/>
        <v>0</v>
      </c>
      <c r="AC276" s="69">
        <f t="shared" si="86"/>
        <v>0</v>
      </c>
      <c r="AD276" s="69">
        <f t="shared" si="86"/>
        <v>0</v>
      </c>
      <c r="AE276" s="69">
        <f t="shared" si="86"/>
        <v>0</v>
      </c>
      <c r="AF276" s="69">
        <f t="shared" si="86"/>
        <v>0</v>
      </c>
      <c r="AG276" s="69">
        <f t="shared" si="86"/>
        <v>0</v>
      </c>
      <c r="AH276" s="69">
        <f t="shared" si="86"/>
        <v>0</v>
      </c>
      <c r="AI276" s="69">
        <f t="shared" si="86"/>
        <v>0</v>
      </c>
      <c r="AJ276" s="69">
        <f t="shared" si="86"/>
        <v>0</v>
      </c>
      <c r="AK276" s="69">
        <f t="shared" si="86"/>
        <v>0</v>
      </c>
      <c r="AL276" s="69">
        <f t="shared" si="86"/>
        <v>0</v>
      </c>
      <c r="AM276" s="69">
        <f t="shared" si="86"/>
        <v>0</v>
      </c>
      <c r="AN276" s="69">
        <f t="shared" si="86"/>
        <v>0</v>
      </c>
      <c r="AO276" s="69">
        <f t="shared" si="86"/>
        <v>0</v>
      </c>
      <c r="AP276" s="69">
        <f t="shared" si="86"/>
        <v>0</v>
      </c>
      <c r="AQ276" s="69">
        <f t="shared" si="86"/>
        <v>0</v>
      </c>
      <c r="AR276" s="69">
        <f t="shared" si="86"/>
        <v>0</v>
      </c>
      <c r="AS276" s="69">
        <f t="shared" si="86"/>
        <v>0</v>
      </c>
      <c r="AT276" s="69">
        <f t="shared" si="86"/>
        <v>0</v>
      </c>
      <c r="AU276" s="69">
        <f t="shared" si="86"/>
        <v>0</v>
      </c>
      <c r="AV276" s="69">
        <f t="shared" si="86"/>
        <v>0</v>
      </c>
      <c r="AW276" s="69">
        <f t="shared" si="86"/>
        <v>0</v>
      </c>
      <c r="AX276" s="69">
        <f t="shared" si="86"/>
        <v>0</v>
      </c>
      <c r="AY276" s="69">
        <f t="shared" si="86"/>
        <v>0</v>
      </c>
      <c r="AZ276" s="69">
        <f t="shared" si="86"/>
        <v>0</v>
      </c>
      <c r="BA276" s="69">
        <f t="shared" si="86"/>
        <v>0</v>
      </c>
      <c r="BB276" s="69">
        <f t="shared" si="86"/>
        <v>0</v>
      </c>
      <c r="BC276" s="69">
        <f t="shared" si="86"/>
        <v>0</v>
      </c>
      <c r="BD276" s="69">
        <f t="shared" si="86"/>
        <v>0</v>
      </c>
      <c r="BE276" s="69">
        <f t="shared" si="86"/>
        <v>0</v>
      </c>
      <c r="BF276" s="69">
        <f t="shared" si="86"/>
        <v>0</v>
      </c>
      <c r="BG276" s="69">
        <f t="shared" si="86"/>
        <v>0.58</v>
      </c>
      <c r="BH276" s="10"/>
      <c r="BI276" s="101"/>
      <c r="BJ276" s="55"/>
      <c r="BK276" s="91"/>
      <c r="BL276" s="41"/>
      <c r="BM276" s="55"/>
      <c r="BN276" s="13"/>
      <c r="BO276" s="15"/>
      <c r="BQ276" s="17"/>
    </row>
    <row r="277" spans="1:69" ht="46.5">
      <c r="A277" s="217">
        <f>A275+1</f>
        <v>191</v>
      </c>
      <c r="B277" s="127" t="s">
        <v>602</v>
      </c>
      <c r="C277" s="42" t="s">
        <v>65</v>
      </c>
      <c r="D277" s="13" t="s">
        <v>45</v>
      </c>
      <c r="E277" s="45">
        <f aca="true" t="shared" si="87" ref="E277:E301">F277+G277</f>
        <v>1</v>
      </c>
      <c r="F277" s="45"/>
      <c r="G277" s="5">
        <f>SUM(H277:M277,Q277,U277,Y277:BG277)</f>
        <v>1</v>
      </c>
      <c r="H277" s="84"/>
      <c r="I277" s="84"/>
      <c r="J277" s="84"/>
      <c r="K277" s="84"/>
      <c r="L277" s="84">
        <v>1</v>
      </c>
      <c r="M277" s="46">
        <f>SUM(N277:P277)</f>
        <v>0</v>
      </c>
      <c r="N277" s="84"/>
      <c r="O277" s="84"/>
      <c r="P277" s="84"/>
      <c r="Q277" s="84"/>
      <c r="R277" s="84"/>
      <c r="S277" s="84"/>
      <c r="T277" s="84"/>
      <c r="U277" s="46">
        <f>SUM(V277:X277)</f>
        <v>0</v>
      </c>
      <c r="V277" s="49"/>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84"/>
      <c r="AY277" s="84"/>
      <c r="AZ277" s="84"/>
      <c r="BA277" s="84"/>
      <c r="BB277" s="84"/>
      <c r="BC277" s="84"/>
      <c r="BD277" s="84"/>
      <c r="BE277" s="84"/>
      <c r="BF277" s="84"/>
      <c r="BG277" s="84"/>
      <c r="BH277" s="10" t="s">
        <v>603</v>
      </c>
      <c r="BI277" s="42" t="s">
        <v>65</v>
      </c>
      <c r="BJ277" s="4" t="s">
        <v>604</v>
      </c>
      <c r="BK277" s="12" t="s">
        <v>374</v>
      </c>
      <c r="BL277" s="13" t="s">
        <v>491</v>
      </c>
      <c r="BM277" s="14" t="s">
        <v>935</v>
      </c>
      <c r="BN277" s="13" t="s">
        <v>1025</v>
      </c>
      <c r="BO277" s="15" t="s">
        <v>1147</v>
      </c>
      <c r="BQ277" s="17"/>
    </row>
    <row r="278" spans="1:69" ht="51.75" customHeight="1">
      <c r="A278" s="1">
        <f>A277+1</f>
        <v>192</v>
      </c>
      <c r="B278" s="47" t="s">
        <v>605</v>
      </c>
      <c r="C278" s="14" t="s">
        <v>82</v>
      </c>
      <c r="D278" s="13" t="s">
        <v>45</v>
      </c>
      <c r="E278" s="45">
        <f t="shared" si="87"/>
        <v>1.36</v>
      </c>
      <c r="F278" s="45">
        <v>0.24</v>
      </c>
      <c r="G278" s="5">
        <f>SUM(H278:M278,Q278,U278,Y278:BG278)</f>
        <v>1.12</v>
      </c>
      <c r="H278" s="6"/>
      <c r="I278" s="7"/>
      <c r="J278" s="7"/>
      <c r="K278" s="7">
        <v>0.54</v>
      </c>
      <c r="L278" s="7"/>
      <c r="M278" s="10"/>
      <c r="N278" s="6"/>
      <c r="O278" s="6"/>
      <c r="P278" s="6"/>
      <c r="Q278" s="6"/>
      <c r="R278" s="6"/>
      <c r="S278" s="6"/>
      <c r="T278" s="6"/>
      <c r="U278" s="6"/>
      <c r="V278" s="76"/>
      <c r="W278" s="76"/>
      <c r="X278" s="76"/>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v>0.58</v>
      </c>
      <c r="BH278" s="182" t="s">
        <v>83</v>
      </c>
      <c r="BI278" s="14" t="s">
        <v>82</v>
      </c>
      <c r="BJ278" s="14" t="s">
        <v>1051</v>
      </c>
      <c r="BK278" s="12" t="s">
        <v>374</v>
      </c>
      <c r="BL278" s="13" t="s">
        <v>491</v>
      </c>
      <c r="BM278" s="14" t="s">
        <v>935</v>
      </c>
      <c r="BN278" s="13" t="s">
        <v>1025</v>
      </c>
      <c r="BO278" s="15" t="s">
        <v>1147</v>
      </c>
      <c r="BP278" s="16" t="s">
        <v>1052</v>
      </c>
      <c r="BQ278" s="17"/>
    </row>
    <row r="279" spans="1:69" ht="46.5">
      <c r="A279" s="1">
        <f>A278+1</f>
        <v>193</v>
      </c>
      <c r="B279" s="47" t="s">
        <v>606</v>
      </c>
      <c r="C279" s="14" t="s">
        <v>145</v>
      </c>
      <c r="D279" s="13" t="s">
        <v>45</v>
      </c>
      <c r="E279" s="45">
        <f t="shared" si="87"/>
        <v>1.0999999999999999</v>
      </c>
      <c r="F279" s="45">
        <v>0.45</v>
      </c>
      <c r="G279" s="5">
        <f>SUM(H279:M279,Q279,U279,Y279:BG279)</f>
        <v>0.6499999999999999</v>
      </c>
      <c r="H279" s="6">
        <v>0.24</v>
      </c>
      <c r="I279" s="7">
        <v>0.09</v>
      </c>
      <c r="J279" s="7"/>
      <c r="K279" s="7">
        <v>0.12</v>
      </c>
      <c r="L279" s="7"/>
      <c r="M279" s="10"/>
      <c r="N279" s="6"/>
      <c r="O279" s="6"/>
      <c r="P279" s="6"/>
      <c r="Q279" s="6"/>
      <c r="R279" s="6"/>
      <c r="S279" s="6"/>
      <c r="T279" s="6"/>
      <c r="U279" s="46">
        <f>SUM(V279:X279)</f>
        <v>0.2</v>
      </c>
      <c r="V279" s="76">
        <v>0.2</v>
      </c>
      <c r="W279" s="76"/>
      <c r="X279" s="76"/>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t="s">
        <v>200</v>
      </c>
      <c r="BI279" s="14" t="s">
        <v>145</v>
      </c>
      <c r="BJ279" s="14" t="s">
        <v>922</v>
      </c>
      <c r="BK279" s="12" t="s">
        <v>68</v>
      </c>
      <c r="BL279" s="13" t="s">
        <v>491</v>
      </c>
      <c r="BM279" s="14" t="s">
        <v>935</v>
      </c>
      <c r="BN279" s="13" t="s">
        <v>1025</v>
      </c>
      <c r="BO279" s="15" t="s">
        <v>1147</v>
      </c>
      <c r="BQ279" s="17"/>
    </row>
    <row r="280" spans="1:67" s="16" customFormat="1" ht="15">
      <c r="A280" s="66" t="s">
        <v>607</v>
      </c>
      <c r="B280" s="34" t="s">
        <v>608</v>
      </c>
      <c r="C280" s="42"/>
      <c r="D280" s="36"/>
      <c r="E280" s="81">
        <f t="shared" si="87"/>
        <v>25.619999999999997</v>
      </c>
      <c r="F280" s="69"/>
      <c r="G280" s="69">
        <f>SUM(G281:G317)-G304</f>
        <v>25.619999999999997</v>
      </c>
      <c r="H280" s="69">
        <f aca="true" t="shared" si="88" ref="H280:AM280">SUM(H281:H317)</f>
        <v>4.41</v>
      </c>
      <c r="I280" s="69">
        <f t="shared" si="88"/>
        <v>2.92</v>
      </c>
      <c r="J280" s="69">
        <f t="shared" si="88"/>
        <v>0</v>
      </c>
      <c r="K280" s="69">
        <f t="shared" si="88"/>
        <v>3.5500000000000003</v>
      </c>
      <c r="L280" s="69">
        <f t="shared" si="88"/>
        <v>1.57</v>
      </c>
      <c r="M280" s="69">
        <f t="shared" si="88"/>
        <v>0</v>
      </c>
      <c r="N280" s="69">
        <f t="shared" si="88"/>
        <v>0</v>
      </c>
      <c r="O280" s="69">
        <f t="shared" si="88"/>
        <v>0</v>
      </c>
      <c r="P280" s="69">
        <f t="shared" si="88"/>
        <v>0</v>
      </c>
      <c r="Q280" s="69">
        <f t="shared" si="88"/>
        <v>0</v>
      </c>
      <c r="R280" s="69">
        <f t="shared" si="88"/>
        <v>0</v>
      </c>
      <c r="S280" s="69">
        <f t="shared" si="88"/>
        <v>0</v>
      </c>
      <c r="T280" s="69">
        <f t="shared" si="88"/>
        <v>0</v>
      </c>
      <c r="U280" s="69">
        <f t="shared" si="88"/>
        <v>13.079999999999998</v>
      </c>
      <c r="V280" s="69">
        <f t="shared" si="88"/>
        <v>9.790000000000001</v>
      </c>
      <c r="W280" s="69">
        <f t="shared" si="88"/>
        <v>3.29</v>
      </c>
      <c r="X280" s="69">
        <f t="shared" si="88"/>
        <v>0</v>
      </c>
      <c r="Y280" s="69">
        <f t="shared" si="88"/>
        <v>0.36</v>
      </c>
      <c r="Z280" s="69">
        <f t="shared" si="88"/>
        <v>0</v>
      </c>
      <c r="AA280" s="69">
        <f t="shared" si="88"/>
        <v>0</v>
      </c>
      <c r="AB280" s="69">
        <f t="shared" si="88"/>
        <v>0</v>
      </c>
      <c r="AC280" s="69">
        <f t="shared" si="88"/>
        <v>0</v>
      </c>
      <c r="AD280" s="69">
        <f t="shared" si="88"/>
        <v>0</v>
      </c>
      <c r="AE280" s="69">
        <f t="shared" si="88"/>
        <v>0</v>
      </c>
      <c r="AF280" s="69">
        <f t="shared" si="88"/>
        <v>0.4600000000000001</v>
      </c>
      <c r="AG280" s="69">
        <f t="shared" si="88"/>
        <v>0.02</v>
      </c>
      <c r="AH280" s="69">
        <f t="shared" si="88"/>
        <v>0</v>
      </c>
      <c r="AI280" s="69">
        <f t="shared" si="88"/>
        <v>0</v>
      </c>
      <c r="AJ280" s="69">
        <f t="shared" si="88"/>
        <v>0</v>
      </c>
      <c r="AK280" s="69">
        <f t="shared" si="88"/>
        <v>0</v>
      </c>
      <c r="AL280" s="69">
        <f t="shared" si="88"/>
        <v>0</v>
      </c>
      <c r="AM280" s="69">
        <f t="shared" si="88"/>
        <v>0</v>
      </c>
      <c r="AN280" s="69">
        <f aca="true" t="shared" si="89" ref="AN280:BG280">SUM(AN281:AN317)</f>
        <v>0</v>
      </c>
      <c r="AO280" s="69">
        <f t="shared" si="89"/>
        <v>0</v>
      </c>
      <c r="AP280" s="69">
        <f t="shared" si="89"/>
        <v>0</v>
      </c>
      <c r="AQ280" s="69">
        <f t="shared" si="89"/>
        <v>0</v>
      </c>
      <c r="AR280" s="69">
        <f t="shared" si="89"/>
        <v>0</v>
      </c>
      <c r="AS280" s="69">
        <f t="shared" si="89"/>
        <v>0</v>
      </c>
      <c r="AT280" s="69">
        <f t="shared" si="89"/>
        <v>0.03</v>
      </c>
      <c r="AU280" s="69">
        <f t="shared" si="89"/>
        <v>0</v>
      </c>
      <c r="AV280" s="69">
        <f t="shared" si="89"/>
        <v>0</v>
      </c>
      <c r="AW280" s="69">
        <f t="shared" si="89"/>
        <v>0</v>
      </c>
      <c r="AX280" s="69">
        <f t="shared" si="89"/>
        <v>0</v>
      </c>
      <c r="AY280" s="69">
        <f t="shared" si="89"/>
        <v>0</v>
      </c>
      <c r="AZ280" s="69">
        <f t="shared" si="89"/>
        <v>0</v>
      </c>
      <c r="BA280" s="69">
        <f t="shared" si="89"/>
        <v>0</v>
      </c>
      <c r="BB280" s="69">
        <f t="shared" si="89"/>
        <v>0</v>
      </c>
      <c r="BC280" s="69">
        <f t="shared" si="89"/>
        <v>0</v>
      </c>
      <c r="BD280" s="69">
        <f t="shared" si="89"/>
        <v>0</v>
      </c>
      <c r="BE280" s="69">
        <f t="shared" si="89"/>
        <v>0.02</v>
      </c>
      <c r="BF280" s="69">
        <f t="shared" si="89"/>
        <v>0</v>
      </c>
      <c r="BG280" s="69">
        <f t="shared" si="89"/>
        <v>4.64</v>
      </c>
      <c r="BH280" s="10"/>
      <c r="BI280" s="42"/>
      <c r="BJ280" s="4"/>
      <c r="BK280" s="82"/>
      <c r="BL280" s="13"/>
      <c r="BM280" s="4"/>
      <c r="BN280" s="13"/>
      <c r="BO280" s="15"/>
    </row>
    <row r="281" spans="1:69" ht="46.5">
      <c r="A281" s="42">
        <f>A279+1</f>
        <v>194</v>
      </c>
      <c r="B281" s="15" t="s">
        <v>609</v>
      </c>
      <c r="C281" s="42" t="s">
        <v>65</v>
      </c>
      <c r="D281" s="4" t="s">
        <v>47</v>
      </c>
      <c r="E281" s="45">
        <f t="shared" si="87"/>
        <v>0.04</v>
      </c>
      <c r="F281" s="45"/>
      <c r="G281" s="5">
        <f aca="true" t="shared" si="90" ref="G281:G301">SUM(H281:M281,Q281,U281,Y281:BG281)</f>
        <v>0.04</v>
      </c>
      <c r="H281" s="46"/>
      <c r="I281" s="46">
        <v>0.04</v>
      </c>
      <c r="J281" s="46"/>
      <c r="K281" s="46"/>
      <c r="L281" s="46"/>
      <c r="M281" s="46">
        <f>SUM(N281:P281)</f>
        <v>0</v>
      </c>
      <c r="N281" s="46"/>
      <c r="O281" s="46"/>
      <c r="P281" s="46"/>
      <c r="Q281" s="46"/>
      <c r="R281" s="46"/>
      <c r="S281" s="46"/>
      <c r="T281" s="46"/>
      <c r="U281" s="46">
        <f aca="true" t="shared" si="91" ref="U281:U297">SUM(V281:X281)</f>
        <v>0</v>
      </c>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10" t="s">
        <v>296</v>
      </c>
      <c r="BI281" s="42" t="s">
        <v>65</v>
      </c>
      <c r="BJ281" s="14" t="s">
        <v>610</v>
      </c>
      <c r="BK281" s="98" t="s">
        <v>120</v>
      </c>
      <c r="BL281" s="13" t="s">
        <v>611</v>
      </c>
      <c r="BM281" s="14" t="s">
        <v>194</v>
      </c>
      <c r="BN281" s="13" t="s">
        <v>1025</v>
      </c>
      <c r="BO281" s="15" t="s">
        <v>1147</v>
      </c>
      <c r="BQ281" s="17"/>
    </row>
    <row r="282" spans="1:69" ht="46.5">
      <c r="A282" s="42">
        <f>+A281+1</f>
        <v>195</v>
      </c>
      <c r="B282" s="83" t="s">
        <v>612</v>
      </c>
      <c r="C282" s="14" t="s">
        <v>122</v>
      </c>
      <c r="D282" s="4" t="s">
        <v>47</v>
      </c>
      <c r="E282" s="45">
        <f t="shared" si="87"/>
        <v>0.21</v>
      </c>
      <c r="F282" s="45"/>
      <c r="G282" s="5">
        <f t="shared" si="90"/>
        <v>0.21</v>
      </c>
      <c r="H282" s="46"/>
      <c r="I282" s="46"/>
      <c r="J282" s="46"/>
      <c r="K282" s="46"/>
      <c r="L282" s="46"/>
      <c r="M282" s="46">
        <v>0</v>
      </c>
      <c r="N282" s="46"/>
      <c r="O282" s="46"/>
      <c r="P282" s="46"/>
      <c r="Q282" s="46">
        <v>0</v>
      </c>
      <c r="R282" s="46"/>
      <c r="S282" s="46"/>
      <c r="T282" s="46"/>
      <c r="U282" s="46">
        <f t="shared" si="91"/>
        <v>0.21</v>
      </c>
      <c r="V282" s="46">
        <v>0.21</v>
      </c>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3" t="s">
        <v>919</v>
      </c>
      <c r="BI282" s="14" t="s">
        <v>122</v>
      </c>
      <c r="BJ282" s="13" t="s">
        <v>613</v>
      </c>
      <c r="BK282" s="98" t="s">
        <v>120</v>
      </c>
      <c r="BL282" s="13" t="s">
        <v>190</v>
      </c>
      <c r="BM282" s="14" t="s">
        <v>935</v>
      </c>
      <c r="BN282" s="13" t="s">
        <v>1025</v>
      </c>
      <c r="BO282" s="15" t="s">
        <v>1147</v>
      </c>
      <c r="BQ282" s="17"/>
    </row>
    <row r="283" spans="1:69" ht="62.25">
      <c r="A283" s="42">
        <f>A282+1</f>
        <v>196</v>
      </c>
      <c r="B283" s="15" t="s">
        <v>614</v>
      </c>
      <c r="C283" s="14" t="s">
        <v>130</v>
      </c>
      <c r="D283" s="4" t="s">
        <v>47</v>
      </c>
      <c r="E283" s="45">
        <f t="shared" si="87"/>
        <v>0.06</v>
      </c>
      <c r="F283" s="45"/>
      <c r="G283" s="5">
        <f t="shared" si="90"/>
        <v>0.06</v>
      </c>
      <c r="H283" s="46"/>
      <c r="I283" s="46"/>
      <c r="J283" s="46"/>
      <c r="K283" s="46"/>
      <c r="L283" s="46"/>
      <c r="M283" s="46">
        <f>SUM(N283:P283)</f>
        <v>0</v>
      </c>
      <c r="N283" s="46"/>
      <c r="O283" s="46"/>
      <c r="P283" s="46"/>
      <c r="Q283" s="46"/>
      <c r="R283" s="46"/>
      <c r="S283" s="46"/>
      <c r="T283" s="46"/>
      <c r="U283" s="46">
        <f t="shared" si="91"/>
        <v>0.06</v>
      </c>
      <c r="V283" s="46">
        <v>0.06</v>
      </c>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10" t="s">
        <v>615</v>
      </c>
      <c r="BI283" s="14" t="s">
        <v>130</v>
      </c>
      <c r="BJ283" s="175" t="s">
        <v>920</v>
      </c>
      <c r="BK283" s="98" t="s">
        <v>120</v>
      </c>
      <c r="BL283" s="13" t="s">
        <v>190</v>
      </c>
      <c r="BM283" s="14" t="s">
        <v>935</v>
      </c>
      <c r="BN283" s="13" t="s">
        <v>1025</v>
      </c>
      <c r="BO283" s="15" t="s">
        <v>1147</v>
      </c>
      <c r="BQ283" s="17"/>
    </row>
    <row r="284" spans="1:71" s="64" customFormat="1" ht="62.25">
      <c r="A284" s="124">
        <f>A283+1</f>
        <v>197</v>
      </c>
      <c r="B284" s="83" t="s">
        <v>616</v>
      </c>
      <c r="C284" s="56" t="s">
        <v>95</v>
      </c>
      <c r="D284" s="4" t="s">
        <v>47</v>
      </c>
      <c r="E284" s="45">
        <f t="shared" si="87"/>
        <v>1</v>
      </c>
      <c r="F284" s="45"/>
      <c r="G284" s="5">
        <f t="shared" si="90"/>
        <v>1</v>
      </c>
      <c r="H284" s="46">
        <v>0.56</v>
      </c>
      <c r="I284" s="46"/>
      <c r="J284" s="46"/>
      <c r="K284" s="46">
        <v>0.1</v>
      </c>
      <c r="L284" s="46"/>
      <c r="M284" s="46">
        <f>SUM(N284:P284)</f>
        <v>0</v>
      </c>
      <c r="N284" s="46"/>
      <c r="O284" s="46"/>
      <c r="P284" s="46"/>
      <c r="Q284" s="46"/>
      <c r="R284" s="46"/>
      <c r="S284" s="46"/>
      <c r="T284" s="46"/>
      <c r="U284" s="46">
        <f t="shared" si="91"/>
        <v>0</v>
      </c>
      <c r="V284" s="46"/>
      <c r="W284" s="46"/>
      <c r="X284" s="46"/>
      <c r="Y284" s="46"/>
      <c r="Z284" s="46"/>
      <c r="AA284" s="46"/>
      <c r="AB284" s="46"/>
      <c r="AC284" s="46"/>
      <c r="AD284" s="46"/>
      <c r="AE284" s="46"/>
      <c r="AF284" s="46">
        <v>0.04</v>
      </c>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v>0.3</v>
      </c>
      <c r="BH284" s="56" t="s">
        <v>617</v>
      </c>
      <c r="BI284" s="56" t="s">
        <v>95</v>
      </c>
      <c r="BJ284" s="14" t="s">
        <v>618</v>
      </c>
      <c r="BK284" s="98" t="s">
        <v>351</v>
      </c>
      <c r="BL284" s="13" t="s">
        <v>190</v>
      </c>
      <c r="BM284" s="14" t="s">
        <v>935</v>
      </c>
      <c r="BN284" s="13" t="s">
        <v>1025</v>
      </c>
      <c r="BO284" s="15" t="s">
        <v>1147</v>
      </c>
      <c r="BP284" s="63"/>
      <c r="BS284" s="65"/>
    </row>
    <row r="285" spans="1:69" ht="46.5">
      <c r="A285" s="42">
        <f>A284+1</f>
        <v>198</v>
      </c>
      <c r="B285" s="15" t="s">
        <v>619</v>
      </c>
      <c r="C285" s="14" t="s">
        <v>147</v>
      </c>
      <c r="D285" s="4" t="s">
        <v>47</v>
      </c>
      <c r="E285" s="45">
        <f t="shared" si="87"/>
        <v>0.3</v>
      </c>
      <c r="F285" s="45"/>
      <c r="G285" s="5">
        <f t="shared" si="90"/>
        <v>0.3</v>
      </c>
      <c r="H285" s="80"/>
      <c r="I285" s="80"/>
      <c r="J285" s="80"/>
      <c r="K285" s="80"/>
      <c r="L285" s="80"/>
      <c r="M285" s="80">
        <f>SUM(N285:P285)</f>
        <v>0</v>
      </c>
      <c r="N285" s="80"/>
      <c r="O285" s="80"/>
      <c r="P285" s="80"/>
      <c r="Q285" s="80"/>
      <c r="R285" s="80"/>
      <c r="S285" s="80"/>
      <c r="T285" s="80"/>
      <c r="U285" s="46">
        <f t="shared" si="91"/>
        <v>0.3</v>
      </c>
      <c r="V285" s="80">
        <v>0.3</v>
      </c>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80"/>
      <c r="BF285" s="80"/>
      <c r="BG285" s="80"/>
      <c r="BH285" s="10" t="s">
        <v>148</v>
      </c>
      <c r="BI285" s="14" t="s">
        <v>147</v>
      </c>
      <c r="BJ285" s="14" t="s">
        <v>996</v>
      </c>
      <c r="BK285" s="98" t="s">
        <v>120</v>
      </c>
      <c r="BL285" s="13" t="s">
        <v>190</v>
      </c>
      <c r="BM285" s="14" t="s">
        <v>935</v>
      </c>
      <c r="BN285" s="13" t="s">
        <v>1025</v>
      </c>
      <c r="BO285" s="15" t="s">
        <v>1147</v>
      </c>
      <c r="BQ285" s="17"/>
    </row>
    <row r="286" spans="1:69" ht="46.5">
      <c r="A286" s="42">
        <f>A285+1</f>
        <v>199</v>
      </c>
      <c r="B286" s="47" t="s">
        <v>620</v>
      </c>
      <c r="C286" s="14" t="s">
        <v>106</v>
      </c>
      <c r="D286" s="4" t="s">
        <v>47</v>
      </c>
      <c r="E286" s="45">
        <f t="shared" si="87"/>
        <v>0.3</v>
      </c>
      <c r="F286" s="45"/>
      <c r="G286" s="5">
        <f t="shared" si="90"/>
        <v>0.3</v>
      </c>
      <c r="H286" s="48"/>
      <c r="I286" s="48"/>
      <c r="J286" s="48"/>
      <c r="K286" s="48"/>
      <c r="L286" s="48"/>
      <c r="M286" s="48">
        <f>SUM(N286:P286)</f>
        <v>0</v>
      </c>
      <c r="N286" s="48"/>
      <c r="O286" s="48"/>
      <c r="P286" s="48"/>
      <c r="Q286" s="48"/>
      <c r="R286" s="48"/>
      <c r="S286" s="48"/>
      <c r="T286" s="48"/>
      <c r="U286" s="46">
        <f t="shared" si="91"/>
        <v>0.3</v>
      </c>
      <c r="V286" s="48">
        <v>0.3</v>
      </c>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t="s">
        <v>482</v>
      </c>
      <c r="BI286" s="14" t="s">
        <v>106</v>
      </c>
      <c r="BJ286" s="14" t="s">
        <v>621</v>
      </c>
      <c r="BK286" s="98" t="s">
        <v>120</v>
      </c>
      <c r="BL286" s="13" t="s">
        <v>190</v>
      </c>
      <c r="BM286" s="14" t="s">
        <v>935</v>
      </c>
      <c r="BN286" s="13" t="s">
        <v>1025</v>
      </c>
      <c r="BO286" s="15" t="s">
        <v>1147</v>
      </c>
      <c r="BQ286" s="17"/>
    </row>
    <row r="287" spans="1:69" ht="62.25">
      <c r="A287" s="42">
        <f>+A286+1</f>
        <v>200</v>
      </c>
      <c r="B287" s="47" t="s">
        <v>1066</v>
      </c>
      <c r="C287" s="14" t="s">
        <v>138</v>
      </c>
      <c r="D287" s="4" t="s">
        <v>47</v>
      </c>
      <c r="E287" s="45">
        <f t="shared" si="87"/>
        <v>0.51</v>
      </c>
      <c r="F287" s="45"/>
      <c r="G287" s="5">
        <f t="shared" si="90"/>
        <v>0.51</v>
      </c>
      <c r="H287" s="48">
        <v>0.32</v>
      </c>
      <c r="I287" s="48">
        <v>0.06</v>
      </c>
      <c r="J287" s="48"/>
      <c r="K287" s="48"/>
      <c r="L287" s="48"/>
      <c r="M287" s="48"/>
      <c r="N287" s="48"/>
      <c r="O287" s="48"/>
      <c r="P287" s="48"/>
      <c r="Q287" s="48"/>
      <c r="R287" s="48"/>
      <c r="S287" s="48"/>
      <c r="T287" s="48"/>
      <c r="U287" s="46"/>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v>0.13</v>
      </c>
      <c r="BH287" s="48" t="s">
        <v>139</v>
      </c>
      <c r="BI287" s="14" t="s">
        <v>138</v>
      </c>
      <c r="BJ287" s="14" t="s">
        <v>1068</v>
      </c>
      <c r="BK287" s="98"/>
      <c r="BL287" s="13"/>
      <c r="BM287" s="14"/>
      <c r="BN287" s="13"/>
      <c r="BO287" s="15" t="s">
        <v>194</v>
      </c>
      <c r="BP287" s="16" t="s">
        <v>1067</v>
      </c>
      <c r="BQ287" s="17"/>
    </row>
    <row r="288" spans="1:69" ht="46.5">
      <c r="A288" s="303">
        <f>+A287+1</f>
        <v>201</v>
      </c>
      <c r="B288" s="327" t="s">
        <v>622</v>
      </c>
      <c r="C288" s="14" t="s">
        <v>130</v>
      </c>
      <c r="D288" s="4" t="s">
        <v>47</v>
      </c>
      <c r="E288" s="45">
        <f t="shared" si="87"/>
        <v>2</v>
      </c>
      <c r="F288" s="45"/>
      <c r="G288" s="5">
        <f t="shared" si="90"/>
        <v>2</v>
      </c>
      <c r="H288" s="46"/>
      <c r="I288" s="46">
        <f>0.35-0.05</f>
        <v>0.3</v>
      </c>
      <c r="J288" s="46"/>
      <c r="K288" s="46">
        <v>0.4</v>
      </c>
      <c r="L288" s="46"/>
      <c r="M288" s="46"/>
      <c r="N288" s="46"/>
      <c r="O288" s="46"/>
      <c r="P288" s="46"/>
      <c r="Q288" s="46"/>
      <c r="R288" s="46"/>
      <c r="S288" s="46"/>
      <c r="T288" s="46"/>
      <c r="U288" s="46">
        <f t="shared" si="91"/>
        <v>0.67</v>
      </c>
      <c r="V288" s="46">
        <f>0.4-0.05+0.22</f>
        <v>0.5700000000000001</v>
      </c>
      <c r="W288" s="46">
        <v>0.1</v>
      </c>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f>1.75-0.9-0.22</f>
        <v>0.63</v>
      </c>
      <c r="BH288" s="10" t="s">
        <v>623</v>
      </c>
      <c r="BI288" s="14" t="s">
        <v>130</v>
      </c>
      <c r="BJ288" s="175" t="s">
        <v>624</v>
      </c>
      <c r="BK288" s="98" t="s">
        <v>120</v>
      </c>
      <c r="BL288" s="13" t="s">
        <v>190</v>
      </c>
      <c r="BM288" s="14" t="s">
        <v>935</v>
      </c>
      <c r="BN288" s="13" t="s">
        <v>1025</v>
      </c>
      <c r="BO288" s="15" t="s">
        <v>1147</v>
      </c>
      <c r="BQ288" s="17"/>
    </row>
    <row r="289" spans="1:69" ht="62.25">
      <c r="A289" s="303"/>
      <c r="B289" s="327"/>
      <c r="C289" s="14" t="s">
        <v>122</v>
      </c>
      <c r="D289" s="4" t="s">
        <v>47</v>
      </c>
      <c r="E289" s="45">
        <f t="shared" si="87"/>
        <v>1.3</v>
      </c>
      <c r="F289" s="45"/>
      <c r="G289" s="5">
        <f t="shared" si="90"/>
        <v>1.3</v>
      </c>
      <c r="H289" s="46">
        <v>0</v>
      </c>
      <c r="I289" s="46">
        <v>0</v>
      </c>
      <c r="J289" s="46">
        <v>0</v>
      </c>
      <c r="K289" s="46">
        <v>0</v>
      </c>
      <c r="L289" s="46">
        <v>0</v>
      </c>
      <c r="M289" s="46">
        <v>0</v>
      </c>
      <c r="N289" s="46">
        <v>0</v>
      </c>
      <c r="O289" s="46">
        <v>0</v>
      </c>
      <c r="P289" s="46">
        <v>0</v>
      </c>
      <c r="Q289" s="46">
        <v>0</v>
      </c>
      <c r="R289" s="46">
        <v>0</v>
      </c>
      <c r="S289" s="46">
        <v>0</v>
      </c>
      <c r="T289" s="46">
        <v>0</v>
      </c>
      <c r="U289" s="46">
        <v>1.3</v>
      </c>
      <c r="V289" s="46">
        <v>1.3</v>
      </c>
      <c r="W289" s="46">
        <v>0</v>
      </c>
      <c r="X289" s="46">
        <v>0</v>
      </c>
      <c r="Y289" s="46">
        <v>0</v>
      </c>
      <c r="Z289" s="46">
        <v>0</v>
      </c>
      <c r="AA289" s="46">
        <v>0</v>
      </c>
      <c r="AB289" s="46">
        <v>0</v>
      </c>
      <c r="AC289" s="46">
        <v>0</v>
      </c>
      <c r="AD289" s="46">
        <v>0</v>
      </c>
      <c r="AE289" s="46">
        <v>0</v>
      </c>
      <c r="AF289" s="46">
        <v>0</v>
      </c>
      <c r="AG289" s="46">
        <v>0</v>
      </c>
      <c r="AH289" s="46">
        <v>0</v>
      </c>
      <c r="AI289" s="46">
        <v>0</v>
      </c>
      <c r="AJ289" s="46">
        <v>0</v>
      </c>
      <c r="AK289" s="46">
        <v>0</v>
      </c>
      <c r="AL289" s="46">
        <v>0</v>
      </c>
      <c r="AM289" s="46">
        <v>0</v>
      </c>
      <c r="AN289" s="46">
        <v>0</v>
      </c>
      <c r="AO289" s="46">
        <v>0</v>
      </c>
      <c r="AP289" s="46">
        <v>0</v>
      </c>
      <c r="AQ289" s="46">
        <v>0</v>
      </c>
      <c r="AR289" s="46">
        <v>0</v>
      </c>
      <c r="AS289" s="46">
        <v>0</v>
      </c>
      <c r="AT289" s="46">
        <v>0</v>
      </c>
      <c r="AU289" s="46">
        <v>0</v>
      </c>
      <c r="AV289" s="46">
        <v>0</v>
      </c>
      <c r="AW289" s="46">
        <v>0</v>
      </c>
      <c r="AX289" s="46">
        <v>0</v>
      </c>
      <c r="AY289" s="46">
        <v>0</v>
      </c>
      <c r="AZ289" s="46">
        <v>0</v>
      </c>
      <c r="BA289" s="46">
        <v>0</v>
      </c>
      <c r="BB289" s="46">
        <v>0</v>
      </c>
      <c r="BC289" s="46">
        <v>0</v>
      </c>
      <c r="BD289" s="46">
        <v>0</v>
      </c>
      <c r="BE289" s="46">
        <v>0</v>
      </c>
      <c r="BF289" s="46">
        <v>0</v>
      </c>
      <c r="BG289" s="46">
        <v>0</v>
      </c>
      <c r="BH289" s="10" t="s">
        <v>625</v>
      </c>
      <c r="BI289" s="14" t="s">
        <v>122</v>
      </c>
      <c r="BJ289" s="175" t="s">
        <v>626</v>
      </c>
      <c r="BK289" s="98" t="s">
        <v>120</v>
      </c>
      <c r="BL289" s="13" t="s">
        <v>190</v>
      </c>
      <c r="BM289" s="14" t="s">
        <v>976</v>
      </c>
      <c r="BN289" s="13" t="s">
        <v>1025</v>
      </c>
      <c r="BO289" s="15" t="s">
        <v>1147</v>
      </c>
      <c r="BQ289" s="17"/>
    </row>
    <row r="290" spans="1:69" ht="46.5">
      <c r="A290" s="303"/>
      <c r="B290" s="327"/>
      <c r="C290" s="14" t="s">
        <v>71</v>
      </c>
      <c r="D290" s="4" t="s">
        <v>47</v>
      </c>
      <c r="E290" s="45">
        <f t="shared" si="87"/>
        <v>1</v>
      </c>
      <c r="F290" s="45"/>
      <c r="G290" s="5">
        <f t="shared" si="90"/>
        <v>1</v>
      </c>
      <c r="H290" s="48">
        <v>0.7</v>
      </c>
      <c r="I290" s="48"/>
      <c r="J290" s="48"/>
      <c r="K290" s="48">
        <v>0.02</v>
      </c>
      <c r="L290" s="48">
        <v>0.05</v>
      </c>
      <c r="M290" s="48"/>
      <c r="N290" s="48"/>
      <c r="O290" s="48"/>
      <c r="P290" s="48"/>
      <c r="Q290" s="48"/>
      <c r="R290" s="48"/>
      <c r="S290" s="48"/>
      <c r="T290" s="48"/>
      <c r="U290" s="46">
        <f t="shared" si="91"/>
        <v>0.1</v>
      </c>
      <c r="V290" s="48">
        <v>0.1</v>
      </c>
      <c r="W290" s="48"/>
      <c r="X290" s="48"/>
      <c r="Y290" s="48">
        <v>0.07</v>
      </c>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v>0.06</v>
      </c>
      <c r="BH290" s="56" t="s">
        <v>627</v>
      </c>
      <c r="BI290" s="14" t="s">
        <v>71</v>
      </c>
      <c r="BJ290" s="56" t="s">
        <v>628</v>
      </c>
      <c r="BK290" s="98" t="s">
        <v>120</v>
      </c>
      <c r="BL290" s="13" t="s">
        <v>190</v>
      </c>
      <c r="BM290" s="14" t="s">
        <v>935</v>
      </c>
      <c r="BN290" s="13" t="s">
        <v>1025</v>
      </c>
      <c r="BO290" s="15" t="s">
        <v>1147</v>
      </c>
      <c r="BQ290" s="17"/>
    </row>
    <row r="291" spans="1:69" ht="46.5">
      <c r="A291" s="303"/>
      <c r="B291" s="327"/>
      <c r="C291" s="42" t="s">
        <v>79</v>
      </c>
      <c r="D291" s="4" t="s">
        <v>47</v>
      </c>
      <c r="E291" s="45">
        <f t="shared" si="87"/>
        <v>1</v>
      </c>
      <c r="F291" s="45"/>
      <c r="G291" s="5">
        <f t="shared" si="90"/>
        <v>1</v>
      </c>
      <c r="H291" s="46">
        <v>0</v>
      </c>
      <c r="I291" s="46">
        <v>0</v>
      </c>
      <c r="J291" s="46">
        <v>0</v>
      </c>
      <c r="K291" s="46"/>
      <c r="L291" s="46">
        <v>0</v>
      </c>
      <c r="M291" s="46">
        <v>0</v>
      </c>
      <c r="N291" s="46">
        <v>0</v>
      </c>
      <c r="O291" s="46">
        <v>0</v>
      </c>
      <c r="P291" s="46">
        <v>0</v>
      </c>
      <c r="Q291" s="46">
        <v>0</v>
      </c>
      <c r="R291" s="46">
        <v>0</v>
      </c>
      <c r="S291" s="46">
        <v>0</v>
      </c>
      <c r="T291" s="46">
        <v>0</v>
      </c>
      <c r="U291" s="46">
        <f t="shared" si="91"/>
        <v>1</v>
      </c>
      <c r="V291" s="46">
        <v>1</v>
      </c>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56" t="s">
        <v>125</v>
      </c>
      <c r="BI291" s="42" t="s">
        <v>79</v>
      </c>
      <c r="BJ291" s="14" t="s">
        <v>629</v>
      </c>
      <c r="BK291" s="98" t="s">
        <v>120</v>
      </c>
      <c r="BL291" s="13" t="s">
        <v>190</v>
      </c>
      <c r="BM291" s="14" t="s">
        <v>935</v>
      </c>
      <c r="BN291" s="13" t="s">
        <v>1025</v>
      </c>
      <c r="BO291" s="15" t="s">
        <v>1147</v>
      </c>
      <c r="BQ291" s="17"/>
    </row>
    <row r="292" spans="1:69" ht="46.5">
      <c r="A292" s="303"/>
      <c r="B292" s="327"/>
      <c r="C292" s="56" t="s">
        <v>82</v>
      </c>
      <c r="D292" s="4" t="s">
        <v>47</v>
      </c>
      <c r="E292" s="45">
        <f t="shared" si="87"/>
        <v>1</v>
      </c>
      <c r="F292" s="45"/>
      <c r="G292" s="5">
        <f t="shared" si="90"/>
        <v>1</v>
      </c>
      <c r="H292" s="46"/>
      <c r="I292" s="46">
        <v>0.13</v>
      </c>
      <c r="J292" s="46">
        <v>0</v>
      </c>
      <c r="K292" s="46">
        <v>0.17</v>
      </c>
      <c r="L292" s="46">
        <v>0.7</v>
      </c>
      <c r="M292" s="46">
        <v>0</v>
      </c>
      <c r="N292" s="46">
        <v>0</v>
      </c>
      <c r="O292" s="46">
        <v>0</v>
      </c>
      <c r="P292" s="46">
        <v>0</v>
      </c>
      <c r="Q292" s="46">
        <v>0</v>
      </c>
      <c r="R292" s="46">
        <v>0</v>
      </c>
      <c r="S292" s="46">
        <v>0</v>
      </c>
      <c r="T292" s="46">
        <v>0</v>
      </c>
      <c r="U292" s="46">
        <f t="shared" si="91"/>
        <v>0</v>
      </c>
      <c r="V292" s="166"/>
      <c r="W292" s="46"/>
      <c r="X292" s="46"/>
      <c r="Y292" s="46"/>
      <c r="Z292" s="46">
        <v>0</v>
      </c>
      <c r="AA292" s="46">
        <v>0</v>
      </c>
      <c r="AB292" s="46">
        <v>0</v>
      </c>
      <c r="AC292" s="46">
        <v>0</v>
      </c>
      <c r="AD292" s="46">
        <v>0</v>
      </c>
      <c r="AE292" s="46">
        <v>0</v>
      </c>
      <c r="AF292" s="46">
        <v>0</v>
      </c>
      <c r="AG292" s="46">
        <v>0</v>
      </c>
      <c r="AH292" s="46">
        <v>0</v>
      </c>
      <c r="AI292" s="46">
        <v>0</v>
      </c>
      <c r="AJ292" s="46">
        <v>0</v>
      </c>
      <c r="AK292" s="46">
        <v>0</v>
      </c>
      <c r="AL292" s="46">
        <v>0</v>
      </c>
      <c r="AM292" s="46">
        <v>0</v>
      </c>
      <c r="AN292" s="46">
        <v>0</v>
      </c>
      <c r="AO292" s="46">
        <v>0</v>
      </c>
      <c r="AP292" s="46">
        <v>0</v>
      </c>
      <c r="AQ292" s="46">
        <v>0</v>
      </c>
      <c r="AR292" s="46">
        <v>0</v>
      </c>
      <c r="AS292" s="46">
        <v>0</v>
      </c>
      <c r="AT292" s="46">
        <v>0</v>
      </c>
      <c r="AU292" s="46">
        <v>0</v>
      </c>
      <c r="AV292" s="46">
        <v>0</v>
      </c>
      <c r="AW292" s="46">
        <v>0</v>
      </c>
      <c r="AX292" s="46">
        <v>0</v>
      </c>
      <c r="AY292" s="46">
        <v>0</v>
      </c>
      <c r="AZ292" s="46">
        <v>0</v>
      </c>
      <c r="BA292" s="46">
        <v>0</v>
      </c>
      <c r="BB292" s="46">
        <v>0</v>
      </c>
      <c r="BC292" s="46">
        <v>0</v>
      </c>
      <c r="BD292" s="46">
        <v>0</v>
      </c>
      <c r="BE292" s="46">
        <v>0</v>
      </c>
      <c r="BF292" s="46">
        <v>0</v>
      </c>
      <c r="BG292" s="46"/>
      <c r="BH292" s="56" t="s">
        <v>630</v>
      </c>
      <c r="BI292" s="56" t="s">
        <v>82</v>
      </c>
      <c r="BJ292" s="14" t="s">
        <v>631</v>
      </c>
      <c r="BK292" s="98" t="s">
        <v>120</v>
      </c>
      <c r="BL292" s="13" t="s">
        <v>190</v>
      </c>
      <c r="BM292" s="14" t="s">
        <v>935</v>
      </c>
      <c r="BN292" s="13" t="s">
        <v>1025</v>
      </c>
      <c r="BO292" s="15" t="s">
        <v>1147</v>
      </c>
      <c r="BQ292" s="17"/>
    </row>
    <row r="293" spans="1:69" ht="78">
      <c r="A293" s="303"/>
      <c r="B293" s="327"/>
      <c r="C293" s="14" t="s">
        <v>87</v>
      </c>
      <c r="D293" s="4" t="s">
        <v>47</v>
      </c>
      <c r="E293" s="45">
        <f t="shared" si="87"/>
        <v>1.5</v>
      </c>
      <c r="F293" s="45"/>
      <c r="G293" s="5">
        <f t="shared" si="90"/>
        <v>1.5</v>
      </c>
      <c r="H293" s="48">
        <v>0.36</v>
      </c>
      <c r="I293" s="48"/>
      <c r="J293" s="48"/>
      <c r="K293" s="48">
        <v>0.41</v>
      </c>
      <c r="L293" s="48"/>
      <c r="M293" s="48"/>
      <c r="N293" s="48"/>
      <c r="O293" s="48"/>
      <c r="P293" s="48"/>
      <c r="Q293" s="48"/>
      <c r="R293" s="48"/>
      <c r="S293" s="48"/>
      <c r="T293" s="48"/>
      <c r="U293" s="46">
        <f t="shared" si="91"/>
        <v>0.42</v>
      </c>
      <c r="V293" s="166"/>
      <c r="W293" s="48">
        <v>0.42</v>
      </c>
      <c r="X293" s="48"/>
      <c r="Y293" s="48">
        <v>0.11</v>
      </c>
      <c r="Z293" s="48"/>
      <c r="AA293" s="48"/>
      <c r="AB293" s="48"/>
      <c r="AC293" s="48"/>
      <c r="AD293" s="48"/>
      <c r="AE293" s="48"/>
      <c r="AF293" s="48">
        <v>0.2</v>
      </c>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13" t="s">
        <v>632</v>
      </c>
      <c r="BI293" s="14" t="s">
        <v>87</v>
      </c>
      <c r="BJ293" s="10" t="s">
        <v>633</v>
      </c>
      <c r="BK293" s="98" t="s">
        <v>120</v>
      </c>
      <c r="BL293" s="13" t="s">
        <v>190</v>
      </c>
      <c r="BM293" s="14" t="s">
        <v>935</v>
      </c>
      <c r="BN293" s="13" t="s">
        <v>1025</v>
      </c>
      <c r="BO293" s="15" t="s">
        <v>1147</v>
      </c>
      <c r="BQ293" s="17"/>
    </row>
    <row r="294" spans="1:69" ht="46.5">
      <c r="A294" s="303"/>
      <c r="B294" s="327"/>
      <c r="C294" s="56" t="s">
        <v>134</v>
      </c>
      <c r="D294" s="4" t="s">
        <v>47</v>
      </c>
      <c r="E294" s="45">
        <f t="shared" si="87"/>
        <v>0.55</v>
      </c>
      <c r="F294" s="45"/>
      <c r="G294" s="5">
        <f t="shared" si="90"/>
        <v>0.55</v>
      </c>
      <c r="H294" s="46"/>
      <c r="I294" s="46"/>
      <c r="J294" s="46"/>
      <c r="K294" s="46"/>
      <c r="L294" s="46"/>
      <c r="M294" s="46"/>
      <c r="N294" s="46"/>
      <c r="O294" s="46"/>
      <c r="P294" s="46"/>
      <c r="Q294" s="46"/>
      <c r="R294" s="46"/>
      <c r="S294" s="46"/>
      <c r="T294" s="46"/>
      <c r="U294" s="46">
        <f t="shared" si="91"/>
        <v>0.55</v>
      </c>
      <c r="V294" s="166">
        <v>0.55</v>
      </c>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56" t="s">
        <v>243</v>
      </c>
      <c r="BI294" s="56" t="s">
        <v>134</v>
      </c>
      <c r="BJ294" s="14" t="s">
        <v>634</v>
      </c>
      <c r="BK294" s="98" t="s">
        <v>120</v>
      </c>
      <c r="BL294" s="13" t="s">
        <v>190</v>
      </c>
      <c r="BM294" s="14" t="s">
        <v>935</v>
      </c>
      <c r="BN294" s="13" t="s">
        <v>1025</v>
      </c>
      <c r="BO294" s="15" t="s">
        <v>1147</v>
      </c>
      <c r="BQ294" s="17"/>
    </row>
    <row r="295" spans="1:67" ht="46.5">
      <c r="A295" s="303"/>
      <c r="B295" s="327"/>
      <c r="C295" s="56" t="s">
        <v>138</v>
      </c>
      <c r="D295" s="4" t="s">
        <v>47</v>
      </c>
      <c r="E295" s="45">
        <f t="shared" si="87"/>
        <v>0.67</v>
      </c>
      <c r="F295" s="45"/>
      <c r="G295" s="5">
        <f t="shared" si="90"/>
        <v>0.67</v>
      </c>
      <c r="H295" s="46"/>
      <c r="I295" s="46">
        <v>0</v>
      </c>
      <c r="J295" s="46">
        <v>0</v>
      </c>
      <c r="K295" s="46">
        <v>0</v>
      </c>
      <c r="L295" s="46">
        <v>0</v>
      </c>
      <c r="M295" s="46">
        <v>0</v>
      </c>
      <c r="N295" s="46">
        <v>0</v>
      </c>
      <c r="O295" s="46">
        <v>0</v>
      </c>
      <c r="P295" s="46">
        <v>0</v>
      </c>
      <c r="Q295" s="46">
        <v>0</v>
      </c>
      <c r="R295" s="46">
        <v>0</v>
      </c>
      <c r="S295" s="46">
        <v>0</v>
      </c>
      <c r="T295" s="46">
        <v>0</v>
      </c>
      <c r="U295" s="46"/>
      <c r="V295" s="46"/>
      <c r="W295" s="46">
        <v>0</v>
      </c>
      <c r="X295" s="46">
        <v>0</v>
      </c>
      <c r="Y295" s="46">
        <v>0</v>
      </c>
      <c r="Z295" s="46">
        <v>0</v>
      </c>
      <c r="AA295" s="46">
        <v>0</v>
      </c>
      <c r="AB295" s="46">
        <v>0</v>
      </c>
      <c r="AC295" s="46">
        <v>0</v>
      </c>
      <c r="AD295" s="46">
        <v>0</v>
      </c>
      <c r="AE295" s="46">
        <v>0</v>
      </c>
      <c r="AF295" s="46"/>
      <c r="AG295" s="46">
        <v>0</v>
      </c>
      <c r="AH295" s="46">
        <v>0</v>
      </c>
      <c r="AI295" s="46">
        <v>0</v>
      </c>
      <c r="AJ295" s="46">
        <v>0</v>
      </c>
      <c r="AK295" s="46">
        <v>0</v>
      </c>
      <c r="AL295" s="46">
        <v>0</v>
      </c>
      <c r="AM295" s="46">
        <v>0</v>
      </c>
      <c r="AN295" s="46">
        <v>0</v>
      </c>
      <c r="AO295" s="46">
        <v>0</v>
      </c>
      <c r="AP295" s="46">
        <v>0</v>
      </c>
      <c r="AQ295" s="46">
        <v>0</v>
      </c>
      <c r="AR295" s="46">
        <v>0</v>
      </c>
      <c r="AS295" s="46">
        <v>0</v>
      </c>
      <c r="AT295" s="46">
        <v>0</v>
      </c>
      <c r="AU295" s="46">
        <v>0</v>
      </c>
      <c r="AV295" s="46">
        <v>0</v>
      </c>
      <c r="AW295" s="46">
        <v>0</v>
      </c>
      <c r="AX295" s="46">
        <v>0</v>
      </c>
      <c r="AY295" s="46">
        <v>0</v>
      </c>
      <c r="AZ295" s="46">
        <v>0</v>
      </c>
      <c r="BA295" s="46">
        <v>0</v>
      </c>
      <c r="BB295" s="46">
        <v>0</v>
      </c>
      <c r="BC295" s="46">
        <v>0</v>
      </c>
      <c r="BD295" s="46">
        <v>0</v>
      </c>
      <c r="BE295" s="46">
        <v>0</v>
      </c>
      <c r="BF295" s="46">
        <v>0</v>
      </c>
      <c r="BG295" s="46">
        <v>0.67</v>
      </c>
      <c r="BH295" s="56" t="s">
        <v>1134</v>
      </c>
      <c r="BI295" s="56" t="s">
        <v>138</v>
      </c>
      <c r="BJ295" s="14" t="s">
        <v>635</v>
      </c>
      <c r="BK295" s="98" t="s">
        <v>120</v>
      </c>
      <c r="BL295" s="13" t="s">
        <v>190</v>
      </c>
      <c r="BM295" s="14" t="s">
        <v>935</v>
      </c>
      <c r="BN295" s="13" t="s">
        <v>1025</v>
      </c>
      <c r="BO295" s="15" t="s">
        <v>1147</v>
      </c>
    </row>
    <row r="296" spans="1:69" ht="46.5">
      <c r="A296" s="303"/>
      <c r="B296" s="327"/>
      <c r="C296" s="121" t="s">
        <v>91</v>
      </c>
      <c r="D296" s="4" t="s">
        <v>47</v>
      </c>
      <c r="E296" s="45">
        <f t="shared" si="87"/>
        <v>0.65</v>
      </c>
      <c r="F296" s="45"/>
      <c r="G296" s="5">
        <f t="shared" si="90"/>
        <v>0.65</v>
      </c>
      <c r="H296" s="46"/>
      <c r="I296" s="46"/>
      <c r="J296" s="46"/>
      <c r="K296" s="46">
        <v>0.02</v>
      </c>
      <c r="L296" s="46"/>
      <c r="M296" s="46"/>
      <c r="N296" s="46"/>
      <c r="O296" s="46"/>
      <c r="P296" s="46"/>
      <c r="Q296" s="46"/>
      <c r="R296" s="46"/>
      <c r="S296" s="46"/>
      <c r="T296" s="46"/>
      <c r="U296" s="46">
        <f t="shared" si="91"/>
        <v>0</v>
      </c>
      <c r="V296" s="166"/>
      <c r="W296" s="46"/>
      <c r="X296" s="46"/>
      <c r="Y296" s="46"/>
      <c r="Z296" s="46"/>
      <c r="AA296" s="46"/>
      <c r="AB296" s="46"/>
      <c r="AC296" s="46"/>
      <c r="AD296" s="46"/>
      <c r="AE296" s="46"/>
      <c r="AF296" s="46"/>
      <c r="AG296" s="46">
        <v>0.02</v>
      </c>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v>0.61</v>
      </c>
      <c r="BH296" s="56" t="s">
        <v>636</v>
      </c>
      <c r="BI296" s="121" t="s">
        <v>91</v>
      </c>
      <c r="BJ296" s="56" t="s">
        <v>637</v>
      </c>
      <c r="BK296" s="98" t="s">
        <v>120</v>
      </c>
      <c r="BL296" s="13" t="s">
        <v>190</v>
      </c>
      <c r="BM296" s="14" t="s">
        <v>935</v>
      </c>
      <c r="BN296" s="13" t="s">
        <v>1025</v>
      </c>
      <c r="BO296" s="15" t="s">
        <v>1147</v>
      </c>
      <c r="BQ296" s="17"/>
    </row>
    <row r="297" spans="1:69" ht="50.25" customHeight="1">
      <c r="A297" s="303"/>
      <c r="B297" s="327"/>
      <c r="C297" s="14" t="s">
        <v>147</v>
      </c>
      <c r="D297" s="4" t="s">
        <v>47</v>
      </c>
      <c r="E297" s="45">
        <f t="shared" si="87"/>
        <v>1.31</v>
      </c>
      <c r="F297" s="45"/>
      <c r="G297" s="5">
        <f t="shared" si="90"/>
        <v>1.31</v>
      </c>
      <c r="H297" s="80">
        <v>0</v>
      </c>
      <c r="I297" s="80">
        <v>0</v>
      </c>
      <c r="J297" s="80">
        <v>0</v>
      </c>
      <c r="K297" s="80">
        <v>0</v>
      </c>
      <c r="L297" s="80">
        <v>0</v>
      </c>
      <c r="M297" s="80">
        <v>0</v>
      </c>
      <c r="N297" s="80">
        <v>0</v>
      </c>
      <c r="O297" s="80">
        <v>0</v>
      </c>
      <c r="P297" s="80">
        <v>0</v>
      </c>
      <c r="Q297" s="80">
        <v>0</v>
      </c>
      <c r="R297" s="80">
        <v>0</v>
      </c>
      <c r="S297" s="80">
        <v>0</v>
      </c>
      <c r="T297" s="80">
        <v>0</v>
      </c>
      <c r="U297" s="46">
        <f t="shared" si="91"/>
        <v>0</v>
      </c>
      <c r="V297" s="166"/>
      <c r="W297" s="80"/>
      <c r="X297" s="80">
        <v>0</v>
      </c>
      <c r="Y297" s="80">
        <v>0</v>
      </c>
      <c r="Z297" s="80">
        <v>0</v>
      </c>
      <c r="AA297" s="80">
        <v>0</v>
      </c>
      <c r="AB297" s="80">
        <v>0</v>
      </c>
      <c r="AC297" s="80">
        <v>0</v>
      </c>
      <c r="AD297" s="80">
        <v>0</v>
      </c>
      <c r="AE297" s="80">
        <v>0</v>
      </c>
      <c r="AF297" s="80">
        <v>0</v>
      </c>
      <c r="AG297" s="80">
        <v>0</v>
      </c>
      <c r="AH297" s="80">
        <v>0</v>
      </c>
      <c r="AI297" s="80">
        <v>0</v>
      </c>
      <c r="AJ297" s="80">
        <v>0</v>
      </c>
      <c r="AK297" s="80">
        <v>0</v>
      </c>
      <c r="AL297" s="80">
        <v>0</v>
      </c>
      <c r="AM297" s="80">
        <v>0</v>
      </c>
      <c r="AN297" s="80">
        <v>0</v>
      </c>
      <c r="AO297" s="80">
        <v>0</v>
      </c>
      <c r="AP297" s="80">
        <v>0</v>
      </c>
      <c r="AQ297" s="80">
        <v>0</v>
      </c>
      <c r="AR297" s="80">
        <v>0</v>
      </c>
      <c r="AS297" s="80">
        <v>0</v>
      </c>
      <c r="AT297" s="80">
        <v>0</v>
      </c>
      <c r="AU297" s="80">
        <v>0</v>
      </c>
      <c r="AV297" s="80">
        <v>0</v>
      </c>
      <c r="AW297" s="80">
        <v>0</v>
      </c>
      <c r="AX297" s="80">
        <v>0</v>
      </c>
      <c r="AY297" s="80">
        <v>0</v>
      </c>
      <c r="AZ297" s="80">
        <v>0</v>
      </c>
      <c r="BA297" s="80">
        <v>0</v>
      </c>
      <c r="BB297" s="80">
        <v>0</v>
      </c>
      <c r="BC297" s="80">
        <v>0</v>
      </c>
      <c r="BD297" s="80">
        <v>0</v>
      </c>
      <c r="BE297" s="80">
        <v>0</v>
      </c>
      <c r="BF297" s="80">
        <v>0</v>
      </c>
      <c r="BG297" s="80">
        <v>1.31</v>
      </c>
      <c r="BH297" s="56" t="s">
        <v>638</v>
      </c>
      <c r="BI297" s="14" t="s">
        <v>147</v>
      </c>
      <c r="BJ297" s="14" t="s">
        <v>639</v>
      </c>
      <c r="BK297" s="98" t="s">
        <v>120</v>
      </c>
      <c r="BL297" s="14" t="s">
        <v>190</v>
      </c>
      <c r="BM297" s="14" t="s">
        <v>935</v>
      </c>
      <c r="BN297" s="13" t="s">
        <v>1025</v>
      </c>
      <c r="BO297" s="15" t="s">
        <v>1147</v>
      </c>
      <c r="BQ297" s="17"/>
    </row>
    <row r="298" spans="1:69" ht="46.5">
      <c r="A298" s="298">
        <f>+A288+1</f>
        <v>202</v>
      </c>
      <c r="B298" s="295" t="s">
        <v>622</v>
      </c>
      <c r="C298" s="56" t="s">
        <v>150</v>
      </c>
      <c r="D298" s="4" t="s">
        <v>47</v>
      </c>
      <c r="E298" s="45">
        <f t="shared" si="87"/>
        <v>1.4000000000000001</v>
      </c>
      <c r="F298" s="45"/>
      <c r="G298" s="5">
        <f t="shared" si="90"/>
        <v>1.4000000000000001</v>
      </c>
      <c r="H298" s="46">
        <f>0.07+0.04</f>
        <v>0.11000000000000001</v>
      </c>
      <c r="I298" s="46">
        <v>0</v>
      </c>
      <c r="J298" s="46">
        <v>0</v>
      </c>
      <c r="K298" s="46"/>
      <c r="L298" s="46"/>
      <c r="M298" s="46"/>
      <c r="N298" s="46"/>
      <c r="O298" s="46"/>
      <c r="P298" s="46"/>
      <c r="Q298" s="46"/>
      <c r="R298" s="46"/>
      <c r="S298" s="46"/>
      <c r="T298" s="46"/>
      <c r="U298" s="46">
        <f aca="true" t="shared" si="92" ref="U298:U303">SUM(V298:X298)</f>
        <v>1.29</v>
      </c>
      <c r="V298" s="166"/>
      <c r="W298" s="46">
        <v>1.29</v>
      </c>
      <c r="X298" s="46"/>
      <c r="Y298" s="46"/>
      <c r="Z298" s="46">
        <v>0</v>
      </c>
      <c r="AA298" s="46">
        <v>0</v>
      </c>
      <c r="AB298" s="46">
        <v>0</v>
      </c>
      <c r="AC298" s="46">
        <v>0</v>
      </c>
      <c r="AD298" s="46">
        <v>0</v>
      </c>
      <c r="AE298" s="46">
        <v>0</v>
      </c>
      <c r="AF298" s="46">
        <v>0</v>
      </c>
      <c r="AG298" s="46">
        <v>0</v>
      </c>
      <c r="AH298" s="46">
        <v>0</v>
      </c>
      <c r="AI298" s="46">
        <v>0</v>
      </c>
      <c r="AJ298" s="46">
        <v>0</v>
      </c>
      <c r="AK298" s="46">
        <v>0</v>
      </c>
      <c r="AL298" s="46">
        <v>0</v>
      </c>
      <c r="AM298" s="46">
        <v>0</v>
      </c>
      <c r="AN298" s="46">
        <v>0</v>
      </c>
      <c r="AO298" s="46">
        <v>0</v>
      </c>
      <c r="AP298" s="46">
        <v>0</v>
      </c>
      <c r="AQ298" s="46">
        <v>0</v>
      </c>
      <c r="AR298" s="46">
        <v>0</v>
      </c>
      <c r="AS298" s="46">
        <v>0</v>
      </c>
      <c r="AT298" s="46">
        <v>0</v>
      </c>
      <c r="AU298" s="46">
        <v>0</v>
      </c>
      <c r="AV298" s="46">
        <v>0</v>
      </c>
      <c r="AW298" s="46">
        <v>0</v>
      </c>
      <c r="AX298" s="46">
        <v>0</v>
      </c>
      <c r="AY298" s="46">
        <v>0</v>
      </c>
      <c r="AZ298" s="46">
        <v>0</v>
      </c>
      <c r="BA298" s="46">
        <v>0</v>
      </c>
      <c r="BB298" s="46">
        <v>0</v>
      </c>
      <c r="BC298" s="46">
        <v>0</v>
      </c>
      <c r="BD298" s="46">
        <v>0</v>
      </c>
      <c r="BE298" s="46">
        <v>0</v>
      </c>
      <c r="BF298" s="46">
        <v>0</v>
      </c>
      <c r="BG298" s="46"/>
      <c r="BH298" s="56" t="s">
        <v>389</v>
      </c>
      <c r="BI298" s="56" t="s">
        <v>150</v>
      </c>
      <c r="BJ298" s="14" t="s">
        <v>640</v>
      </c>
      <c r="BK298" s="98" t="s">
        <v>120</v>
      </c>
      <c r="BL298" s="13" t="s">
        <v>190</v>
      </c>
      <c r="BM298" s="14" t="s">
        <v>935</v>
      </c>
      <c r="BN298" s="13" t="s">
        <v>1025</v>
      </c>
      <c r="BO298" s="15" t="s">
        <v>1147</v>
      </c>
      <c r="BQ298" s="17"/>
    </row>
    <row r="299" spans="1:69" ht="46.5">
      <c r="A299" s="299"/>
      <c r="B299" s="296"/>
      <c r="C299" s="56" t="s">
        <v>99</v>
      </c>
      <c r="D299" s="4" t="s">
        <v>47</v>
      </c>
      <c r="E299" s="45">
        <f t="shared" si="87"/>
        <v>2</v>
      </c>
      <c r="F299" s="45"/>
      <c r="G299" s="5">
        <f t="shared" si="90"/>
        <v>2</v>
      </c>
      <c r="H299" s="48"/>
      <c r="I299" s="48">
        <v>0.06</v>
      </c>
      <c r="J299" s="48"/>
      <c r="K299" s="48">
        <v>0.18</v>
      </c>
      <c r="L299" s="48"/>
      <c r="M299" s="48"/>
      <c r="N299" s="48"/>
      <c r="O299" s="48"/>
      <c r="P299" s="48"/>
      <c r="Q299" s="48"/>
      <c r="R299" s="48"/>
      <c r="S299" s="48"/>
      <c r="T299" s="48"/>
      <c r="U299" s="46">
        <f t="shared" si="92"/>
        <v>1.76</v>
      </c>
      <c r="V299" s="166">
        <f>0.76+1</f>
        <v>1.76</v>
      </c>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56" t="s">
        <v>384</v>
      </c>
      <c r="BI299" s="56" t="s">
        <v>99</v>
      </c>
      <c r="BJ299" s="14" t="s">
        <v>641</v>
      </c>
      <c r="BK299" s="98" t="s">
        <v>120</v>
      </c>
      <c r="BL299" s="13" t="s">
        <v>190</v>
      </c>
      <c r="BM299" s="14" t="s">
        <v>935</v>
      </c>
      <c r="BN299" s="13" t="s">
        <v>1025</v>
      </c>
      <c r="BO299" s="15" t="s">
        <v>1147</v>
      </c>
      <c r="BQ299" s="17"/>
    </row>
    <row r="300" spans="1:69" ht="46.5">
      <c r="A300" s="299"/>
      <c r="B300" s="296"/>
      <c r="C300" s="14" t="s">
        <v>106</v>
      </c>
      <c r="D300" s="4" t="s">
        <v>47</v>
      </c>
      <c r="E300" s="45">
        <f t="shared" si="87"/>
        <v>1</v>
      </c>
      <c r="F300" s="45"/>
      <c r="G300" s="5">
        <f t="shared" si="90"/>
        <v>1</v>
      </c>
      <c r="H300" s="48"/>
      <c r="I300" s="48">
        <v>0.13</v>
      </c>
      <c r="J300" s="48"/>
      <c r="K300" s="48"/>
      <c r="L300" s="48"/>
      <c r="M300" s="48"/>
      <c r="N300" s="48"/>
      <c r="O300" s="48"/>
      <c r="P300" s="48"/>
      <c r="Q300" s="48"/>
      <c r="R300" s="48">
        <v>0</v>
      </c>
      <c r="S300" s="48">
        <v>0</v>
      </c>
      <c r="T300" s="48">
        <v>0</v>
      </c>
      <c r="U300" s="46">
        <f t="shared" si="92"/>
        <v>0.87</v>
      </c>
      <c r="V300" s="48">
        <v>0.87</v>
      </c>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t="s">
        <v>482</v>
      </c>
      <c r="BI300" s="14" t="s">
        <v>106</v>
      </c>
      <c r="BJ300" s="14" t="s">
        <v>642</v>
      </c>
      <c r="BK300" s="98" t="s">
        <v>120</v>
      </c>
      <c r="BL300" s="13" t="s">
        <v>190</v>
      </c>
      <c r="BM300" s="14" t="s">
        <v>935</v>
      </c>
      <c r="BN300" s="13" t="s">
        <v>1025</v>
      </c>
      <c r="BO300" s="15" t="s">
        <v>1147</v>
      </c>
      <c r="BQ300" s="17"/>
    </row>
    <row r="301" spans="1:69" ht="46.5">
      <c r="A301" s="299"/>
      <c r="B301" s="296"/>
      <c r="C301" s="14" t="s">
        <v>95</v>
      </c>
      <c r="D301" s="4" t="s">
        <v>47</v>
      </c>
      <c r="E301" s="45">
        <f t="shared" si="87"/>
        <v>0.7000000000000001</v>
      </c>
      <c r="F301" s="45"/>
      <c r="G301" s="5">
        <f t="shared" si="90"/>
        <v>0.7000000000000001</v>
      </c>
      <c r="H301" s="48"/>
      <c r="I301" s="48"/>
      <c r="J301" s="48"/>
      <c r="K301" s="48">
        <v>0.05</v>
      </c>
      <c r="L301" s="48"/>
      <c r="M301" s="48"/>
      <c r="N301" s="48"/>
      <c r="O301" s="48"/>
      <c r="P301" s="48"/>
      <c r="Q301" s="48"/>
      <c r="R301" s="48"/>
      <c r="S301" s="48"/>
      <c r="T301" s="48"/>
      <c r="U301" s="46">
        <f t="shared" si="92"/>
        <v>0</v>
      </c>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v>0.65</v>
      </c>
      <c r="BH301" s="48" t="s">
        <v>1065</v>
      </c>
      <c r="BI301" s="14" t="s">
        <v>95</v>
      </c>
      <c r="BJ301" s="14" t="s">
        <v>643</v>
      </c>
      <c r="BK301" s="98" t="s">
        <v>351</v>
      </c>
      <c r="BL301" s="13" t="s">
        <v>190</v>
      </c>
      <c r="BM301" s="14" t="s">
        <v>935</v>
      </c>
      <c r="BN301" s="13" t="s">
        <v>1025</v>
      </c>
      <c r="BO301" s="15" t="s">
        <v>1147</v>
      </c>
      <c r="BP301" s="16" t="s">
        <v>1048</v>
      </c>
      <c r="BQ301" s="17"/>
    </row>
    <row r="302" spans="1:69" ht="46.5">
      <c r="A302" s="300"/>
      <c r="B302" s="297"/>
      <c r="C302" s="56" t="s">
        <v>154</v>
      </c>
      <c r="D302" s="4" t="s">
        <v>47</v>
      </c>
      <c r="E302" s="45">
        <f aca="true" t="shared" si="93" ref="E302:E317">F302+G302</f>
        <v>1.2000000000000002</v>
      </c>
      <c r="F302" s="45"/>
      <c r="G302" s="5">
        <f aca="true" t="shared" si="94" ref="G302:G317">SUM(H302:M302,Q302,U302,Y302:BG302)</f>
        <v>1.2000000000000002</v>
      </c>
      <c r="H302" s="48"/>
      <c r="I302" s="48">
        <v>0.04</v>
      </c>
      <c r="J302" s="48"/>
      <c r="K302" s="48">
        <v>0.06</v>
      </c>
      <c r="L302" s="48"/>
      <c r="M302" s="48"/>
      <c r="N302" s="48"/>
      <c r="O302" s="48"/>
      <c r="P302" s="48"/>
      <c r="Q302" s="48"/>
      <c r="R302" s="48"/>
      <c r="S302" s="48"/>
      <c r="T302" s="48"/>
      <c r="U302" s="46">
        <f t="shared" si="92"/>
        <v>1</v>
      </c>
      <c r="V302" s="166">
        <v>0.24</v>
      </c>
      <c r="W302" s="48">
        <v>0.76</v>
      </c>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v>0.1</v>
      </c>
      <c r="BH302" s="56" t="s">
        <v>155</v>
      </c>
      <c r="BI302" s="56" t="s">
        <v>154</v>
      </c>
      <c r="BJ302" s="56" t="s">
        <v>997</v>
      </c>
      <c r="BK302" s="98" t="s">
        <v>120</v>
      </c>
      <c r="BL302" s="13" t="s">
        <v>190</v>
      </c>
      <c r="BM302" s="14" t="s">
        <v>935</v>
      </c>
      <c r="BN302" s="13" t="s">
        <v>1025</v>
      </c>
      <c r="BO302" s="15" t="s">
        <v>1147</v>
      </c>
      <c r="BQ302" s="17"/>
    </row>
    <row r="303" spans="1:69" ht="78">
      <c r="A303" s="218">
        <f>+A298+1</f>
        <v>203</v>
      </c>
      <c r="B303" s="219" t="s">
        <v>1119</v>
      </c>
      <c r="C303" s="56" t="s">
        <v>1120</v>
      </c>
      <c r="D303" s="4" t="s">
        <v>47</v>
      </c>
      <c r="E303" s="45">
        <f>F303+G303</f>
        <v>0.48</v>
      </c>
      <c r="F303" s="45"/>
      <c r="G303" s="5">
        <f>SUM(H303:M303,Q303,U303,Y303:BG303)</f>
        <v>0.48</v>
      </c>
      <c r="H303" s="48">
        <v>0.2</v>
      </c>
      <c r="I303" s="48"/>
      <c r="J303" s="48"/>
      <c r="K303" s="48"/>
      <c r="L303" s="48">
        <v>0.08</v>
      </c>
      <c r="M303" s="48"/>
      <c r="N303" s="48"/>
      <c r="O303" s="48"/>
      <c r="P303" s="48"/>
      <c r="Q303" s="48"/>
      <c r="R303" s="48"/>
      <c r="S303" s="48"/>
      <c r="T303" s="48"/>
      <c r="U303" s="46">
        <f t="shared" si="92"/>
        <v>0.11</v>
      </c>
      <c r="V303" s="48">
        <v>0.11</v>
      </c>
      <c r="W303" s="48"/>
      <c r="X303" s="48"/>
      <c r="Y303" s="48">
        <v>0.02</v>
      </c>
      <c r="Z303" s="48"/>
      <c r="AA303" s="48"/>
      <c r="AB303" s="48"/>
      <c r="AC303" s="48"/>
      <c r="AD303" s="48"/>
      <c r="AE303" s="48"/>
      <c r="AF303" s="48">
        <v>0.04</v>
      </c>
      <c r="AG303" s="48"/>
      <c r="AH303" s="48"/>
      <c r="AI303" s="48"/>
      <c r="AJ303" s="48"/>
      <c r="AK303" s="48"/>
      <c r="AL303" s="48"/>
      <c r="AM303" s="48"/>
      <c r="AN303" s="48"/>
      <c r="AO303" s="48"/>
      <c r="AP303" s="48"/>
      <c r="AQ303" s="48"/>
      <c r="AR303" s="48"/>
      <c r="AS303" s="48"/>
      <c r="AT303" s="48">
        <v>0.03</v>
      </c>
      <c r="AU303" s="48"/>
      <c r="AV303" s="48"/>
      <c r="AW303" s="48"/>
      <c r="AX303" s="48"/>
      <c r="AY303" s="48"/>
      <c r="AZ303" s="48"/>
      <c r="BA303" s="48"/>
      <c r="BB303" s="48"/>
      <c r="BC303" s="48"/>
      <c r="BD303" s="48"/>
      <c r="BE303" s="48"/>
      <c r="BF303" s="48"/>
      <c r="BG303" s="48"/>
      <c r="BH303" s="56" t="s">
        <v>1121</v>
      </c>
      <c r="BI303" s="56" t="s">
        <v>82</v>
      </c>
      <c r="BJ303" s="56" t="s">
        <v>1115</v>
      </c>
      <c r="BK303" s="98"/>
      <c r="BL303" s="13" t="s">
        <v>1116</v>
      </c>
      <c r="BM303" s="14"/>
      <c r="BN303" s="13"/>
      <c r="BO303" s="15" t="s">
        <v>194</v>
      </c>
      <c r="BP303" s="16" t="s">
        <v>1067</v>
      </c>
      <c r="BQ303" s="17"/>
    </row>
    <row r="304" spans="1:69" ht="108.75">
      <c r="A304" s="218">
        <f>+A303+1</f>
        <v>204</v>
      </c>
      <c r="B304" s="219" t="s">
        <v>1118</v>
      </c>
      <c r="C304" s="56"/>
      <c r="D304" s="4" t="s">
        <v>47</v>
      </c>
      <c r="E304" s="45">
        <f t="shared" si="93"/>
        <v>5.4399999999999995</v>
      </c>
      <c r="F304" s="45"/>
      <c r="G304" s="5">
        <f t="shared" si="94"/>
        <v>5.4399999999999995</v>
      </c>
      <c r="H304" s="48">
        <f>SUM(H305:H317)</f>
        <v>1.08</v>
      </c>
      <c r="I304" s="48">
        <f aca="true" t="shared" si="95" ref="I304:BG304">SUM(I305:I317)</f>
        <v>1.08</v>
      </c>
      <c r="J304" s="48">
        <f t="shared" si="95"/>
        <v>0</v>
      </c>
      <c r="K304" s="48">
        <f t="shared" si="95"/>
        <v>1.07</v>
      </c>
      <c r="L304" s="48">
        <f t="shared" si="95"/>
        <v>0.37</v>
      </c>
      <c r="M304" s="48">
        <f t="shared" si="95"/>
        <v>0</v>
      </c>
      <c r="N304" s="48">
        <f t="shared" si="95"/>
        <v>0</v>
      </c>
      <c r="O304" s="48">
        <f t="shared" si="95"/>
        <v>0</v>
      </c>
      <c r="P304" s="48">
        <f t="shared" si="95"/>
        <v>0</v>
      </c>
      <c r="Q304" s="48">
        <f t="shared" si="95"/>
        <v>0</v>
      </c>
      <c r="R304" s="48">
        <f t="shared" si="95"/>
        <v>0</v>
      </c>
      <c r="S304" s="48">
        <f t="shared" si="95"/>
        <v>0</v>
      </c>
      <c r="T304" s="48">
        <f t="shared" si="95"/>
        <v>0</v>
      </c>
      <c r="U304" s="48">
        <f t="shared" si="95"/>
        <v>1.5699999999999998</v>
      </c>
      <c r="V304" s="48">
        <f t="shared" si="95"/>
        <v>1.21</v>
      </c>
      <c r="W304" s="48">
        <f t="shared" si="95"/>
        <v>0.36</v>
      </c>
      <c r="X304" s="48">
        <f t="shared" si="95"/>
        <v>0</v>
      </c>
      <c r="Y304" s="48">
        <f t="shared" si="95"/>
        <v>0.08</v>
      </c>
      <c r="Z304" s="48">
        <f t="shared" si="95"/>
        <v>0</v>
      </c>
      <c r="AA304" s="48">
        <f t="shared" si="95"/>
        <v>0</v>
      </c>
      <c r="AB304" s="48">
        <f t="shared" si="95"/>
        <v>0</v>
      </c>
      <c r="AC304" s="48">
        <f t="shared" si="95"/>
        <v>0</v>
      </c>
      <c r="AD304" s="48">
        <f t="shared" si="95"/>
        <v>0</v>
      </c>
      <c r="AE304" s="48">
        <f t="shared" si="95"/>
        <v>0</v>
      </c>
      <c r="AF304" s="48">
        <f t="shared" si="95"/>
        <v>0.09</v>
      </c>
      <c r="AG304" s="48">
        <f t="shared" si="95"/>
        <v>0</v>
      </c>
      <c r="AH304" s="48">
        <f t="shared" si="95"/>
        <v>0</v>
      </c>
      <c r="AI304" s="48">
        <f t="shared" si="95"/>
        <v>0</v>
      </c>
      <c r="AJ304" s="48">
        <f t="shared" si="95"/>
        <v>0</v>
      </c>
      <c r="AK304" s="48">
        <f t="shared" si="95"/>
        <v>0</v>
      </c>
      <c r="AL304" s="48">
        <f t="shared" si="95"/>
        <v>0</v>
      </c>
      <c r="AM304" s="48">
        <f t="shared" si="95"/>
        <v>0</v>
      </c>
      <c r="AN304" s="48">
        <f t="shared" si="95"/>
        <v>0</v>
      </c>
      <c r="AO304" s="48">
        <f t="shared" si="95"/>
        <v>0</v>
      </c>
      <c r="AP304" s="48">
        <f t="shared" si="95"/>
        <v>0</v>
      </c>
      <c r="AQ304" s="48">
        <f t="shared" si="95"/>
        <v>0</v>
      </c>
      <c r="AR304" s="48">
        <f t="shared" si="95"/>
        <v>0</v>
      </c>
      <c r="AS304" s="48">
        <f t="shared" si="95"/>
        <v>0</v>
      </c>
      <c r="AT304" s="48">
        <f t="shared" si="95"/>
        <v>0</v>
      </c>
      <c r="AU304" s="48">
        <f t="shared" si="95"/>
        <v>0</v>
      </c>
      <c r="AV304" s="48">
        <f t="shared" si="95"/>
        <v>0</v>
      </c>
      <c r="AW304" s="48">
        <f t="shared" si="95"/>
        <v>0</v>
      </c>
      <c r="AX304" s="48">
        <f t="shared" si="95"/>
        <v>0</v>
      </c>
      <c r="AY304" s="48">
        <f t="shared" si="95"/>
        <v>0</v>
      </c>
      <c r="AZ304" s="48">
        <f t="shared" si="95"/>
        <v>0</v>
      </c>
      <c r="BA304" s="48">
        <f t="shared" si="95"/>
        <v>0</v>
      </c>
      <c r="BB304" s="48">
        <f t="shared" si="95"/>
        <v>0</v>
      </c>
      <c r="BC304" s="48">
        <f t="shared" si="95"/>
        <v>0</v>
      </c>
      <c r="BD304" s="48">
        <f t="shared" si="95"/>
        <v>0</v>
      </c>
      <c r="BE304" s="48">
        <f t="shared" si="95"/>
        <v>0.01</v>
      </c>
      <c r="BF304" s="48">
        <f t="shared" si="95"/>
        <v>0</v>
      </c>
      <c r="BG304" s="48">
        <f t="shared" si="95"/>
        <v>0.09</v>
      </c>
      <c r="BH304" s="56" t="s">
        <v>1111</v>
      </c>
      <c r="BI304" s="56" t="s">
        <v>1109</v>
      </c>
      <c r="BJ304" s="56"/>
      <c r="BK304" s="98"/>
      <c r="BL304" s="13" t="s">
        <v>1117</v>
      </c>
      <c r="BM304" s="14"/>
      <c r="BN304" s="13"/>
      <c r="BO304" s="15" t="s">
        <v>194</v>
      </c>
      <c r="BP304" s="16" t="s">
        <v>1067</v>
      </c>
      <c r="BQ304" s="17"/>
    </row>
    <row r="305" spans="1:71" s="114" customFormat="1" ht="46.5" hidden="1">
      <c r="A305" s="220" t="s">
        <v>314</v>
      </c>
      <c r="B305" s="221" t="s">
        <v>622</v>
      </c>
      <c r="C305" s="222" t="s">
        <v>1099</v>
      </c>
      <c r="D305" s="103" t="s">
        <v>47</v>
      </c>
      <c r="E305" s="144">
        <f t="shared" si="93"/>
        <v>0.54</v>
      </c>
      <c r="F305" s="144"/>
      <c r="G305" s="104">
        <f t="shared" si="94"/>
        <v>0.54</v>
      </c>
      <c r="H305" s="223"/>
      <c r="I305" s="223">
        <v>0.07</v>
      </c>
      <c r="J305" s="223"/>
      <c r="K305" s="223">
        <v>0.06</v>
      </c>
      <c r="L305" s="223">
        <v>0.08</v>
      </c>
      <c r="M305" s="223"/>
      <c r="N305" s="223"/>
      <c r="O305" s="223"/>
      <c r="P305" s="223"/>
      <c r="Q305" s="223"/>
      <c r="R305" s="223"/>
      <c r="S305" s="223"/>
      <c r="T305" s="223"/>
      <c r="U305" s="224">
        <f aca="true" t="shared" si="96" ref="U305:U317">SUM(V305:X305)</f>
        <v>0.33</v>
      </c>
      <c r="V305" s="225">
        <v>0.33</v>
      </c>
      <c r="W305" s="223"/>
      <c r="X305" s="223"/>
      <c r="Y305" s="223"/>
      <c r="Z305" s="223"/>
      <c r="AA305" s="223"/>
      <c r="AB305" s="223"/>
      <c r="AC305" s="223"/>
      <c r="AD305" s="223"/>
      <c r="AE305" s="223"/>
      <c r="AF305" s="223"/>
      <c r="AG305" s="223"/>
      <c r="AH305" s="223"/>
      <c r="AI305" s="223"/>
      <c r="AJ305" s="223"/>
      <c r="AK305" s="223"/>
      <c r="AL305" s="223"/>
      <c r="AM305" s="223"/>
      <c r="AN305" s="223"/>
      <c r="AO305" s="223"/>
      <c r="AP305" s="223"/>
      <c r="AQ305" s="223"/>
      <c r="AR305" s="223"/>
      <c r="AS305" s="223"/>
      <c r="AT305" s="223"/>
      <c r="AU305" s="223"/>
      <c r="AV305" s="223"/>
      <c r="AW305" s="223"/>
      <c r="AX305" s="223"/>
      <c r="AY305" s="223"/>
      <c r="AZ305" s="223"/>
      <c r="BA305" s="223"/>
      <c r="BB305" s="223"/>
      <c r="BC305" s="223"/>
      <c r="BD305" s="223"/>
      <c r="BE305" s="223"/>
      <c r="BF305" s="223"/>
      <c r="BG305" s="223"/>
      <c r="BH305" s="222" t="s">
        <v>388</v>
      </c>
      <c r="BI305" s="222" t="s">
        <v>82</v>
      </c>
      <c r="BJ305" s="222" t="s">
        <v>1114</v>
      </c>
      <c r="BK305" s="226"/>
      <c r="BL305" s="111"/>
      <c r="BM305" s="155"/>
      <c r="BN305" s="111"/>
      <c r="BO305" s="112"/>
      <c r="BP305" s="113"/>
      <c r="BS305" s="115"/>
    </row>
    <row r="306" spans="1:71" s="114" customFormat="1" ht="46.5" hidden="1">
      <c r="A306" s="220" t="s">
        <v>314</v>
      </c>
      <c r="B306" s="221" t="s">
        <v>622</v>
      </c>
      <c r="C306" s="222" t="s">
        <v>1100</v>
      </c>
      <c r="D306" s="103" t="s">
        <v>47</v>
      </c>
      <c r="E306" s="144">
        <f t="shared" si="93"/>
        <v>0.31</v>
      </c>
      <c r="F306" s="144"/>
      <c r="G306" s="104">
        <f t="shared" si="94"/>
        <v>0.31</v>
      </c>
      <c r="H306" s="223">
        <v>0.2</v>
      </c>
      <c r="I306" s="223"/>
      <c r="J306" s="223"/>
      <c r="K306" s="223"/>
      <c r="L306" s="223"/>
      <c r="M306" s="223"/>
      <c r="N306" s="223"/>
      <c r="O306" s="223"/>
      <c r="P306" s="223"/>
      <c r="Q306" s="223"/>
      <c r="R306" s="223"/>
      <c r="S306" s="223"/>
      <c r="T306" s="223"/>
      <c r="U306" s="224">
        <f t="shared" si="96"/>
        <v>0.11</v>
      </c>
      <c r="V306" s="225"/>
      <c r="W306" s="223">
        <v>0.11</v>
      </c>
      <c r="X306" s="223"/>
      <c r="Y306" s="223"/>
      <c r="Z306" s="223"/>
      <c r="AA306" s="223"/>
      <c r="AB306" s="223"/>
      <c r="AC306" s="223"/>
      <c r="AD306" s="223"/>
      <c r="AE306" s="223"/>
      <c r="AF306" s="223"/>
      <c r="AG306" s="223"/>
      <c r="AH306" s="223"/>
      <c r="AI306" s="223"/>
      <c r="AJ306" s="223"/>
      <c r="AK306" s="223"/>
      <c r="AL306" s="223"/>
      <c r="AM306" s="223"/>
      <c r="AN306" s="223"/>
      <c r="AO306" s="223"/>
      <c r="AP306" s="223"/>
      <c r="AQ306" s="223"/>
      <c r="AR306" s="223"/>
      <c r="AS306" s="223"/>
      <c r="AT306" s="223"/>
      <c r="AU306" s="223"/>
      <c r="AV306" s="223"/>
      <c r="AW306" s="223"/>
      <c r="AX306" s="223"/>
      <c r="AY306" s="223"/>
      <c r="AZ306" s="223"/>
      <c r="BA306" s="223"/>
      <c r="BB306" s="223"/>
      <c r="BC306" s="223"/>
      <c r="BD306" s="223"/>
      <c r="BE306" s="223"/>
      <c r="BF306" s="223"/>
      <c r="BG306" s="223"/>
      <c r="BH306" s="222" t="s">
        <v>1107</v>
      </c>
      <c r="BI306" s="222" t="s">
        <v>138</v>
      </c>
      <c r="BJ306" s="222" t="s">
        <v>1112</v>
      </c>
      <c r="BK306" s="226"/>
      <c r="BL306" s="111"/>
      <c r="BM306" s="155"/>
      <c r="BN306" s="111"/>
      <c r="BO306" s="112"/>
      <c r="BP306" s="113"/>
      <c r="BS306" s="115"/>
    </row>
    <row r="307" spans="1:71" s="114" customFormat="1" ht="62.25" hidden="1">
      <c r="A307" s="220" t="s">
        <v>314</v>
      </c>
      <c r="B307" s="221" t="s">
        <v>622</v>
      </c>
      <c r="C307" s="222" t="s">
        <v>1101</v>
      </c>
      <c r="D307" s="103" t="s">
        <v>47</v>
      </c>
      <c r="E307" s="144">
        <f t="shared" si="93"/>
        <v>0.72</v>
      </c>
      <c r="F307" s="144"/>
      <c r="G307" s="104">
        <f t="shared" si="94"/>
        <v>0.72</v>
      </c>
      <c r="H307" s="223">
        <v>0.21</v>
      </c>
      <c r="I307" s="223"/>
      <c r="J307" s="223"/>
      <c r="K307" s="223"/>
      <c r="L307" s="223">
        <v>0.08</v>
      </c>
      <c r="M307" s="223"/>
      <c r="N307" s="223"/>
      <c r="O307" s="223"/>
      <c r="P307" s="223"/>
      <c r="Q307" s="223"/>
      <c r="R307" s="223"/>
      <c r="S307" s="223"/>
      <c r="T307" s="223"/>
      <c r="U307" s="224">
        <f t="shared" si="96"/>
        <v>0.41</v>
      </c>
      <c r="V307" s="225">
        <v>0.3</v>
      </c>
      <c r="W307" s="223">
        <v>0.11</v>
      </c>
      <c r="X307" s="223"/>
      <c r="Y307" s="223"/>
      <c r="Z307" s="223"/>
      <c r="AA307" s="223"/>
      <c r="AB307" s="223"/>
      <c r="AC307" s="223"/>
      <c r="AD307" s="223"/>
      <c r="AE307" s="223"/>
      <c r="AF307" s="223">
        <v>0.02</v>
      </c>
      <c r="AG307" s="223"/>
      <c r="AH307" s="223"/>
      <c r="AI307" s="223"/>
      <c r="AJ307" s="223"/>
      <c r="AK307" s="223"/>
      <c r="AL307" s="223"/>
      <c r="AM307" s="223"/>
      <c r="AN307" s="223"/>
      <c r="AO307" s="223"/>
      <c r="AP307" s="223"/>
      <c r="AQ307" s="223"/>
      <c r="AR307" s="223"/>
      <c r="AS307" s="223"/>
      <c r="AT307" s="223"/>
      <c r="AU307" s="223"/>
      <c r="AV307" s="223"/>
      <c r="AW307" s="223"/>
      <c r="AX307" s="223"/>
      <c r="AY307" s="223"/>
      <c r="AZ307" s="223"/>
      <c r="BA307" s="223"/>
      <c r="BB307" s="223"/>
      <c r="BC307" s="223"/>
      <c r="BD307" s="223"/>
      <c r="BE307" s="223"/>
      <c r="BF307" s="223"/>
      <c r="BG307" s="223"/>
      <c r="BH307" s="222" t="s">
        <v>677</v>
      </c>
      <c r="BI307" s="222" t="s">
        <v>122</v>
      </c>
      <c r="BJ307" s="222" t="s">
        <v>1113</v>
      </c>
      <c r="BK307" s="226"/>
      <c r="BL307" s="111"/>
      <c r="BM307" s="155"/>
      <c r="BN307" s="111"/>
      <c r="BO307" s="112"/>
      <c r="BP307" s="113"/>
      <c r="BS307" s="115"/>
    </row>
    <row r="308" spans="1:71" s="114" customFormat="1" ht="15" hidden="1">
      <c r="A308" s="220" t="s">
        <v>314</v>
      </c>
      <c r="B308" s="221" t="s">
        <v>1093</v>
      </c>
      <c r="C308" s="222" t="s">
        <v>82</v>
      </c>
      <c r="D308" s="103" t="s">
        <v>47</v>
      </c>
      <c r="E308" s="144">
        <f t="shared" si="93"/>
        <v>0.97</v>
      </c>
      <c r="F308" s="144"/>
      <c r="G308" s="104">
        <f t="shared" si="94"/>
        <v>0.97</v>
      </c>
      <c r="H308" s="223"/>
      <c r="I308" s="223">
        <v>0.65</v>
      </c>
      <c r="J308" s="223"/>
      <c r="K308" s="223"/>
      <c r="L308" s="223"/>
      <c r="M308" s="223"/>
      <c r="N308" s="223"/>
      <c r="O308" s="223"/>
      <c r="P308" s="223"/>
      <c r="Q308" s="223"/>
      <c r="R308" s="223"/>
      <c r="S308" s="223"/>
      <c r="T308" s="223"/>
      <c r="U308" s="224">
        <f t="shared" si="96"/>
        <v>0.29</v>
      </c>
      <c r="V308" s="225">
        <v>0.29</v>
      </c>
      <c r="W308" s="223"/>
      <c r="X308" s="223"/>
      <c r="Y308" s="223"/>
      <c r="Z308" s="223"/>
      <c r="AA308" s="223"/>
      <c r="AB308" s="223"/>
      <c r="AC308" s="223"/>
      <c r="AD308" s="223"/>
      <c r="AE308" s="223"/>
      <c r="AF308" s="223"/>
      <c r="AG308" s="223"/>
      <c r="AH308" s="223"/>
      <c r="AI308" s="223"/>
      <c r="AJ308" s="223"/>
      <c r="AK308" s="223"/>
      <c r="AL308" s="223"/>
      <c r="AM308" s="223"/>
      <c r="AN308" s="223"/>
      <c r="AO308" s="223"/>
      <c r="AP308" s="223"/>
      <c r="AQ308" s="223"/>
      <c r="AR308" s="223"/>
      <c r="AS308" s="223"/>
      <c r="AT308" s="223"/>
      <c r="AU308" s="223"/>
      <c r="AV308" s="223"/>
      <c r="AW308" s="223"/>
      <c r="AX308" s="223"/>
      <c r="AY308" s="223"/>
      <c r="AZ308" s="223"/>
      <c r="BA308" s="223"/>
      <c r="BB308" s="223"/>
      <c r="BC308" s="223"/>
      <c r="BD308" s="223"/>
      <c r="BE308" s="223"/>
      <c r="BF308" s="223"/>
      <c r="BG308" s="223">
        <v>0.03</v>
      </c>
      <c r="BH308" s="222" t="s">
        <v>1110</v>
      </c>
      <c r="BI308" s="222" t="s">
        <v>82</v>
      </c>
      <c r="BJ308" s="222"/>
      <c r="BK308" s="226"/>
      <c r="BL308" s="111"/>
      <c r="BM308" s="155"/>
      <c r="BN308" s="111"/>
      <c r="BO308" s="112"/>
      <c r="BP308" s="113"/>
      <c r="BS308" s="115"/>
    </row>
    <row r="309" spans="1:71" s="114" customFormat="1" ht="15" hidden="1">
      <c r="A309" s="220" t="s">
        <v>314</v>
      </c>
      <c r="B309" s="221" t="s">
        <v>1094</v>
      </c>
      <c r="C309" s="222" t="s">
        <v>1102</v>
      </c>
      <c r="D309" s="103" t="s">
        <v>47</v>
      </c>
      <c r="E309" s="144">
        <f t="shared" si="93"/>
        <v>0.06</v>
      </c>
      <c r="F309" s="144"/>
      <c r="G309" s="104">
        <f t="shared" si="94"/>
        <v>0.06</v>
      </c>
      <c r="H309" s="223">
        <v>0.06</v>
      </c>
      <c r="I309" s="223"/>
      <c r="J309" s="223"/>
      <c r="K309" s="223"/>
      <c r="L309" s="223"/>
      <c r="M309" s="223"/>
      <c r="N309" s="223"/>
      <c r="O309" s="223"/>
      <c r="P309" s="223"/>
      <c r="Q309" s="223"/>
      <c r="R309" s="223"/>
      <c r="S309" s="223"/>
      <c r="T309" s="223"/>
      <c r="U309" s="224">
        <f t="shared" si="96"/>
        <v>0</v>
      </c>
      <c r="V309" s="225"/>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3"/>
      <c r="AY309" s="223"/>
      <c r="AZ309" s="223"/>
      <c r="BA309" s="223"/>
      <c r="BB309" s="223"/>
      <c r="BC309" s="223"/>
      <c r="BD309" s="223"/>
      <c r="BE309" s="223"/>
      <c r="BF309" s="223"/>
      <c r="BG309" s="223"/>
      <c r="BH309" s="222" t="s">
        <v>654</v>
      </c>
      <c r="BI309" s="222" t="s">
        <v>138</v>
      </c>
      <c r="BJ309" s="222"/>
      <c r="BK309" s="226"/>
      <c r="BL309" s="111"/>
      <c r="BM309" s="155"/>
      <c r="BN309" s="111"/>
      <c r="BO309" s="112"/>
      <c r="BP309" s="113"/>
      <c r="BS309" s="115"/>
    </row>
    <row r="310" spans="1:71" s="114" customFormat="1" ht="15" hidden="1">
      <c r="A310" s="220" t="s">
        <v>314</v>
      </c>
      <c r="B310" s="221" t="s">
        <v>1095</v>
      </c>
      <c r="C310" s="222" t="s">
        <v>1102</v>
      </c>
      <c r="D310" s="103" t="s">
        <v>47</v>
      </c>
      <c r="E310" s="144">
        <f t="shared" si="93"/>
        <v>0.09</v>
      </c>
      <c r="F310" s="144"/>
      <c r="G310" s="104">
        <f t="shared" si="94"/>
        <v>0.09</v>
      </c>
      <c r="H310" s="223">
        <v>0.08</v>
      </c>
      <c r="I310" s="223"/>
      <c r="J310" s="223"/>
      <c r="K310" s="223"/>
      <c r="L310" s="223"/>
      <c r="M310" s="223"/>
      <c r="N310" s="223"/>
      <c r="O310" s="223"/>
      <c r="P310" s="223"/>
      <c r="Q310" s="223"/>
      <c r="R310" s="223"/>
      <c r="S310" s="223"/>
      <c r="T310" s="223"/>
      <c r="U310" s="224">
        <f t="shared" si="96"/>
        <v>0</v>
      </c>
      <c r="V310" s="225"/>
      <c r="W310" s="223"/>
      <c r="X310" s="223"/>
      <c r="Y310" s="223"/>
      <c r="Z310" s="223"/>
      <c r="AA310" s="223"/>
      <c r="AB310" s="223"/>
      <c r="AC310" s="223"/>
      <c r="AD310" s="223"/>
      <c r="AE310" s="223"/>
      <c r="AF310" s="223">
        <v>0.01</v>
      </c>
      <c r="AG310" s="223"/>
      <c r="AH310" s="223"/>
      <c r="AI310" s="223"/>
      <c r="AJ310" s="223"/>
      <c r="AK310" s="223"/>
      <c r="AL310" s="223"/>
      <c r="AM310" s="223"/>
      <c r="AN310" s="223"/>
      <c r="AO310" s="223"/>
      <c r="AP310" s="223"/>
      <c r="AQ310" s="223"/>
      <c r="AR310" s="223"/>
      <c r="AS310" s="223"/>
      <c r="AT310" s="223"/>
      <c r="AU310" s="223"/>
      <c r="AV310" s="223"/>
      <c r="AW310" s="223"/>
      <c r="AX310" s="223"/>
      <c r="AY310" s="223"/>
      <c r="AZ310" s="223"/>
      <c r="BA310" s="223"/>
      <c r="BB310" s="223"/>
      <c r="BC310" s="223"/>
      <c r="BD310" s="223"/>
      <c r="BE310" s="223"/>
      <c r="BF310" s="223"/>
      <c r="BG310" s="223"/>
      <c r="BH310" s="222" t="s">
        <v>654</v>
      </c>
      <c r="BI310" s="222" t="s">
        <v>138</v>
      </c>
      <c r="BJ310" s="222"/>
      <c r="BK310" s="226"/>
      <c r="BL310" s="111"/>
      <c r="BM310" s="155"/>
      <c r="BN310" s="111"/>
      <c r="BO310" s="112"/>
      <c r="BP310" s="113"/>
      <c r="BS310" s="115"/>
    </row>
    <row r="311" spans="1:71" s="114" customFormat="1" ht="15" hidden="1">
      <c r="A311" s="220" t="s">
        <v>314</v>
      </c>
      <c r="B311" s="221" t="s">
        <v>1096</v>
      </c>
      <c r="C311" s="222" t="s">
        <v>1102</v>
      </c>
      <c r="D311" s="103" t="s">
        <v>47</v>
      </c>
      <c r="E311" s="144">
        <f t="shared" si="93"/>
        <v>0.14</v>
      </c>
      <c r="F311" s="144"/>
      <c r="G311" s="104">
        <f t="shared" si="94"/>
        <v>0.14</v>
      </c>
      <c r="H311" s="223">
        <v>0.06</v>
      </c>
      <c r="I311" s="223"/>
      <c r="J311" s="223"/>
      <c r="K311" s="223">
        <v>0.06</v>
      </c>
      <c r="L311" s="223"/>
      <c r="M311" s="223"/>
      <c r="N311" s="223"/>
      <c r="O311" s="223"/>
      <c r="P311" s="223"/>
      <c r="Q311" s="223"/>
      <c r="R311" s="223"/>
      <c r="S311" s="223"/>
      <c r="T311" s="223"/>
      <c r="U311" s="224">
        <f t="shared" si="96"/>
        <v>0</v>
      </c>
      <c r="V311" s="225"/>
      <c r="W311" s="223"/>
      <c r="X311" s="223"/>
      <c r="Y311" s="223"/>
      <c r="Z311" s="223"/>
      <c r="AA311" s="223"/>
      <c r="AB311" s="223"/>
      <c r="AC311" s="223"/>
      <c r="AD311" s="223"/>
      <c r="AE311" s="223"/>
      <c r="AF311" s="223">
        <v>0.01</v>
      </c>
      <c r="AG311" s="223"/>
      <c r="AH311" s="223"/>
      <c r="AI311" s="223"/>
      <c r="AJ311" s="223"/>
      <c r="AK311" s="223"/>
      <c r="AL311" s="223"/>
      <c r="AM311" s="223"/>
      <c r="AN311" s="223"/>
      <c r="AO311" s="223"/>
      <c r="AP311" s="223"/>
      <c r="AQ311" s="223"/>
      <c r="AR311" s="223"/>
      <c r="AS311" s="223"/>
      <c r="AT311" s="223"/>
      <c r="AU311" s="223"/>
      <c r="AV311" s="223"/>
      <c r="AW311" s="223"/>
      <c r="AX311" s="223"/>
      <c r="AY311" s="223"/>
      <c r="AZ311" s="223"/>
      <c r="BA311" s="223"/>
      <c r="BB311" s="223"/>
      <c r="BC311" s="223"/>
      <c r="BD311" s="223"/>
      <c r="BE311" s="223">
        <v>0.01</v>
      </c>
      <c r="BF311" s="223"/>
      <c r="BG311" s="223"/>
      <c r="BH311" s="222" t="s">
        <v>654</v>
      </c>
      <c r="BI311" s="222" t="s">
        <v>138</v>
      </c>
      <c r="BJ311" s="222"/>
      <c r="BK311" s="226"/>
      <c r="BL311" s="111"/>
      <c r="BM311" s="155"/>
      <c r="BN311" s="111"/>
      <c r="BO311" s="112"/>
      <c r="BP311" s="113"/>
      <c r="BS311" s="115"/>
    </row>
    <row r="312" spans="1:71" s="114" customFormat="1" ht="15" hidden="1">
      <c r="A312" s="220" t="s">
        <v>314</v>
      </c>
      <c r="B312" s="221" t="s">
        <v>1097</v>
      </c>
      <c r="C312" s="222" t="s">
        <v>1102</v>
      </c>
      <c r="D312" s="103" t="s">
        <v>47</v>
      </c>
      <c r="E312" s="144">
        <f t="shared" si="93"/>
        <v>0.14</v>
      </c>
      <c r="F312" s="144"/>
      <c r="G312" s="104">
        <f t="shared" si="94"/>
        <v>0.14</v>
      </c>
      <c r="H312" s="223"/>
      <c r="I312" s="223"/>
      <c r="J312" s="223"/>
      <c r="K312" s="223">
        <v>0.13</v>
      </c>
      <c r="L312" s="223"/>
      <c r="M312" s="223"/>
      <c r="N312" s="223"/>
      <c r="O312" s="223"/>
      <c r="P312" s="223"/>
      <c r="Q312" s="223"/>
      <c r="R312" s="223"/>
      <c r="S312" s="223"/>
      <c r="T312" s="223"/>
      <c r="U312" s="224">
        <f t="shared" si="96"/>
        <v>0</v>
      </c>
      <c r="V312" s="225"/>
      <c r="W312" s="223"/>
      <c r="X312" s="223"/>
      <c r="Y312" s="223"/>
      <c r="Z312" s="223"/>
      <c r="AA312" s="223"/>
      <c r="AB312" s="223"/>
      <c r="AC312" s="223"/>
      <c r="AD312" s="223"/>
      <c r="AE312" s="223"/>
      <c r="AF312" s="223">
        <v>0.01</v>
      </c>
      <c r="AG312" s="223"/>
      <c r="AH312" s="223"/>
      <c r="AI312" s="223"/>
      <c r="AJ312" s="223"/>
      <c r="AK312" s="223"/>
      <c r="AL312" s="223"/>
      <c r="AM312" s="223"/>
      <c r="AN312" s="223"/>
      <c r="AO312" s="223"/>
      <c r="AP312" s="223"/>
      <c r="AQ312" s="223"/>
      <c r="AR312" s="223"/>
      <c r="AS312" s="223"/>
      <c r="AT312" s="223"/>
      <c r="AU312" s="223"/>
      <c r="AV312" s="223"/>
      <c r="AW312" s="223"/>
      <c r="AX312" s="223"/>
      <c r="AY312" s="223"/>
      <c r="AZ312" s="223"/>
      <c r="BA312" s="223"/>
      <c r="BB312" s="223"/>
      <c r="BC312" s="223"/>
      <c r="BD312" s="223"/>
      <c r="BE312" s="223"/>
      <c r="BF312" s="223"/>
      <c r="BG312" s="223"/>
      <c r="BH312" s="222" t="s">
        <v>654</v>
      </c>
      <c r="BI312" s="222" t="s">
        <v>138</v>
      </c>
      <c r="BJ312" s="222"/>
      <c r="BK312" s="226"/>
      <c r="BL312" s="111"/>
      <c r="BM312" s="155"/>
      <c r="BN312" s="111"/>
      <c r="BO312" s="112"/>
      <c r="BP312" s="113"/>
      <c r="BS312" s="115"/>
    </row>
    <row r="313" spans="1:71" s="114" customFormat="1" ht="15" hidden="1">
      <c r="A313" s="220" t="s">
        <v>314</v>
      </c>
      <c r="B313" s="221" t="s">
        <v>1098</v>
      </c>
      <c r="C313" s="222" t="s">
        <v>1102</v>
      </c>
      <c r="D313" s="103" t="s">
        <v>47</v>
      </c>
      <c r="E313" s="144">
        <f t="shared" si="93"/>
        <v>0.16</v>
      </c>
      <c r="F313" s="144"/>
      <c r="G313" s="104">
        <f t="shared" si="94"/>
        <v>0.16</v>
      </c>
      <c r="H313" s="223"/>
      <c r="I313" s="223"/>
      <c r="J313" s="223"/>
      <c r="K313" s="223">
        <v>0.16</v>
      </c>
      <c r="L313" s="223"/>
      <c r="M313" s="223"/>
      <c r="N313" s="223"/>
      <c r="O313" s="223"/>
      <c r="P313" s="223"/>
      <c r="Q313" s="223"/>
      <c r="R313" s="223"/>
      <c r="S313" s="223"/>
      <c r="T313" s="223"/>
      <c r="U313" s="224">
        <f t="shared" si="96"/>
        <v>0</v>
      </c>
      <c r="V313" s="225"/>
      <c r="W313" s="223"/>
      <c r="X313" s="223"/>
      <c r="Y313" s="223"/>
      <c r="Z313" s="223"/>
      <c r="AA313" s="223"/>
      <c r="AB313" s="223"/>
      <c r="AC313" s="223"/>
      <c r="AD313" s="223"/>
      <c r="AE313" s="223"/>
      <c r="AF313" s="223"/>
      <c r="AG313" s="223"/>
      <c r="AH313" s="223"/>
      <c r="AI313" s="223"/>
      <c r="AJ313" s="223"/>
      <c r="AK313" s="223"/>
      <c r="AL313" s="223"/>
      <c r="AM313" s="223"/>
      <c r="AN313" s="223"/>
      <c r="AO313" s="223"/>
      <c r="AP313" s="223"/>
      <c r="AQ313" s="223"/>
      <c r="AR313" s="223"/>
      <c r="AS313" s="223"/>
      <c r="AT313" s="223"/>
      <c r="AU313" s="223"/>
      <c r="AV313" s="223"/>
      <c r="AW313" s="223"/>
      <c r="AX313" s="223"/>
      <c r="AY313" s="223"/>
      <c r="AZ313" s="223"/>
      <c r="BA313" s="223"/>
      <c r="BB313" s="223"/>
      <c r="BC313" s="223"/>
      <c r="BD313" s="223"/>
      <c r="BE313" s="223"/>
      <c r="BF313" s="223"/>
      <c r="BG313" s="223"/>
      <c r="BH313" s="222" t="s">
        <v>654</v>
      </c>
      <c r="BI313" s="222" t="s">
        <v>138</v>
      </c>
      <c r="BJ313" s="222"/>
      <c r="BK313" s="226"/>
      <c r="BL313" s="111"/>
      <c r="BM313" s="155"/>
      <c r="BN313" s="111"/>
      <c r="BO313" s="112"/>
      <c r="BP313" s="113"/>
      <c r="BS313" s="115"/>
    </row>
    <row r="314" spans="1:71" s="114" customFormat="1" ht="15" hidden="1">
      <c r="A314" s="220" t="s">
        <v>314</v>
      </c>
      <c r="B314" s="221" t="s">
        <v>622</v>
      </c>
      <c r="C314" s="222" t="s">
        <v>1103</v>
      </c>
      <c r="D314" s="103" t="s">
        <v>47</v>
      </c>
      <c r="E314" s="144">
        <f t="shared" si="93"/>
        <v>0.64</v>
      </c>
      <c r="F314" s="144"/>
      <c r="G314" s="104">
        <f t="shared" si="94"/>
        <v>0.64</v>
      </c>
      <c r="H314" s="223"/>
      <c r="I314" s="223">
        <v>0.11</v>
      </c>
      <c r="J314" s="223"/>
      <c r="K314" s="223">
        <v>0.51</v>
      </c>
      <c r="L314" s="223">
        <v>0.02</v>
      </c>
      <c r="M314" s="223"/>
      <c r="N314" s="223"/>
      <c r="O314" s="223"/>
      <c r="P314" s="223"/>
      <c r="Q314" s="223"/>
      <c r="R314" s="223"/>
      <c r="S314" s="223"/>
      <c r="T314" s="223"/>
      <c r="U314" s="224">
        <f t="shared" si="96"/>
        <v>0</v>
      </c>
      <c r="V314" s="225"/>
      <c r="W314" s="223"/>
      <c r="X314" s="223"/>
      <c r="Y314" s="223"/>
      <c r="Z314" s="223"/>
      <c r="AA314" s="223"/>
      <c r="AB314" s="223"/>
      <c r="AC314" s="223"/>
      <c r="AD314" s="223"/>
      <c r="AE314" s="223"/>
      <c r="AF314" s="223"/>
      <c r="AG314" s="223"/>
      <c r="AH314" s="223"/>
      <c r="AI314" s="223"/>
      <c r="AJ314" s="223"/>
      <c r="AK314" s="223"/>
      <c r="AL314" s="223"/>
      <c r="AM314" s="223"/>
      <c r="AN314" s="223"/>
      <c r="AO314" s="223"/>
      <c r="AP314" s="223"/>
      <c r="AQ314" s="223"/>
      <c r="AR314" s="223"/>
      <c r="AS314" s="223"/>
      <c r="AT314" s="223"/>
      <c r="AU314" s="223"/>
      <c r="AV314" s="223"/>
      <c r="AW314" s="223"/>
      <c r="AX314" s="223"/>
      <c r="AY314" s="223"/>
      <c r="AZ314" s="223"/>
      <c r="BA314" s="223"/>
      <c r="BB314" s="223"/>
      <c r="BC314" s="223"/>
      <c r="BD314" s="223"/>
      <c r="BE314" s="223"/>
      <c r="BF314" s="223"/>
      <c r="BG314" s="223"/>
      <c r="BH314" s="222" t="s">
        <v>139</v>
      </c>
      <c r="BI314" s="222" t="s">
        <v>138</v>
      </c>
      <c r="BJ314" s="222"/>
      <c r="BK314" s="226"/>
      <c r="BL314" s="111"/>
      <c r="BM314" s="155"/>
      <c r="BN314" s="111"/>
      <c r="BO314" s="112"/>
      <c r="BP314" s="113"/>
      <c r="BS314" s="115"/>
    </row>
    <row r="315" spans="1:71" s="114" customFormat="1" ht="15" hidden="1">
      <c r="A315" s="220" t="s">
        <v>314</v>
      </c>
      <c r="B315" s="221" t="s">
        <v>622</v>
      </c>
      <c r="C315" s="222" t="s">
        <v>1104</v>
      </c>
      <c r="D315" s="103" t="s">
        <v>47</v>
      </c>
      <c r="E315" s="144">
        <f t="shared" si="93"/>
        <v>0.43</v>
      </c>
      <c r="F315" s="144"/>
      <c r="G315" s="104">
        <f t="shared" si="94"/>
        <v>0.43</v>
      </c>
      <c r="H315" s="223"/>
      <c r="I315" s="223">
        <v>0.11</v>
      </c>
      <c r="J315" s="223"/>
      <c r="K315" s="223"/>
      <c r="L315" s="223">
        <v>0.19</v>
      </c>
      <c r="M315" s="223"/>
      <c r="N315" s="223"/>
      <c r="O315" s="223"/>
      <c r="P315" s="223"/>
      <c r="Q315" s="223"/>
      <c r="R315" s="223"/>
      <c r="S315" s="223"/>
      <c r="T315" s="223"/>
      <c r="U315" s="224">
        <f t="shared" si="96"/>
        <v>0</v>
      </c>
      <c r="V315" s="225"/>
      <c r="W315" s="223"/>
      <c r="X315" s="223"/>
      <c r="Y315" s="223">
        <v>0.08</v>
      </c>
      <c r="Z315" s="223"/>
      <c r="AA315" s="223"/>
      <c r="AB315" s="223"/>
      <c r="AC315" s="223"/>
      <c r="AD315" s="223"/>
      <c r="AE315" s="223"/>
      <c r="AF315" s="223"/>
      <c r="AG315" s="223"/>
      <c r="AH315" s="223"/>
      <c r="AI315" s="223"/>
      <c r="AJ315" s="223"/>
      <c r="AK315" s="223"/>
      <c r="AL315" s="223"/>
      <c r="AM315" s="223"/>
      <c r="AN315" s="223"/>
      <c r="AO315" s="223"/>
      <c r="AP315" s="223"/>
      <c r="AQ315" s="223"/>
      <c r="AR315" s="223"/>
      <c r="AS315" s="223"/>
      <c r="AT315" s="223"/>
      <c r="AU315" s="223"/>
      <c r="AV315" s="223"/>
      <c r="AW315" s="223"/>
      <c r="AX315" s="223"/>
      <c r="AY315" s="223"/>
      <c r="AZ315" s="223"/>
      <c r="BA315" s="223"/>
      <c r="BB315" s="223"/>
      <c r="BC315" s="223"/>
      <c r="BD315" s="223"/>
      <c r="BE315" s="223"/>
      <c r="BF315" s="223"/>
      <c r="BG315" s="223">
        <v>0.05</v>
      </c>
      <c r="BH315" s="222" t="s">
        <v>260</v>
      </c>
      <c r="BI315" s="222" t="s">
        <v>122</v>
      </c>
      <c r="BJ315" s="222"/>
      <c r="BK315" s="226"/>
      <c r="BL315" s="111"/>
      <c r="BM315" s="155"/>
      <c r="BN315" s="111"/>
      <c r="BO315" s="112"/>
      <c r="BP315" s="113"/>
      <c r="BS315" s="115"/>
    </row>
    <row r="316" spans="1:71" s="114" customFormat="1" ht="15" hidden="1">
      <c r="A316" s="220" t="s">
        <v>314</v>
      </c>
      <c r="B316" s="221" t="s">
        <v>622</v>
      </c>
      <c r="C316" s="222" t="s">
        <v>1105</v>
      </c>
      <c r="D316" s="103" t="s">
        <v>47</v>
      </c>
      <c r="E316" s="144">
        <f t="shared" si="93"/>
        <v>0.8700000000000001</v>
      </c>
      <c r="F316" s="144"/>
      <c r="G316" s="104">
        <f t="shared" si="94"/>
        <v>0.8700000000000001</v>
      </c>
      <c r="H316" s="223">
        <v>0.31</v>
      </c>
      <c r="I316" s="223">
        <v>0.09</v>
      </c>
      <c r="J316" s="223"/>
      <c r="K316" s="223">
        <v>0.15</v>
      </c>
      <c r="L316" s="223"/>
      <c r="M316" s="223"/>
      <c r="N316" s="223"/>
      <c r="O316" s="223"/>
      <c r="P316" s="223"/>
      <c r="Q316" s="223"/>
      <c r="R316" s="223"/>
      <c r="S316" s="223"/>
      <c r="T316" s="223"/>
      <c r="U316" s="224">
        <f t="shared" si="96"/>
        <v>0.29</v>
      </c>
      <c r="V316" s="225">
        <v>0.29</v>
      </c>
      <c r="W316" s="223"/>
      <c r="X316" s="223"/>
      <c r="Y316" s="223"/>
      <c r="Z316" s="223"/>
      <c r="AA316" s="223"/>
      <c r="AB316" s="223"/>
      <c r="AC316" s="223"/>
      <c r="AD316" s="223"/>
      <c r="AE316" s="223"/>
      <c r="AF316" s="223">
        <v>0.03</v>
      </c>
      <c r="AG316" s="223"/>
      <c r="AH316" s="223"/>
      <c r="AI316" s="223"/>
      <c r="AJ316" s="223"/>
      <c r="AK316" s="223"/>
      <c r="AL316" s="223"/>
      <c r="AM316" s="223"/>
      <c r="AN316" s="223"/>
      <c r="AO316" s="223"/>
      <c r="AP316" s="223"/>
      <c r="AQ316" s="223"/>
      <c r="AR316" s="223"/>
      <c r="AS316" s="223"/>
      <c r="AT316" s="223"/>
      <c r="AU316" s="223"/>
      <c r="AV316" s="223"/>
      <c r="AW316" s="223"/>
      <c r="AX316" s="223"/>
      <c r="AY316" s="223"/>
      <c r="AZ316" s="223"/>
      <c r="BA316" s="223"/>
      <c r="BB316" s="223"/>
      <c r="BC316" s="223"/>
      <c r="BD316" s="223"/>
      <c r="BE316" s="223"/>
      <c r="BF316" s="223"/>
      <c r="BG316" s="223"/>
      <c r="BH316" s="222" t="s">
        <v>1108</v>
      </c>
      <c r="BI316" s="222" t="s">
        <v>122</v>
      </c>
      <c r="BJ316" s="222"/>
      <c r="BK316" s="226"/>
      <c r="BL316" s="111"/>
      <c r="BM316" s="155"/>
      <c r="BN316" s="111"/>
      <c r="BO316" s="112"/>
      <c r="BP316" s="113"/>
      <c r="BS316" s="115"/>
    </row>
    <row r="317" spans="1:71" s="114" customFormat="1" ht="15" hidden="1">
      <c r="A317" s="220" t="s">
        <v>314</v>
      </c>
      <c r="B317" s="221" t="s">
        <v>622</v>
      </c>
      <c r="C317" s="222" t="s">
        <v>1106</v>
      </c>
      <c r="D317" s="103" t="s">
        <v>47</v>
      </c>
      <c r="E317" s="144">
        <f t="shared" si="93"/>
        <v>0.37000000000000005</v>
      </c>
      <c r="F317" s="144"/>
      <c r="G317" s="104">
        <f t="shared" si="94"/>
        <v>0.37000000000000005</v>
      </c>
      <c r="H317" s="223">
        <v>0.16</v>
      </c>
      <c r="I317" s="223">
        <v>0.05</v>
      </c>
      <c r="J317" s="223"/>
      <c r="K317" s="223"/>
      <c r="L317" s="223"/>
      <c r="M317" s="223"/>
      <c r="N317" s="223"/>
      <c r="O317" s="223"/>
      <c r="P317" s="223"/>
      <c r="Q317" s="223"/>
      <c r="R317" s="223"/>
      <c r="S317" s="223"/>
      <c r="T317" s="223"/>
      <c r="U317" s="224">
        <f t="shared" si="96"/>
        <v>0.14</v>
      </c>
      <c r="V317" s="225"/>
      <c r="W317" s="223">
        <v>0.14</v>
      </c>
      <c r="X317" s="223"/>
      <c r="Y317" s="223"/>
      <c r="Z317" s="223"/>
      <c r="AA317" s="223"/>
      <c r="AB317" s="223"/>
      <c r="AC317" s="223"/>
      <c r="AD317" s="223"/>
      <c r="AE317" s="223"/>
      <c r="AF317" s="223">
        <v>0.01</v>
      </c>
      <c r="AG317" s="223"/>
      <c r="AH317" s="223"/>
      <c r="AI317" s="223"/>
      <c r="AJ317" s="223"/>
      <c r="AK317" s="223"/>
      <c r="AL317" s="223"/>
      <c r="AM317" s="223"/>
      <c r="AN317" s="223"/>
      <c r="AO317" s="223"/>
      <c r="AP317" s="223"/>
      <c r="AQ317" s="223"/>
      <c r="AR317" s="223"/>
      <c r="AS317" s="223"/>
      <c r="AT317" s="223"/>
      <c r="AU317" s="223"/>
      <c r="AV317" s="223"/>
      <c r="AW317" s="223"/>
      <c r="AX317" s="223"/>
      <c r="AY317" s="223"/>
      <c r="AZ317" s="223"/>
      <c r="BA317" s="223"/>
      <c r="BB317" s="223"/>
      <c r="BC317" s="223"/>
      <c r="BD317" s="223"/>
      <c r="BE317" s="223"/>
      <c r="BF317" s="223"/>
      <c r="BG317" s="223">
        <v>0.01</v>
      </c>
      <c r="BH317" s="222" t="s">
        <v>670</v>
      </c>
      <c r="BI317" s="222" t="s">
        <v>122</v>
      </c>
      <c r="BJ317" s="222"/>
      <c r="BK317" s="226"/>
      <c r="BL317" s="111"/>
      <c r="BM317" s="155"/>
      <c r="BN317" s="111"/>
      <c r="BO317" s="112"/>
      <c r="BP317" s="113"/>
      <c r="BS317" s="115"/>
    </row>
    <row r="318" spans="1:69" ht="42" customHeight="1">
      <c r="A318" s="66" t="s">
        <v>644</v>
      </c>
      <c r="B318" s="34" t="s">
        <v>645</v>
      </c>
      <c r="C318" s="14"/>
      <c r="D318" s="36"/>
      <c r="E318" s="81">
        <f>SUM(F318:G318)</f>
        <v>13.17</v>
      </c>
      <c r="F318" s="38">
        <f>SUM(F319:F331)</f>
        <v>0.53</v>
      </c>
      <c r="G318" s="38">
        <f>SUM(G319:G331)</f>
        <v>12.64</v>
      </c>
      <c r="H318" s="38">
        <f>SUM(H319:H331)</f>
        <v>0</v>
      </c>
      <c r="I318" s="38">
        <f aca="true" t="shared" si="97" ref="I318:BG318">SUM(I319:I331)</f>
        <v>0</v>
      </c>
      <c r="J318" s="38">
        <f t="shared" si="97"/>
        <v>0</v>
      </c>
      <c r="K318" s="38">
        <f>SUM(K319:K331)</f>
        <v>0.11</v>
      </c>
      <c r="L318" s="38">
        <f t="shared" si="97"/>
        <v>0</v>
      </c>
      <c r="M318" s="38">
        <f t="shared" si="97"/>
        <v>0</v>
      </c>
      <c r="N318" s="38">
        <f t="shared" si="97"/>
        <v>0</v>
      </c>
      <c r="O318" s="38">
        <f t="shared" si="97"/>
        <v>0</v>
      </c>
      <c r="P318" s="38">
        <f t="shared" si="97"/>
        <v>0</v>
      </c>
      <c r="Q318" s="38">
        <f t="shared" si="97"/>
        <v>0</v>
      </c>
      <c r="R318" s="38">
        <f t="shared" si="97"/>
        <v>0</v>
      </c>
      <c r="S318" s="38">
        <f t="shared" si="97"/>
        <v>0</v>
      </c>
      <c r="T318" s="38">
        <f t="shared" si="97"/>
        <v>0</v>
      </c>
      <c r="U318" s="38">
        <f t="shared" si="97"/>
        <v>14.530000000000001</v>
      </c>
      <c r="V318" s="38">
        <f t="shared" si="97"/>
        <v>11.4</v>
      </c>
      <c r="W318" s="38">
        <f t="shared" si="97"/>
        <v>3.1300000000000003</v>
      </c>
      <c r="X318" s="38">
        <f t="shared" si="97"/>
        <v>0</v>
      </c>
      <c r="Y318" s="38">
        <f t="shared" si="97"/>
        <v>0</v>
      </c>
      <c r="Z318" s="38">
        <f t="shared" si="97"/>
        <v>0</v>
      </c>
      <c r="AA318" s="38">
        <f t="shared" si="97"/>
        <v>0</v>
      </c>
      <c r="AB318" s="38">
        <f t="shared" si="97"/>
        <v>0</v>
      </c>
      <c r="AC318" s="38">
        <f t="shared" si="97"/>
        <v>0</v>
      </c>
      <c r="AD318" s="38">
        <f t="shared" si="97"/>
        <v>0</v>
      </c>
      <c r="AE318" s="38">
        <f t="shared" si="97"/>
        <v>0</v>
      </c>
      <c r="AF318" s="38">
        <f t="shared" si="97"/>
        <v>0</v>
      </c>
      <c r="AG318" s="38">
        <f t="shared" si="97"/>
        <v>0</v>
      </c>
      <c r="AH318" s="38">
        <f t="shared" si="97"/>
        <v>0</v>
      </c>
      <c r="AI318" s="38">
        <f t="shared" si="97"/>
        <v>0</v>
      </c>
      <c r="AJ318" s="38">
        <f t="shared" si="97"/>
        <v>0</v>
      </c>
      <c r="AK318" s="38">
        <f t="shared" si="97"/>
        <v>0</v>
      </c>
      <c r="AL318" s="38">
        <f t="shared" si="97"/>
        <v>0</v>
      </c>
      <c r="AM318" s="38">
        <f t="shared" si="97"/>
        <v>0</v>
      </c>
      <c r="AN318" s="38">
        <f t="shared" si="97"/>
        <v>0</v>
      </c>
      <c r="AO318" s="38">
        <f t="shared" si="97"/>
        <v>0</v>
      </c>
      <c r="AP318" s="38">
        <f t="shared" si="97"/>
        <v>0</v>
      </c>
      <c r="AQ318" s="38">
        <f t="shared" si="97"/>
        <v>0</v>
      </c>
      <c r="AR318" s="38">
        <f t="shared" si="97"/>
        <v>0</v>
      </c>
      <c r="AS318" s="38">
        <f t="shared" si="97"/>
        <v>0</v>
      </c>
      <c r="AT318" s="38">
        <f t="shared" si="97"/>
        <v>0</v>
      </c>
      <c r="AU318" s="38">
        <f t="shared" si="97"/>
        <v>0</v>
      </c>
      <c r="AV318" s="38">
        <f t="shared" si="97"/>
        <v>0</v>
      </c>
      <c r="AW318" s="38">
        <f t="shared" si="97"/>
        <v>0</v>
      </c>
      <c r="AX318" s="38">
        <f t="shared" si="97"/>
        <v>0</v>
      </c>
      <c r="AY318" s="38">
        <f t="shared" si="97"/>
        <v>0</v>
      </c>
      <c r="AZ318" s="38">
        <f t="shared" si="97"/>
        <v>0</v>
      </c>
      <c r="BA318" s="38">
        <f t="shared" si="97"/>
        <v>0</v>
      </c>
      <c r="BB318" s="38">
        <f t="shared" si="97"/>
        <v>0</v>
      </c>
      <c r="BC318" s="38">
        <f t="shared" si="97"/>
        <v>0</v>
      </c>
      <c r="BD318" s="38">
        <f t="shared" si="97"/>
        <v>0</v>
      </c>
      <c r="BE318" s="38">
        <f t="shared" si="97"/>
        <v>0</v>
      </c>
      <c r="BF318" s="38">
        <f t="shared" si="97"/>
        <v>0</v>
      </c>
      <c r="BG318" s="38">
        <f t="shared" si="97"/>
        <v>0</v>
      </c>
      <c r="BH318" s="227"/>
      <c r="BI318" s="14"/>
      <c r="BJ318" s="14"/>
      <c r="BK318" s="12"/>
      <c r="BL318" s="13"/>
      <c r="BM318" s="14"/>
      <c r="BN318" s="13"/>
      <c r="BO318" s="15"/>
      <c r="BQ318" s="17"/>
    </row>
    <row r="319" spans="1:69" ht="46.5">
      <c r="A319" s="71">
        <f>+A304+1</f>
        <v>205</v>
      </c>
      <c r="B319" s="228" t="s">
        <v>646</v>
      </c>
      <c r="C319" s="4" t="s">
        <v>998</v>
      </c>
      <c r="D319" s="13" t="s">
        <v>52</v>
      </c>
      <c r="E319" s="45">
        <f aca="true" t="shared" si="98" ref="E319:E331">F319+G319</f>
        <v>0.5900000000000001</v>
      </c>
      <c r="F319" s="45">
        <v>0.06</v>
      </c>
      <c r="G319" s="5">
        <f aca="true" t="shared" si="99" ref="G319:G331">SUM(H319:M319,Q319,U319,Y319:BG319)</f>
        <v>0.53</v>
      </c>
      <c r="H319" s="84"/>
      <c r="I319" s="84"/>
      <c r="J319" s="84"/>
      <c r="K319" s="84"/>
      <c r="L319" s="84"/>
      <c r="M319" s="84"/>
      <c r="N319" s="84"/>
      <c r="O319" s="84"/>
      <c r="P319" s="84"/>
      <c r="Q319" s="84"/>
      <c r="R319" s="84"/>
      <c r="S319" s="84"/>
      <c r="T319" s="84"/>
      <c r="U319" s="140">
        <f aca="true" t="shared" si="100" ref="U319:U331">SUM(V319:X319)</f>
        <v>0.53</v>
      </c>
      <c r="V319" s="49"/>
      <c r="W319" s="84">
        <v>0.53</v>
      </c>
      <c r="X319" s="84"/>
      <c r="Y319" s="84"/>
      <c r="Z319" s="84"/>
      <c r="AA319" s="84"/>
      <c r="AB319" s="84"/>
      <c r="AC319" s="84"/>
      <c r="AD319" s="84"/>
      <c r="AE319" s="84"/>
      <c r="AF319" s="84"/>
      <c r="AG319" s="84"/>
      <c r="AH319" s="84"/>
      <c r="AI319" s="84"/>
      <c r="AJ319" s="84"/>
      <c r="AK319" s="84"/>
      <c r="AL319" s="84"/>
      <c r="AM319" s="84"/>
      <c r="AN319" s="84"/>
      <c r="AO319" s="84"/>
      <c r="AP319" s="84"/>
      <c r="AQ319" s="84"/>
      <c r="AR319" s="84"/>
      <c r="AS319" s="84"/>
      <c r="AT319" s="84"/>
      <c r="AU319" s="84"/>
      <c r="AV319" s="84"/>
      <c r="AW319" s="84"/>
      <c r="AX319" s="84"/>
      <c r="AY319" s="84"/>
      <c r="AZ319" s="84"/>
      <c r="BA319" s="84"/>
      <c r="BB319" s="84"/>
      <c r="BC319" s="84"/>
      <c r="BD319" s="84"/>
      <c r="BE319" s="84"/>
      <c r="BF319" s="84"/>
      <c r="BG319" s="84"/>
      <c r="BH319" s="10" t="s">
        <v>232</v>
      </c>
      <c r="BI319" s="4" t="s">
        <v>147</v>
      </c>
      <c r="BJ319" s="13" t="s">
        <v>647</v>
      </c>
      <c r="BK319" s="12" t="s">
        <v>120</v>
      </c>
      <c r="BL319" s="13" t="s">
        <v>491</v>
      </c>
      <c r="BM319" s="14" t="s">
        <v>935</v>
      </c>
      <c r="BN319" s="13" t="s">
        <v>1025</v>
      </c>
      <c r="BO319" s="15" t="s">
        <v>1147</v>
      </c>
      <c r="BQ319" s="17"/>
    </row>
    <row r="320" spans="1:69" ht="46.5">
      <c r="A320" s="1">
        <f>A319+1</f>
        <v>206</v>
      </c>
      <c r="B320" s="2" t="s">
        <v>648</v>
      </c>
      <c r="C320" s="56" t="s">
        <v>82</v>
      </c>
      <c r="D320" s="4" t="s">
        <v>52</v>
      </c>
      <c r="E320" s="5">
        <f t="shared" si="98"/>
        <v>6</v>
      </c>
      <c r="F320" s="5"/>
      <c r="G320" s="5">
        <f t="shared" si="99"/>
        <v>6</v>
      </c>
      <c r="H320" s="46"/>
      <c r="I320" s="84"/>
      <c r="J320" s="46"/>
      <c r="K320" s="46"/>
      <c r="L320" s="84"/>
      <c r="M320" s="46">
        <f>SUM(N320:P320)</f>
        <v>0</v>
      </c>
      <c r="N320" s="46"/>
      <c r="O320" s="46"/>
      <c r="P320" s="46"/>
      <c r="Q320" s="46">
        <f>R320+S320+T320</f>
        <v>0</v>
      </c>
      <c r="R320" s="46"/>
      <c r="S320" s="46"/>
      <c r="T320" s="46"/>
      <c r="U320" s="140">
        <f t="shared" si="100"/>
        <v>6</v>
      </c>
      <c r="V320" s="166">
        <v>4.9</v>
      </c>
      <c r="W320" s="84">
        <v>1.1</v>
      </c>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3" t="s">
        <v>921</v>
      </c>
      <c r="BI320" s="56" t="s">
        <v>82</v>
      </c>
      <c r="BJ320" s="4" t="s">
        <v>649</v>
      </c>
      <c r="BK320" s="4" t="s">
        <v>966</v>
      </c>
      <c r="BL320" s="13" t="s">
        <v>650</v>
      </c>
      <c r="BM320" s="14" t="s">
        <v>935</v>
      </c>
      <c r="BN320" s="13" t="s">
        <v>1025</v>
      </c>
      <c r="BO320" s="15" t="s">
        <v>1147</v>
      </c>
      <c r="BQ320" s="17"/>
    </row>
    <row r="321" spans="1:69" ht="46.5">
      <c r="A321" s="1">
        <f aca="true" t="shared" si="101" ref="A321:A330">A320+1</f>
        <v>207</v>
      </c>
      <c r="B321" s="72" t="s">
        <v>651</v>
      </c>
      <c r="C321" s="42" t="s">
        <v>65</v>
      </c>
      <c r="D321" s="13" t="s">
        <v>52</v>
      </c>
      <c r="E321" s="45">
        <f t="shared" si="98"/>
        <v>2.5</v>
      </c>
      <c r="F321" s="73"/>
      <c r="G321" s="5">
        <f t="shared" si="99"/>
        <v>2.5</v>
      </c>
      <c r="H321" s="140"/>
      <c r="I321" s="140"/>
      <c r="J321" s="140"/>
      <c r="K321" s="140"/>
      <c r="L321" s="140"/>
      <c r="M321" s="140"/>
      <c r="N321" s="140"/>
      <c r="O321" s="140"/>
      <c r="P321" s="140"/>
      <c r="Q321" s="140"/>
      <c r="R321" s="140"/>
      <c r="S321" s="140"/>
      <c r="T321" s="140"/>
      <c r="U321" s="140">
        <f t="shared" si="100"/>
        <v>2.5</v>
      </c>
      <c r="V321" s="49">
        <v>2.5</v>
      </c>
      <c r="W321" s="84"/>
      <c r="X321" s="140"/>
      <c r="Y321" s="140"/>
      <c r="Z321" s="140"/>
      <c r="AA321" s="140"/>
      <c r="AB321" s="140"/>
      <c r="AC321" s="140"/>
      <c r="AD321" s="140"/>
      <c r="AE321" s="140"/>
      <c r="AF321" s="140"/>
      <c r="AG321" s="140"/>
      <c r="AH321" s="140"/>
      <c r="AI321" s="140"/>
      <c r="AJ321" s="140"/>
      <c r="AK321" s="140"/>
      <c r="AL321" s="140"/>
      <c r="AM321" s="140"/>
      <c r="AN321" s="140"/>
      <c r="AO321" s="140"/>
      <c r="AP321" s="140"/>
      <c r="AQ321" s="140"/>
      <c r="AR321" s="140"/>
      <c r="AS321" s="140"/>
      <c r="AT321" s="140"/>
      <c r="AU321" s="140"/>
      <c r="AV321" s="140"/>
      <c r="AW321" s="140"/>
      <c r="AX321" s="140"/>
      <c r="AY321" s="140"/>
      <c r="AZ321" s="140"/>
      <c r="BA321" s="140"/>
      <c r="BB321" s="140"/>
      <c r="BC321" s="140"/>
      <c r="BD321" s="140"/>
      <c r="BE321" s="140"/>
      <c r="BF321" s="140"/>
      <c r="BG321" s="140"/>
      <c r="BH321" s="10" t="s">
        <v>296</v>
      </c>
      <c r="BI321" s="42" t="s">
        <v>65</v>
      </c>
      <c r="BJ321" s="13" t="s">
        <v>652</v>
      </c>
      <c r="BK321" s="98" t="s">
        <v>374</v>
      </c>
      <c r="BL321" s="13" t="s">
        <v>923</v>
      </c>
      <c r="BM321" s="14" t="s">
        <v>935</v>
      </c>
      <c r="BN321" s="13" t="s">
        <v>1025</v>
      </c>
      <c r="BO321" s="15" t="s">
        <v>1147</v>
      </c>
      <c r="BP321" s="16" t="s">
        <v>1141</v>
      </c>
      <c r="BQ321" s="17"/>
    </row>
    <row r="322" spans="1:69" ht="30.75">
      <c r="A322" s="1">
        <f t="shared" si="101"/>
        <v>208</v>
      </c>
      <c r="B322" s="72" t="s">
        <v>651</v>
      </c>
      <c r="C322" s="42" t="s">
        <v>65</v>
      </c>
      <c r="D322" s="13" t="s">
        <v>52</v>
      </c>
      <c r="E322" s="45">
        <f>F322+G322</f>
        <v>0.5</v>
      </c>
      <c r="F322" s="73"/>
      <c r="G322" s="5">
        <v>0.5</v>
      </c>
      <c r="H322" s="140"/>
      <c r="I322" s="140"/>
      <c r="J322" s="140"/>
      <c r="K322" s="140"/>
      <c r="L322" s="140"/>
      <c r="M322" s="140"/>
      <c r="N322" s="140"/>
      <c r="O322" s="140"/>
      <c r="P322" s="140"/>
      <c r="Q322" s="140"/>
      <c r="R322" s="140"/>
      <c r="S322" s="140"/>
      <c r="T322" s="140"/>
      <c r="U322" s="140">
        <f>SUM(V322:X322)</f>
        <v>2.5</v>
      </c>
      <c r="V322" s="49">
        <v>2.5</v>
      </c>
      <c r="W322" s="84"/>
      <c r="X322" s="140"/>
      <c r="Y322" s="140"/>
      <c r="Z322" s="140"/>
      <c r="AA322" s="140"/>
      <c r="AB322" s="140"/>
      <c r="AC322" s="140"/>
      <c r="AD322" s="140"/>
      <c r="AE322" s="140"/>
      <c r="AF322" s="140"/>
      <c r="AG322" s="140"/>
      <c r="AH322" s="140"/>
      <c r="AI322" s="140"/>
      <c r="AJ322" s="140"/>
      <c r="AK322" s="140"/>
      <c r="AL322" s="140"/>
      <c r="AM322" s="140"/>
      <c r="AN322" s="140"/>
      <c r="AO322" s="140"/>
      <c r="AP322" s="140"/>
      <c r="AQ322" s="140"/>
      <c r="AR322" s="140"/>
      <c r="AS322" s="140"/>
      <c r="AT322" s="140"/>
      <c r="AU322" s="140"/>
      <c r="AV322" s="140"/>
      <c r="AW322" s="140"/>
      <c r="AX322" s="140"/>
      <c r="AY322" s="140"/>
      <c r="AZ322" s="140"/>
      <c r="BA322" s="140"/>
      <c r="BB322" s="140"/>
      <c r="BC322" s="140"/>
      <c r="BD322" s="140"/>
      <c r="BE322" s="140"/>
      <c r="BF322" s="140"/>
      <c r="BG322" s="140"/>
      <c r="BH322" s="10" t="s">
        <v>756</v>
      </c>
      <c r="BI322" s="42" t="s">
        <v>65</v>
      </c>
      <c r="BJ322" s="13" t="s">
        <v>1146</v>
      </c>
      <c r="BK322" s="98" t="s">
        <v>374</v>
      </c>
      <c r="BL322" s="13" t="s">
        <v>923</v>
      </c>
      <c r="BM322" s="14" t="s">
        <v>935</v>
      </c>
      <c r="BN322" s="13"/>
      <c r="BO322" s="15" t="s">
        <v>194</v>
      </c>
      <c r="BP322" s="16" t="s">
        <v>1141</v>
      </c>
      <c r="BQ322" s="17"/>
    </row>
    <row r="323" spans="1:67" ht="33" customHeight="1">
      <c r="A323" s="1">
        <f>A321+1</f>
        <v>208</v>
      </c>
      <c r="B323" s="72" t="s">
        <v>653</v>
      </c>
      <c r="C323" s="14" t="s">
        <v>138</v>
      </c>
      <c r="D323" s="4" t="s">
        <v>52</v>
      </c>
      <c r="E323" s="5">
        <f t="shared" si="98"/>
        <v>1.4</v>
      </c>
      <c r="F323" s="73"/>
      <c r="G323" s="5">
        <f t="shared" si="99"/>
        <v>1.4</v>
      </c>
      <c r="H323" s="46"/>
      <c r="I323" s="46"/>
      <c r="J323" s="46"/>
      <c r="K323" s="46"/>
      <c r="L323" s="46"/>
      <c r="M323" s="46">
        <f>SUM(N323:P323)</f>
        <v>0</v>
      </c>
      <c r="N323" s="46"/>
      <c r="O323" s="46"/>
      <c r="P323" s="46"/>
      <c r="Q323" s="46"/>
      <c r="R323" s="46"/>
      <c r="S323" s="46"/>
      <c r="T323" s="46"/>
      <c r="U323" s="140">
        <f t="shared" si="100"/>
        <v>1.4</v>
      </c>
      <c r="V323" s="49"/>
      <c r="W323" s="46">
        <v>1.4</v>
      </c>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84"/>
      <c r="AU323" s="46"/>
      <c r="AV323" s="46"/>
      <c r="AW323" s="46"/>
      <c r="AX323" s="46"/>
      <c r="AY323" s="46"/>
      <c r="AZ323" s="46"/>
      <c r="BA323" s="46"/>
      <c r="BB323" s="46"/>
      <c r="BC323" s="46"/>
      <c r="BD323" s="46"/>
      <c r="BE323" s="46"/>
      <c r="BF323" s="46"/>
      <c r="BG323" s="46"/>
      <c r="BH323" s="60" t="s">
        <v>654</v>
      </c>
      <c r="BI323" s="14" t="s">
        <v>138</v>
      </c>
      <c r="BJ323" s="14" t="s">
        <v>655</v>
      </c>
      <c r="BK323" s="98" t="s">
        <v>374</v>
      </c>
      <c r="BL323" s="13" t="s">
        <v>190</v>
      </c>
      <c r="BM323" s="14" t="s">
        <v>935</v>
      </c>
      <c r="BN323" s="13" t="s">
        <v>1025</v>
      </c>
      <c r="BO323" s="15" t="s">
        <v>1147</v>
      </c>
    </row>
    <row r="324" spans="1:69" ht="33" customHeight="1">
      <c r="A324" s="1">
        <f t="shared" si="101"/>
        <v>209</v>
      </c>
      <c r="B324" s="72" t="s">
        <v>656</v>
      </c>
      <c r="C324" s="46" t="s">
        <v>145</v>
      </c>
      <c r="D324" s="13" t="s">
        <v>52</v>
      </c>
      <c r="E324" s="45">
        <f t="shared" si="98"/>
        <v>0.11</v>
      </c>
      <c r="F324" s="45"/>
      <c r="G324" s="5">
        <f t="shared" si="99"/>
        <v>0.11</v>
      </c>
      <c r="H324" s="84"/>
      <c r="I324" s="84"/>
      <c r="J324" s="84"/>
      <c r="K324" s="84">
        <v>0.11</v>
      </c>
      <c r="L324" s="84"/>
      <c r="M324" s="84"/>
      <c r="N324" s="84"/>
      <c r="O324" s="84"/>
      <c r="P324" s="84"/>
      <c r="Q324" s="84"/>
      <c r="R324" s="84"/>
      <c r="S324" s="84"/>
      <c r="T324" s="84"/>
      <c r="U324" s="140">
        <f t="shared" si="100"/>
        <v>0</v>
      </c>
      <c r="V324" s="49"/>
      <c r="W324" s="84"/>
      <c r="X324" s="84"/>
      <c r="Y324" s="84"/>
      <c r="Z324" s="84"/>
      <c r="AA324" s="84"/>
      <c r="AB324" s="84"/>
      <c r="AC324" s="84"/>
      <c r="AD324" s="84"/>
      <c r="AE324" s="84"/>
      <c r="AF324" s="84"/>
      <c r="AG324" s="84"/>
      <c r="AH324" s="84"/>
      <c r="AI324" s="84"/>
      <c r="AJ324" s="84"/>
      <c r="AK324" s="84"/>
      <c r="AL324" s="84"/>
      <c r="AM324" s="84"/>
      <c r="AN324" s="84"/>
      <c r="AO324" s="84"/>
      <c r="AP324" s="84"/>
      <c r="AQ324" s="84"/>
      <c r="AR324" s="84"/>
      <c r="AS324" s="84"/>
      <c r="AT324" s="84"/>
      <c r="AU324" s="84"/>
      <c r="AV324" s="84"/>
      <c r="AW324" s="84"/>
      <c r="AX324" s="84"/>
      <c r="AY324" s="84"/>
      <c r="AZ324" s="84"/>
      <c r="BA324" s="84"/>
      <c r="BB324" s="84"/>
      <c r="BC324" s="84"/>
      <c r="BD324" s="84"/>
      <c r="BE324" s="84"/>
      <c r="BF324" s="84"/>
      <c r="BG324" s="84"/>
      <c r="BH324" s="10" t="s">
        <v>657</v>
      </c>
      <c r="BI324" s="46" t="s">
        <v>145</v>
      </c>
      <c r="BJ324" s="13" t="s">
        <v>958</v>
      </c>
      <c r="BK324" s="12" t="s">
        <v>120</v>
      </c>
      <c r="BL324" s="13" t="s">
        <v>190</v>
      </c>
      <c r="BM324" s="14" t="s">
        <v>194</v>
      </c>
      <c r="BN324" s="13" t="s">
        <v>1025</v>
      </c>
      <c r="BO324" s="15" t="s">
        <v>1147</v>
      </c>
      <c r="BQ324" s="17"/>
    </row>
    <row r="325" spans="1:69" ht="33" customHeight="1">
      <c r="A325" s="1">
        <f t="shared" si="101"/>
        <v>210</v>
      </c>
      <c r="B325" s="72" t="s">
        <v>658</v>
      </c>
      <c r="C325" s="14" t="s">
        <v>87</v>
      </c>
      <c r="D325" s="4" t="s">
        <v>52</v>
      </c>
      <c r="E325" s="45">
        <f t="shared" si="98"/>
        <v>0.11</v>
      </c>
      <c r="F325" s="73"/>
      <c r="G325" s="5">
        <f t="shared" si="99"/>
        <v>0.11</v>
      </c>
      <c r="H325" s="48"/>
      <c r="I325" s="48"/>
      <c r="J325" s="48"/>
      <c r="K325" s="48"/>
      <c r="L325" s="48"/>
      <c r="M325" s="48"/>
      <c r="N325" s="48"/>
      <c r="O325" s="48"/>
      <c r="P325" s="48"/>
      <c r="Q325" s="48"/>
      <c r="R325" s="48"/>
      <c r="S325" s="48"/>
      <c r="T325" s="48"/>
      <c r="U325" s="6">
        <f t="shared" si="100"/>
        <v>0.11</v>
      </c>
      <c r="V325" s="166">
        <v>0.11</v>
      </c>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13" t="s">
        <v>659</v>
      </c>
      <c r="BI325" s="14" t="s">
        <v>87</v>
      </c>
      <c r="BJ325" s="10" t="s">
        <v>660</v>
      </c>
      <c r="BK325" s="98" t="s">
        <v>74</v>
      </c>
      <c r="BL325" s="13" t="s">
        <v>190</v>
      </c>
      <c r="BM325" s="14" t="s">
        <v>935</v>
      </c>
      <c r="BN325" s="13" t="s">
        <v>1025</v>
      </c>
      <c r="BO325" s="15" t="s">
        <v>1147</v>
      </c>
      <c r="BQ325" s="17"/>
    </row>
    <row r="326" spans="1:69" ht="46.5">
      <c r="A326" s="1">
        <f t="shared" si="101"/>
        <v>211</v>
      </c>
      <c r="B326" s="72" t="s">
        <v>661</v>
      </c>
      <c r="C326" s="14" t="s">
        <v>99</v>
      </c>
      <c r="D326" s="4" t="s">
        <v>52</v>
      </c>
      <c r="E326" s="45">
        <f t="shared" si="98"/>
        <v>0.1</v>
      </c>
      <c r="F326" s="73"/>
      <c r="G326" s="5">
        <f t="shared" si="99"/>
        <v>0.1</v>
      </c>
      <c r="H326" s="48"/>
      <c r="I326" s="48"/>
      <c r="J326" s="48"/>
      <c r="K326" s="48"/>
      <c r="L326" s="48"/>
      <c r="M326" s="48"/>
      <c r="N326" s="48"/>
      <c r="O326" s="48"/>
      <c r="P326" s="48"/>
      <c r="Q326" s="48"/>
      <c r="R326" s="48"/>
      <c r="S326" s="48"/>
      <c r="T326" s="48"/>
      <c r="U326" s="6">
        <f t="shared" si="100"/>
        <v>0.1</v>
      </c>
      <c r="V326" s="166"/>
      <c r="W326" s="48">
        <v>0.1</v>
      </c>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13" t="s">
        <v>100</v>
      </c>
      <c r="BI326" s="14" t="s">
        <v>99</v>
      </c>
      <c r="BJ326" s="10" t="s">
        <v>662</v>
      </c>
      <c r="BK326" s="91" t="s">
        <v>351</v>
      </c>
      <c r="BL326" s="13" t="s">
        <v>190</v>
      </c>
      <c r="BM326" s="14" t="s">
        <v>194</v>
      </c>
      <c r="BN326" s="13" t="s">
        <v>1025</v>
      </c>
      <c r="BO326" s="15" t="s">
        <v>1147</v>
      </c>
      <c r="BQ326" s="17"/>
    </row>
    <row r="327" spans="1:71" s="93" customFormat="1" ht="46.5">
      <c r="A327" s="1">
        <f t="shared" si="101"/>
        <v>212</v>
      </c>
      <c r="B327" s="72" t="s">
        <v>663</v>
      </c>
      <c r="C327" s="42" t="s">
        <v>79</v>
      </c>
      <c r="D327" s="4" t="s">
        <v>52</v>
      </c>
      <c r="E327" s="45">
        <f t="shared" si="98"/>
        <v>0.1</v>
      </c>
      <c r="F327" s="73"/>
      <c r="G327" s="5">
        <f t="shared" si="99"/>
        <v>0.1</v>
      </c>
      <c r="H327" s="10"/>
      <c r="I327" s="76"/>
      <c r="J327" s="76"/>
      <c r="K327" s="10"/>
      <c r="L327" s="10"/>
      <c r="M327" s="10"/>
      <c r="N327" s="10"/>
      <c r="O327" s="10"/>
      <c r="P327" s="10"/>
      <c r="Q327" s="10"/>
      <c r="R327" s="10"/>
      <c r="S327" s="10"/>
      <c r="T327" s="10"/>
      <c r="U327" s="6">
        <f t="shared" si="100"/>
        <v>0.1</v>
      </c>
      <c r="V327" s="140">
        <v>0.1</v>
      </c>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84" t="s">
        <v>255</v>
      </c>
      <c r="BI327" s="42" t="s">
        <v>79</v>
      </c>
      <c r="BJ327" s="14" t="s">
        <v>664</v>
      </c>
      <c r="BK327" s="91" t="s">
        <v>351</v>
      </c>
      <c r="BL327" s="13" t="s">
        <v>190</v>
      </c>
      <c r="BM327" s="14" t="s">
        <v>194</v>
      </c>
      <c r="BN327" s="13" t="s">
        <v>1025</v>
      </c>
      <c r="BO327" s="179" t="s">
        <v>1147</v>
      </c>
      <c r="BP327" s="92"/>
      <c r="BS327" s="94"/>
    </row>
    <row r="328" spans="1:69" ht="46.5">
      <c r="A328" s="1">
        <f t="shared" si="101"/>
        <v>213</v>
      </c>
      <c r="B328" s="72" t="s">
        <v>665</v>
      </c>
      <c r="C328" s="42" t="s">
        <v>106</v>
      </c>
      <c r="D328" s="6" t="s">
        <v>52</v>
      </c>
      <c r="E328" s="5">
        <f t="shared" si="98"/>
        <v>0.08</v>
      </c>
      <c r="F328" s="73"/>
      <c r="G328" s="5">
        <f t="shared" si="99"/>
        <v>0.08</v>
      </c>
      <c r="H328" s="10"/>
      <c r="I328" s="10"/>
      <c r="J328" s="10"/>
      <c r="K328" s="10"/>
      <c r="L328" s="10"/>
      <c r="M328" s="10"/>
      <c r="N328" s="10"/>
      <c r="O328" s="10"/>
      <c r="P328" s="10"/>
      <c r="Q328" s="10"/>
      <c r="R328" s="10"/>
      <c r="S328" s="10"/>
      <c r="T328" s="10"/>
      <c r="U328" s="6">
        <f t="shared" si="100"/>
        <v>0.08</v>
      </c>
      <c r="V328" s="10">
        <v>0.08</v>
      </c>
      <c r="W328" s="10"/>
      <c r="X328" s="10"/>
      <c r="Y328" s="10"/>
      <c r="Z328" s="10"/>
      <c r="AA328" s="10"/>
      <c r="AB328" s="10"/>
      <c r="AC328" s="10"/>
      <c r="AD328" s="10"/>
      <c r="AE328" s="8"/>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t="s">
        <v>482</v>
      </c>
      <c r="BI328" s="42" t="s">
        <v>106</v>
      </c>
      <c r="BJ328" s="4" t="s">
        <v>666</v>
      </c>
      <c r="BK328" s="12" t="s">
        <v>374</v>
      </c>
      <c r="BL328" s="13" t="s">
        <v>190</v>
      </c>
      <c r="BM328" s="13" t="s">
        <v>194</v>
      </c>
      <c r="BN328" s="13" t="s">
        <v>1025</v>
      </c>
      <c r="BO328" s="15" t="s">
        <v>1147</v>
      </c>
      <c r="BQ328" s="17"/>
    </row>
    <row r="329" spans="1:69" ht="46.5">
      <c r="A329" s="1">
        <f t="shared" si="101"/>
        <v>214</v>
      </c>
      <c r="B329" s="72" t="s">
        <v>667</v>
      </c>
      <c r="C329" s="14" t="s">
        <v>122</v>
      </c>
      <c r="D329" s="4" t="s">
        <v>52</v>
      </c>
      <c r="E329" s="5">
        <f t="shared" si="98"/>
        <v>0.25</v>
      </c>
      <c r="F329" s="45"/>
      <c r="G329" s="5">
        <f t="shared" si="99"/>
        <v>0.25</v>
      </c>
      <c r="H329" s="84"/>
      <c r="I329" s="84"/>
      <c r="J329" s="84"/>
      <c r="K329" s="84"/>
      <c r="L329" s="84"/>
      <c r="M329" s="46">
        <v>0</v>
      </c>
      <c r="N329" s="84"/>
      <c r="O329" s="84"/>
      <c r="P329" s="84"/>
      <c r="Q329" s="46">
        <v>0</v>
      </c>
      <c r="R329" s="84"/>
      <c r="S329" s="84"/>
      <c r="T329" s="84"/>
      <c r="U329" s="140">
        <f t="shared" si="100"/>
        <v>0.25</v>
      </c>
      <c r="V329" s="84">
        <v>0.25</v>
      </c>
      <c r="W329" s="84"/>
      <c r="X329" s="84"/>
      <c r="Y329" s="84"/>
      <c r="Z329" s="84"/>
      <c r="AA329" s="84"/>
      <c r="AB329" s="84"/>
      <c r="AC329" s="84"/>
      <c r="AD329" s="84"/>
      <c r="AE329" s="84"/>
      <c r="AF329" s="84"/>
      <c r="AG329" s="84"/>
      <c r="AH329" s="84"/>
      <c r="AI329" s="84"/>
      <c r="AJ329" s="84"/>
      <c r="AK329" s="84"/>
      <c r="AL329" s="84"/>
      <c r="AM329" s="84"/>
      <c r="AN329" s="84"/>
      <c r="AO329" s="84"/>
      <c r="AP329" s="84"/>
      <c r="AQ329" s="84"/>
      <c r="AR329" s="84"/>
      <c r="AS329" s="84"/>
      <c r="AT329" s="84"/>
      <c r="AU329" s="84"/>
      <c r="AV329" s="84"/>
      <c r="AW329" s="84"/>
      <c r="AX329" s="84"/>
      <c r="AY329" s="84"/>
      <c r="AZ329" s="84"/>
      <c r="BA329" s="84"/>
      <c r="BB329" s="84"/>
      <c r="BC329" s="84"/>
      <c r="BD329" s="84"/>
      <c r="BE329" s="84"/>
      <c r="BF329" s="84"/>
      <c r="BG329" s="84"/>
      <c r="BH329" s="56" t="s">
        <v>260</v>
      </c>
      <c r="BI329" s="14" t="s">
        <v>122</v>
      </c>
      <c r="BJ329" s="13" t="s">
        <v>668</v>
      </c>
      <c r="BK329" s="98" t="s">
        <v>374</v>
      </c>
      <c r="BL329" s="13" t="s">
        <v>190</v>
      </c>
      <c r="BM329" s="14" t="s">
        <v>935</v>
      </c>
      <c r="BN329" s="13" t="s">
        <v>1025</v>
      </c>
      <c r="BO329" s="15" t="s">
        <v>1147</v>
      </c>
      <c r="BQ329" s="17"/>
    </row>
    <row r="330" spans="1:69" ht="46.5">
      <c r="A330" s="1">
        <f t="shared" si="101"/>
        <v>215</v>
      </c>
      <c r="B330" s="127" t="s">
        <v>669</v>
      </c>
      <c r="C330" s="14" t="s">
        <v>122</v>
      </c>
      <c r="D330" s="4" t="s">
        <v>52</v>
      </c>
      <c r="E330" s="5">
        <f t="shared" si="98"/>
        <v>0.8300000000000001</v>
      </c>
      <c r="F330" s="45">
        <v>0.34</v>
      </c>
      <c r="G330" s="5">
        <f t="shared" si="99"/>
        <v>0.49</v>
      </c>
      <c r="H330" s="84"/>
      <c r="I330" s="84"/>
      <c r="J330" s="84"/>
      <c r="K330" s="84"/>
      <c r="L330" s="84"/>
      <c r="M330" s="46">
        <v>0</v>
      </c>
      <c r="N330" s="84"/>
      <c r="O330" s="84"/>
      <c r="P330" s="84"/>
      <c r="Q330" s="46">
        <v>0</v>
      </c>
      <c r="R330" s="84"/>
      <c r="S330" s="84"/>
      <c r="T330" s="84"/>
      <c r="U330" s="140">
        <f t="shared" si="100"/>
        <v>0.49</v>
      </c>
      <c r="V330" s="84">
        <v>0.49</v>
      </c>
      <c r="W330" s="84"/>
      <c r="X330" s="84"/>
      <c r="Y330" s="84"/>
      <c r="Z330" s="84"/>
      <c r="AA330" s="84"/>
      <c r="AB330" s="84"/>
      <c r="AC330" s="84"/>
      <c r="AD330" s="84"/>
      <c r="AE330" s="84"/>
      <c r="AF330" s="84"/>
      <c r="AG330" s="84"/>
      <c r="AH330" s="84"/>
      <c r="AI330" s="84"/>
      <c r="AJ330" s="84"/>
      <c r="AK330" s="84"/>
      <c r="AL330" s="84"/>
      <c r="AM330" s="84"/>
      <c r="AN330" s="84"/>
      <c r="AO330" s="84"/>
      <c r="AP330" s="84"/>
      <c r="AQ330" s="84"/>
      <c r="AR330" s="84"/>
      <c r="AS330" s="84"/>
      <c r="AT330" s="84"/>
      <c r="AU330" s="84"/>
      <c r="AV330" s="84"/>
      <c r="AW330" s="84"/>
      <c r="AX330" s="84"/>
      <c r="AY330" s="84"/>
      <c r="AZ330" s="84"/>
      <c r="BA330" s="84"/>
      <c r="BB330" s="84"/>
      <c r="BC330" s="84"/>
      <c r="BD330" s="84"/>
      <c r="BE330" s="84"/>
      <c r="BF330" s="84"/>
      <c r="BG330" s="84"/>
      <c r="BH330" s="10" t="s">
        <v>670</v>
      </c>
      <c r="BI330" s="14" t="s">
        <v>122</v>
      </c>
      <c r="BJ330" s="13" t="s">
        <v>671</v>
      </c>
      <c r="BK330" s="98" t="s">
        <v>374</v>
      </c>
      <c r="BL330" s="13" t="s">
        <v>190</v>
      </c>
      <c r="BM330" s="14" t="s">
        <v>935</v>
      </c>
      <c r="BN330" s="13" t="s">
        <v>1025</v>
      </c>
      <c r="BO330" s="15" t="s">
        <v>1147</v>
      </c>
      <c r="BQ330" s="17"/>
    </row>
    <row r="331" spans="1:69" ht="46.5">
      <c r="A331" s="1">
        <f>A330+1</f>
        <v>216</v>
      </c>
      <c r="B331" s="2" t="s">
        <v>672</v>
      </c>
      <c r="C331" s="14" t="s">
        <v>71</v>
      </c>
      <c r="D331" s="4" t="s">
        <v>52</v>
      </c>
      <c r="E331" s="5">
        <f t="shared" si="98"/>
        <v>0.6</v>
      </c>
      <c r="F331" s="45">
        <v>0.13</v>
      </c>
      <c r="G331" s="5">
        <f t="shared" si="99"/>
        <v>0.47</v>
      </c>
      <c r="H331" s="120"/>
      <c r="I331" s="120"/>
      <c r="J331" s="120"/>
      <c r="K331" s="120"/>
      <c r="L331" s="120"/>
      <c r="M331" s="48">
        <f>SUM(N331:P331)</f>
        <v>0</v>
      </c>
      <c r="N331" s="120"/>
      <c r="O331" s="120"/>
      <c r="P331" s="120"/>
      <c r="Q331" s="48">
        <f>R331+S331+T331</f>
        <v>0</v>
      </c>
      <c r="R331" s="120"/>
      <c r="S331" s="120"/>
      <c r="T331" s="120"/>
      <c r="U331" s="140">
        <f t="shared" si="100"/>
        <v>0.47</v>
      </c>
      <c r="V331" s="49">
        <v>0.47</v>
      </c>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c r="AY331" s="120"/>
      <c r="AZ331" s="120"/>
      <c r="BA331" s="120"/>
      <c r="BB331" s="120"/>
      <c r="BC331" s="120"/>
      <c r="BD331" s="120"/>
      <c r="BE331" s="120"/>
      <c r="BF331" s="120"/>
      <c r="BG331" s="120"/>
      <c r="BH331" s="56" t="s">
        <v>76</v>
      </c>
      <c r="BI331" s="14" t="s">
        <v>71</v>
      </c>
      <c r="BJ331" s="14" t="s">
        <v>673</v>
      </c>
      <c r="BK331" s="12" t="s">
        <v>120</v>
      </c>
      <c r="BL331" s="13" t="s">
        <v>190</v>
      </c>
      <c r="BM331" s="14" t="s">
        <v>935</v>
      </c>
      <c r="BN331" s="13" t="s">
        <v>1025</v>
      </c>
      <c r="BO331" s="15" t="s">
        <v>1147</v>
      </c>
      <c r="BQ331" s="17"/>
    </row>
    <row r="332" spans="1:69" ht="15">
      <c r="A332" s="66" t="s">
        <v>674</v>
      </c>
      <c r="B332" s="85" t="s">
        <v>675</v>
      </c>
      <c r="C332" s="39"/>
      <c r="D332" s="36"/>
      <c r="E332" s="38">
        <f>E333</f>
        <v>4.7</v>
      </c>
      <c r="F332" s="38">
        <f>F333</f>
        <v>0</v>
      </c>
      <c r="G332" s="38">
        <f>G333</f>
        <v>4.7</v>
      </c>
      <c r="H332" s="38">
        <f>H333</f>
        <v>0</v>
      </c>
      <c r="I332" s="38">
        <f aca="true" t="shared" si="102" ref="I332:BG332">I333</f>
        <v>0</v>
      </c>
      <c r="J332" s="38">
        <f t="shared" si="102"/>
        <v>0</v>
      </c>
      <c r="K332" s="38">
        <f t="shared" si="102"/>
        <v>0</v>
      </c>
      <c r="L332" s="38">
        <f t="shared" si="102"/>
        <v>0</v>
      </c>
      <c r="M332" s="38">
        <f t="shared" si="102"/>
        <v>0</v>
      </c>
      <c r="N332" s="38">
        <f t="shared" si="102"/>
        <v>0</v>
      </c>
      <c r="O332" s="38">
        <f t="shared" si="102"/>
        <v>0</v>
      </c>
      <c r="P332" s="38">
        <f t="shared" si="102"/>
        <v>0</v>
      </c>
      <c r="Q332" s="38">
        <f t="shared" si="102"/>
        <v>0</v>
      </c>
      <c r="R332" s="38">
        <f t="shared" si="102"/>
        <v>0</v>
      </c>
      <c r="S332" s="38">
        <f t="shared" si="102"/>
        <v>0</v>
      </c>
      <c r="T332" s="38">
        <f t="shared" si="102"/>
        <v>0</v>
      </c>
      <c r="U332" s="38">
        <f t="shared" si="102"/>
        <v>4.7</v>
      </c>
      <c r="V332" s="38">
        <f t="shared" si="102"/>
        <v>4.7</v>
      </c>
      <c r="W332" s="38">
        <f t="shared" si="102"/>
        <v>0</v>
      </c>
      <c r="X332" s="38">
        <f t="shared" si="102"/>
        <v>0</v>
      </c>
      <c r="Y332" s="38">
        <f t="shared" si="102"/>
        <v>0</v>
      </c>
      <c r="Z332" s="38">
        <f t="shared" si="102"/>
        <v>0</v>
      </c>
      <c r="AA332" s="38">
        <f t="shared" si="102"/>
        <v>0</v>
      </c>
      <c r="AB332" s="38">
        <f t="shared" si="102"/>
        <v>0</v>
      </c>
      <c r="AC332" s="38">
        <f t="shared" si="102"/>
        <v>0</v>
      </c>
      <c r="AD332" s="38">
        <f t="shared" si="102"/>
        <v>0</v>
      </c>
      <c r="AE332" s="38">
        <f t="shared" si="102"/>
        <v>0</v>
      </c>
      <c r="AF332" s="38">
        <f t="shared" si="102"/>
        <v>0</v>
      </c>
      <c r="AG332" s="38">
        <f t="shared" si="102"/>
        <v>0</v>
      </c>
      <c r="AH332" s="38">
        <f t="shared" si="102"/>
        <v>0</v>
      </c>
      <c r="AI332" s="38">
        <f t="shared" si="102"/>
        <v>0</v>
      </c>
      <c r="AJ332" s="38">
        <f t="shared" si="102"/>
        <v>0</v>
      </c>
      <c r="AK332" s="38">
        <f t="shared" si="102"/>
        <v>0</v>
      </c>
      <c r="AL332" s="38">
        <f t="shared" si="102"/>
        <v>0</v>
      </c>
      <c r="AM332" s="38">
        <f t="shared" si="102"/>
        <v>0</v>
      </c>
      <c r="AN332" s="38">
        <f t="shared" si="102"/>
        <v>0</v>
      </c>
      <c r="AO332" s="38">
        <f t="shared" si="102"/>
        <v>0</v>
      </c>
      <c r="AP332" s="38">
        <f t="shared" si="102"/>
        <v>0</v>
      </c>
      <c r="AQ332" s="38">
        <f t="shared" si="102"/>
        <v>0</v>
      </c>
      <c r="AR332" s="38">
        <f t="shared" si="102"/>
        <v>0</v>
      </c>
      <c r="AS332" s="38">
        <f t="shared" si="102"/>
        <v>0</v>
      </c>
      <c r="AT332" s="38">
        <f t="shared" si="102"/>
        <v>0</v>
      </c>
      <c r="AU332" s="38">
        <f t="shared" si="102"/>
        <v>0</v>
      </c>
      <c r="AV332" s="38">
        <f t="shared" si="102"/>
        <v>0</v>
      </c>
      <c r="AW332" s="38">
        <f t="shared" si="102"/>
        <v>0</v>
      </c>
      <c r="AX332" s="38">
        <f t="shared" si="102"/>
        <v>0</v>
      </c>
      <c r="AY332" s="38">
        <f t="shared" si="102"/>
        <v>0</v>
      </c>
      <c r="AZ332" s="38">
        <f t="shared" si="102"/>
        <v>0</v>
      </c>
      <c r="BA332" s="38">
        <f t="shared" si="102"/>
        <v>0</v>
      </c>
      <c r="BB332" s="38">
        <f t="shared" si="102"/>
        <v>0</v>
      </c>
      <c r="BC332" s="38">
        <f t="shared" si="102"/>
        <v>0</v>
      </c>
      <c r="BD332" s="38">
        <f t="shared" si="102"/>
        <v>0</v>
      </c>
      <c r="BE332" s="38">
        <f t="shared" si="102"/>
        <v>0</v>
      </c>
      <c r="BF332" s="38">
        <f t="shared" si="102"/>
        <v>0</v>
      </c>
      <c r="BG332" s="38">
        <f t="shared" si="102"/>
        <v>0</v>
      </c>
      <c r="BH332" s="39"/>
      <c r="BI332" s="39"/>
      <c r="BJ332" s="39"/>
      <c r="BK332" s="39"/>
      <c r="BL332" s="39"/>
      <c r="BM332" s="39"/>
      <c r="BN332" s="13"/>
      <c r="BO332" s="15"/>
      <c r="BQ332" s="17"/>
    </row>
    <row r="333" spans="1:71" s="93" customFormat="1" ht="46.5">
      <c r="A333" s="229">
        <f>A331+1</f>
        <v>217</v>
      </c>
      <c r="B333" s="179" t="s">
        <v>676</v>
      </c>
      <c r="C333" s="46" t="s">
        <v>122</v>
      </c>
      <c r="D333" s="46" t="s">
        <v>43</v>
      </c>
      <c r="E333" s="97">
        <f>F333+G333</f>
        <v>4.7</v>
      </c>
      <c r="F333" s="97"/>
      <c r="G333" s="198">
        <f>SUM(H333:M333,Q333,U333,Y333:BG333)</f>
        <v>4.7</v>
      </c>
      <c r="H333" s="46"/>
      <c r="I333" s="46"/>
      <c r="J333" s="46"/>
      <c r="K333" s="46"/>
      <c r="L333" s="46"/>
      <c r="M333" s="46">
        <v>0</v>
      </c>
      <c r="N333" s="46"/>
      <c r="O333" s="46"/>
      <c r="P333" s="46"/>
      <c r="Q333" s="46">
        <v>0</v>
      </c>
      <c r="R333" s="46"/>
      <c r="S333" s="46"/>
      <c r="T333" s="46"/>
      <c r="U333" s="140">
        <f>SUM(V333:X333)</f>
        <v>4.7</v>
      </c>
      <c r="V333" s="84">
        <v>4.7</v>
      </c>
      <c r="W333" s="84"/>
      <c r="X333" s="84"/>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t="s">
        <v>677</v>
      </c>
      <c r="BI333" s="46" t="s">
        <v>122</v>
      </c>
      <c r="BJ333" s="13" t="s">
        <v>678</v>
      </c>
      <c r="BK333" s="46" t="s">
        <v>374</v>
      </c>
      <c r="BL333" s="46" t="s">
        <v>679</v>
      </c>
      <c r="BM333" s="14" t="s">
        <v>935</v>
      </c>
      <c r="BN333" s="46" t="s">
        <v>1025</v>
      </c>
      <c r="BO333" s="179" t="s">
        <v>1147</v>
      </c>
      <c r="BP333" s="92"/>
      <c r="BS333" s="94"/>
    </row>
    <row r="334" spans="1:69" ht="15">
      <c r="A334" s="66" t="s">
        <v>680</v>
      </c>
      <c r="B334" s="85" t="s">
        <v>681</v>
      </c>
      <c r="C334" s="84"/>
      <c r="D334" s="36"/>
      <c r="E334" s="69">
        <f>F334+G334</f>
        <v>2.3000000000000003</v>
      </c>
      <c r="F334" s="69">
        <f>SUM(F335:F336)</f>
        <v>0</v>
      </c>
      <c r="G334" s="69">
        <f>SUM(G335:G336)</f>
        <v>2.3000000000000003</v>
      </c>
      <c r="H334" s="69">
        <f>SUM(H335:H336)</f>
        <v>0.87</v>
      </c>
      <c r="I334" s="69">
        <f aca="true" t="shared" si="103" ref="I334:BG334">SUM(I335:I336)</f>
        <v>0</v>
      </c>
      <c r="J334" s="69">
        <f t="shared" si="103"/>
        <v>0</v>
      </c>
      <c r="K334" s="69">
        <f t="shared" si="103"/>
        <v>0.2</v>
      </c>
      <c r="L334" s="69">
        <f t="shared" si="103"/>
        <v>0.1</v>
      </c>
      <c r="M334" s="69">
        <f t="shared" si="103"/>
        <v>0</v>
      </c>
      <c r="N334" s="69">
        <f t="shared" si="103"/>
        <v>0</v>
      </c>
      <c r="O334" s="69">
        <f t="shared" si="103"/>
        <v>0</v>
      </c>
      <c r="P334" s="69">
        <f t="shared" si="103"/>
        <v>0</v>
      </c>
      <c r="Q334" s="69">
        <f t="shared" si="103"/>
        <v>0</v>
      </c>
      <c r="R334" s="69">
        <f t="shared" si="103"/>
        <v>0</v>
      </c>
      <c r="S334" s="69">
        <f t="shared" si="103"/>
        <v>0</v>
      </c>
      <c r="T334" s="69">
        <f t="shared" si="103"/>
        <v>0</v>
      </c>
      <c r="U334" s="69">
        <f t="shared" si="103"/>
        <v>0.6</v>
      </c>
      <c r="V334" s="69">
        <f t="shared" si="103"/>
        <v>0</v>
      </c>
      <c r="W334" s="69">
        <f t="shared" si="103"/>
        <v>0.6</v>
      </c>
      <c r="X334" s="69">
        <f t="shared" si="103"/>
        <v>0</v>
      </c>
      <c r="Y334" s="69">
        <f t="shared" si="103"/>
        <v>0</v>
      </c>
      <c r="Z334" s="69">
        <f t="shared" si="103"/>
        <v>0</v>
      </c>
      <c r="AA334" s="69">
        <f t="shared" si="103"/>
        <v>0</v>
      </c>
      <c r="AB334" s="69">
        <f t="shared" si="103"/>
        <v>0</v>
      </c>
      <c r="AC334" s="69">
        <f t="shared" si="103"/>
        <v>0</v>
      </c>
      <c r="AD334" s="69">
        <f t="shared" si="103"/>
        <v>0</v>
      </c>
      <c r="AE334" s="69">
        <f t="shared" si="103"/>
        <v>0</v>
      </c>
      <c r="AF334" s="69">
        <f t="shared" si="103"/>
        <v>0.09999999999999999</v>
      </c>
      <c r="AG334" s="69">
        <f t="shared" si="103"/>
        <v>0.05</v>
      </c>
      <c r="AH334" s="69">
        <f t="shared" si="103"/>
        <v>0</v>
      </c>
      <c r="AI334" s="69">
        <f t="shared" si="103"/>
        <v>0</v>
      </c>
      <c r="AJ334" s="69">
        <f t="shared" si="103"/>
        <v>0</v>
      </c>
      <c r="AK334" s="69">
        <f t="shared" si="103"/>
        <v>0</v>
      </c>
      <c r="AL334" s="69">
        <f t="shared" si="103"/>
        <v>0</v>
      </c>
      <c r="AM334" s="69">
        <f t="shared" si="103"/>
        <v>0</v>
      </c>
      <c r="AN334" s="69">
        <f t="shared" si="103"/>
        <v>0</v>
      </c>
      <c r="AO334" s="69">
        <f t="shared" si="103"/>
        <v>0</v>
      </c>
      <c r="AP334" s="69">
        <f t="shared" si="103"/>
        <v>0</v>
      </c>
      <c r="AQ334" s="69">
        <f t="shared" si="103"/>
        <v>0</v>
      </c>
      <c r="AR334" s="69">
        <f t="shared" si="103"/>
        <v>0</v>
      </c>
      <c r="AS334" s="69">
        <f t="shared" si="103"/>
        <v>0</v>
      </c>
      <c r="AT334" s="69">
        <f t="shared" si="103"/>
        <v>0.08</v>
      </c>
      <c r="AU334" s="69">
        <f t="shared" si="103"/>
        <v>0</v>
      </c>
      <c r="AV334" s="69">
        <f t="shared" si="103"/>
        <v>0</v>
      </c>
      <c r="AW334" s="69">
        <f t="shared" si="103"/>
        <v>0</v>
      </c>
      <c r="AX334" s="69">
        <f t="shared" si="103"/>
        <v>0</v>
      </c>
      <c r="AY334" s="69">
        <f t="shared" si="103"/>
        <v>0</v>
      </c>
      <c r="AZ334" s="69">
        <f t="shared" si="103"/>
        <v>0</v>
      </c>
      <c r="BA334" s="69">
        <f t="shared" si="103"/>
        <v>0</v>
      </c>
      <c r="BB334" s="69">
        <f t="shared" si="103"/>
        <v>0</v>
      </c>
      <c r="BC334" s="69">
        <f t="shared" si="103"/>
        <v>0</v>
      </c>
      <c r="BD334" s="69">
        <f t="shared" si="103"/>
        <v>0</v>
      </c>
      <c r="BE334" s="69">
        <f t="shared" si="103"/>
        <v>0</v>
      </c>
      <c r="BF334" s="69">
        <f t="shared" si="103"/>
        <v>0</v>
      </c>
      <c r="BG334" s="69">
        <f t="shared" si="103"/>
        <v>0.3</v>
      </c>
      <c r="BH334" s="46"/>
      <c r="BI334" s="84"/>
      <c r="BJ334" s="46"/>
      <c r="BK334" s="46"/>
      <c r="BL334" s="46"/>
      <c r="BM334" s="46"/>
      <c r="BN334" s="13"/>
      <c r="BO334" s="15"/>
      <c r="BQ334" s="17"/>
    </row>
    <row r="335" spans="1:69" ht="46.5">
      <c r="A335" s="42">
        <f>A333+1</f>
        <v>218</v>
      </c>
      <c r="B335" s="95" t="s">
        <v>682</v>
      </c>
      <c r="C335" s="42" t="s">
        <v>122</v>
      </c>
      <c r="D335" s="4" t="s">
        <v>44</v>
      </c>
      <c r="E335" s="45">
        <v>0.5</v>
      </c>
      <c r="F335" s="73"/>
      <c r="G335" s="5">
        <v>0.5</v>
      </c>
      <c r="H335" s="10">
        <v>0.49</v>
      </c>
      <c r="I335" s="61"/>
      <c r="J335" s="76"/>
      <c r="K335" s="61"/>
      <c r="L335" s="61"/>
      <c r="M335" s="10"/>
      <c r="N335" s="10"/>
      <c r="O335" s="10"/>
      <c r="P335" s="10"/>
      <c r="Q335" s="6"/>
      <c r="R335" s="10"/>
      <c r="S335" s="10"/>
      <c r="T335" s="10"/>
      <c r="U335" s="140">
        <f>SUM(V335:X335)</f>
        <v>0</v>
      </c>
      <c r="V335" s="8"/>
      <c r="W335" s="10"/>
      <c r="X335" s="10"/>
      <c r="Y335" s="10"/>
      <c r="Z335" s="10"/>
      <c r="AA335" s="10"/>
      <c r="AB335" s="10"/>
      <c r="AC335" s="10"/>
      <c r="AD335" s="10"/>
      <c r="AE335" s="10"/>
      <c r="AF335" s="10">
        <v>0.01</v>
      </c>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60" t="s">
        <v>123</v>
      </c>
      <c r="BI335" s="42" t="s">
        <v>122</v>
      </c>
      <c r="BJ335" s="46" t="s">
        <v>683</v>
      </c>
      <c r="BK335" s="82" t="s">
        <v>120</v>
      </c>
      <c r="BL335" s="13" t="s">
        <v>190</v>
      </c>
      <c r="BM335" s="14" t="s">
        <v>935</v>
      </c>
      <c r="BN335" s="13" t="s">
        <v>1025</v>
      </c>
      <c r="BO335" s="15" t="s">
        <v>1147</v>
      </c>
      <c r="BQ335" s="17"/>
    </row>
    <row r="336" spans="1:69" ht="46.5">
      <c r="A336" s="42">
        <f>A335+1</f>
        <v>219</v>
      </c>
      <c r="B336" s="95" t="s">
        <v>684</v>
      </c>
      <c r="C336" s="42" t="s">
        <v>79</v>
      </c>
      <c r="D336" s="4" t="s">
        <v>44</v>
      </c>
      <c r="E336" s="45">
        <f aca="true" t="shared" si="104" ref="E336:E374">F336+G336</f>
        <v>1.8000000000000003</v>
      </c>
      <c r="F336" s="73"/>
      <c r="G336" s="5">
        <f aca="true" t="shared" si="105" ref="G336:G353">SUM(H336:M336,Q336,U336,Y336:BG336)</f>
        <v>1.8000000000000003</v>
      </c>
      <c r="H336" s="10">
        <v>0.38</v>
      </c>
      <c r="I336" s="8"/>
      <c r="J336" s="76"/>
      <c r="K336" s="8">
        <v>0.2</v>
      </c>
      <c r="L336" s="8">
        <v>0.1</v>
      </c>
      <c r="M336" s="10"/>
      <c r="N336" s="10"/>
      <c r="O336" s="10"/>
      <c r="P336" s="10"/>
      <c r="Q336" s="6"/>
      <c r="R336" s="10"/>
      <c r="S336" s="10"/>
      <c r="T336" s="10"/>
      <c r="U336" s="6">
        <f>SUM(V336:X336)</f>
        <v>0.6</v>
      </c>
      <c r="V336" s="8"/>
      <c r="W336" s="10">
        <v>0.6</v>
      </c>
      <c r="X336" s="10"/>
      <c r="Y336" s="10"/>
      <c r="Z336" s="10"/>
      <c r="AA336" s="10"/>
      <c r="AB336" s="10"/>
      <c r="AC336" s="10"/>
      <c r="AD336" s="10"/>
      <c r="AE336" s="10"/>
      <c r="AF336" s="10">
        <v>0.09</v>
      </c>
      <c r="AG336" s="10">
        <v>0.05</v>
      </c>
      <c r="AH336" s="10"/>
      <c r="AI336" s="10"/>
      <c r="AJ336" s="10"/>
      <c r="AK336" s="10"/>
      <c r="AL336" s="10"/>
      <c r="AM336" s="10"/>
      <c r="AN336" s="10"/>
      <c r="AO336" s="10"/>
      <c r="AP336" s="10"/>
      <c r="AQ336" s="10"/>
      <c r="AR336" s="10"/>
      <c r="AS336" s="10"/>
      <c r="AT336" s="10">
        <v>0.08</v>
      </c>
      <c r="AU336" s="10"/>
      <c r="AV336" s="10"/>
      <c r="AW336" s="10"/>
      <c r="AX336" s="10"/>
      <c r="AY336" s="10"/>
      <c r="AZ336" s="10"/>
      <c r="BA336" s="10"/>
      <c r="BB336" s="10"/>
      <c r="BC336" s="10"/>
      <c r="BD336" s="10"/>
      <c r="BE336" s="10"/>
      <c r="BF336" s="10"/>
      <c r="BG336" s="10">
        <v>0.3</v>
      </c>
      <c r="BH336" s="60" t="s">
        <v>284</v>
      </c>
      <c r="BI336" s="42" t="s">
        <v>79</v>
      </c>
      <c r="BJ336" s="4" t="s">
        <v>685</v>
      </c>
      <c r="BK336" s="82" t="s">
        <v>374</v>
      </c>
      <c r="BL336" s="13" t="s">
        <v>190</v>
      </c>
      <c r="BM336" s="14" t="s">
        <v>935</v>
      </c>
      <c r="BN336" s="13" t="s">
        <v>1025</v>
      </c>
      <c r="BO336" s="15" t="s">
        <v>1147</v>
      </c>
      <c r="BQ336" s="17"/>
    </row>
    <row r="337" spans="1:69" ht="15">
      <c r="A337" s="66" t="s">
        <v>686</v>
      </c>
      <c r="B337" s="230" t="s">
        <v>687</v>
      </c>
      <c r="C337" s="68"/>
      <c r="D337" s="36" t="s">
        <v>54</v>
      </c>
      <c r="E337" s="123">
        <f t="shared" si="104"/>
        <v>2.29</v>
      </c>
      <c r="F337" s="87">
        <f aca="true" t="shared" si="106" ref="F337:AK337">SUM(F338:F353)</f>
        <v>0.56</v>
      </c>
      <c r="G337" s="87">
        <f t="shared" si="106"/>
        <v>1.7300000000000002</v>
      </c>
      <c r="H337" s="87">
        <f t="shared" si="106"/>
        <v>0.03</v>
      </c>
      <c r="I337" s="87">
        <f t="shared" si="106"/>
        <v>0.03</v>
      </c>
      <c r="J337" s="87">
        <f t="shared" si="106"/>
        <v>0</v>
      </c>
      <c r="K337" s="87">
        <f t="shared" si="106"/>
        <v>0.30000000000000004</v>
      </c>
      <c r="L337" s="87">
        <f t="shared" si="106"/>
        <v>0.48</v>
      </c>
      <c r="M337" s="87">
        <f t="shared" si="106"/>
        <v>0</v>
      </c>
      <c r="N337" s="87">
        <f t="shared" si="106"/>
        <v>0</v>
      </c>
      <c r="O337" s="87">
        <f t="shared" si="106"/>
        <v>0</v>
      </c>
      <c r="P337" s="87">
        <f t="shared" si="106"/>
        <v>0</v>
      </c>
      <c r="Q337" s="87">
        <f t="shared" si="106"/>
        <v>0</v>
      </c>
      <c r="R337" s="87">
        <f t="shared" si="106"/>
        <v>0</v>
      </c>
      <c r="S337" s="87">
        <f t="shared" si="106"/>
        <v>0</v>
      </c>
      <c r="T337" s="87">
        <f t="shared" si="106"/>
        <v>0</v>
      </c>
      <c r="U337" s="87">
        <f t="shared" si="106"/>
        <v>0.39</v>
      </c>
      <c r="V337" s="87">
        <f t="shared" si="106"/>
        <v>0.34</v>
      </c>
      <c r="W337" s="87">
        <f t="shared" si="106"/>
        <v>0.05</v>
      </c>
      <c r="X337" s="87">
        <f t="shared" si="106"/>
        <v>0</v>
      </c>
      <c r="Y337" s="87">
        <f t="shared" si="106"/>
        <v>0</v>
      </c>
      <c r="Z337" s="87">
        <f t="shared" si="106"/>
        <v>0</v>
      </c>
      <c r="AA337" s="87">
        <f t="shared" si="106"/>
        <v>0</v>
      </c>
      <c r="AB337" s="87">
        <f t="shared" si="106"/>
        <v>0</v>
      </c>
      <c r="AC337" s="87">
        <f t="shared" si="106"/>
        <v>0</v>
      </c>
      <c r="AD337" s="87">
        <f t="shared" si="106"/>
        <v>0</v>
      </c>
      <c r="AE337" s="87">
        <f t="shared" si="106"/>
        <v>0</v>
      </c>
      <c r="AF337" s="87">
        <f t="shared" si="106"/>
        <v>0.04</v>
      </c>
      <c r="AG337" s="87">
        <f t="shared" si="106"/>
        <v>0</v>
      </c>
      <c r="AH337" s="87">
        <f t="shared" si="106"/>
        <v>0</v>
      </c>
      <c r="AI337" s="87">
        <f t="shared" si="106"/>
        <v>0</v>
      </c>
      <c r="AJ337" s="87">
        <f t="shared" si="106"/>
        <v>0</v>
      </c>
      <c r="AK337" s="87">
        <f t="shared" si="106"/>
        <v>0.04</v>
      </c>
      <c r="AL337" s="87">
        <f aca="true" t="shared" si="107" ref="AL337:BG337">SUM(AL338:AL353)</f>
        <v>0.36000000000000004</v>
      </c>
      <c r="AM337" s="87">
        <f t="shared" si="107"/>
        <v>0</v>
      </c>
      <c r="AN337" s="87">
        <f t="shared" si="107"/>
        <v>0</v>
      </c>
      <c r="AO337" s="87">
        <f t="shared" si="107"/>
        <v>0</v>
      </c>
      <c r="AP337" s="87">
        <f t="shared" si="107"/>
        <v>0</v>
      </c>
      <c r="AQ337" s="87">
        <f t="shared" si="107"/>
        <v>0</v>
      </c>
      <c r="AR337" s="87">
        <f t="shared" si="107"/>
        <v>0</v>
      </c>
      <c r="AS337" s="87">
        <f t="shared" si="107"/>
        <v>0</v>
      </c>
      <c r="AT337" s="87">
        <f t="shared" si="107"/>
        <v>0.11</v>
      </c>
      <c r="AU337" s="87">
        <f t="shared" si="107"/>
        <v>0.02</v>
      </c>
      <c r="AV337" s="87">
        <f t="shared" si="107"/>
        <v>0.06</v>
      </c>
      <c r="AW337" s="87">
        <f t="shared" si="107"/>
        <v>0</v>
      </c>
      <c r="AX337" s="87">
        <f t="shared" si="107"/>
        <v>0</v>
      </c>
      <c r="AY337" s="87">
        <f t="shared" si="107"/>
        <v>0</v>
      </c>
      <c r="AZ337" s="87">
        <f t="shared" si="107"/>
        <v>0</v>
      </c>
      <c r="BA337" s="87">
        <f t="shared" si="107"/>
        <v>0</v>
      </c>
      <c r="BB337" s="87">
        <f t="shared" si="107"/>
        <v>0</v>
      </c>
      <c r="BC337" s="87">
        <f t="shared" si="107"/>
        <v>0</v>
      </c>
      <c r="BD337" s="87">
        <f t="shared" si="107"/>
        <v>0</v>
      </c>
      <c r="BE337" s="87">
        <f t="shared" si="107"/>
        <v>0</v>
      </c>
      <c r="BF337" s="87">
        <f t="shared" si="107"/>
        <v>0</v>
      </c>
      <c r="BG337" s="87">
        <f t="shared" si="107"/>
        <v>0.060000000000000005</v>
      </c>
      <c r="BH337" s="231"/>
      <c r="BI337" s="68"/>
      <c r="BJ337" s="68"/>
      <c r="BK337" s="35"/>
      <c r="BL337" s="41"/>
      <c r="BM337" s="35"/>
      <c r="BN337" s="13"/>
      <c r="BO337" s="15"/>
      <c r="BQ337" s="17"/>
    </row>
    <row r="338" spans="1:69" ht="108.75">
      <c r="A338" s="71">
        <f>A336+1</f>
        <v>220</v>
      </c>
      <c r="B338" s="118" t="s">
        <v>688</v>
      </c>
      <c r="C338" s="14" t="s">
        <v>71</v>
      </c>
      <c r="D338" s="4" t="s">
        <v>54</v>
      </c>
      <c r="E338" s="45">
        <f t="shared" si="104"/>
        <v>0.12000000000000001</v>
      </c>
      <c r="F338" s="232">
        <v>0.02</v>
      </c>
      <c r="G338" s="5">
        <f t="shared" si="105"/>
        <v>0.1</v>
      </c>
      <c r="H338" s="80">
        <v>0</v>
      </c>
      <c r="I338" s="80">
        <v>0</v>
      </c>
      <c r="J338" s="80">
        <v>0</v>
      </c>
      <c r="K338" s="80">
        <v>0</v>
      </c>
      <c r="L338" s="80">
        <v>0.03</v>
      </c>
      <c r="M338" s="80">
        <v>0</v>
      </c>
      <c r="N338" s="80">
        <v>0</v>
      </c>
      <c r="O338" s="80">
        <v>0</v>
      </c>
      <c r="P338" s="80">
        <v>0</v>
      </c>
      <c r="Q338" s="80">
        <v>0</v>
      </c>
      <c r="R338" s="80">
        <v>0</v>
      </c>
      <c r="S338" s="80">
        <v>0</v>
      </c>
      <c r="T338" s="80">
        <v>0</v>
      </c>
      <c r="U338" s="80">
        <v>0</v>
      </c>
      <c r="V338" s="80">
        <v>0</v>
      </c>
      <c r="W338" s="80">
        <v>0</v>
      </c>
      <c r="X338" s="80">
        <v>0</v>
      </c>
      <c r="Y338" s="80">
        <v>0</v>
      </c>
      <c r="Z338" s="80">
        <v>0</v>
      </c>
      <c r="AA338" s="80">
        <v>0</v>
      </c>
      <c r="AB338" s="80">
        <v>0</v>
      </c>
      <c r="AC338" s="80">
        <v>0</v>
      </c>
      <c r="AD338" s="80">
        <v>0</v>
      </c>
      <c r="AE338" s="80">
        <v>0</v>
      </c>
      <c r="AF338" s="80">
        <v>0</v>
      </c>
      <c r="AG338" s="80">
        <v>0</v>
      </c>
      <c r="AH338" s="80">
        <v>0</v>
      </c>
      <c r="AI338" s="80">
        <v>0</v>
      </c>
      <c r="AJ338" s="80">
        <v>0</v>
      </c>
      <c r="AK338" s="80">
        <v>0</v>
      </c>
      <c r="AL338" s="80">
        <v>0.02</v>
      </c>
      <c r="AM338" s="80">
        <v>0</v>
      </c>
      <c r="AN338" s="80">
        <v>0</v>
      </c>
      <c r="AO338" s="80">
        <v>0</v>
      </c>
      <c r="AP338" s="80">
        <v>0</v>
      </c>
      <c r="AQ338" s="80">
        <v>0</v>
      </c>
      <c r="AR338" s="80">
        <v>0</v>
      </c>
      <c r="AS338" s="80">
        <v>0</v>
      </c>
      <c r="AT338" s="80">
        <v>0.05</v>
      </c>
      <c r="AU338" s="80">
        <v>0</v>
      </c>
      <c r="AV338" s="80">
        <v>0</v>
      </c>
      <c r="AW338" s="80">
        <v>0</v>
      </c>
      <c r="AX338" s="80">
        <v>0</v>
      </c>
      <c r="AY338" s="80">
        <v>0</v>
      </c>
      <c r="AZ338" s="80">
        <v>0</v>
      </c>
      <c r="BA338" s="80">
        <v>0</v>
      </c>
      <c r="BB338" s="80">
        <v>0</v>
      </c>
      <c r="BC338" s="80">
        <v>0</v>
      </c>
      <c r="BD338" s="80">
        <v>0</v>
      </c>
      <c r="BE338" s="80">
        <v>0</v>
      </c>
      <c r="BF338" s="80">
        <v>0</v>
      </c>
      <c r="BG338" s="80">
        <v>0</v>
      </c>
      <c r="BH338" s="60" t="s">
        <v>689</v>
      </c>
      <c r="BI338" s="14" t="s">
        <v>71</v>
      </c>
      <c r="BJ338" s="14" t="s">
        <v>690</v>
      </c>
      <c r="BK338" s="98" t="s">
        <v>120</v>
      </c>
      <c r="BL338" s="13" t="s">
        <v>190</v>
      </c>
      <c r="BM338" s="14" t="s">
        <v>937</v>
      </c>
      <c r="BN338" s="13" t="s">
        <v>1024</v>
      </c>
      <c r="BO338" s="15" t="s">
        <v>1147</v>
      </c>
      <c r="BQ338" s="17"/>
    </row>
    <row r="339" spans="1:69" ht="46.5">
      <c r="A339" s="71">
        <f>A338+1</f>
        <v>221</v>
      </c>
      <c r="B339" s="118" t="s">
        <v>691</v>
      </c>
      <c r="C339" s="14" t="s">
        <v>79</v>
      </c>
      <c r="D339" s="46" t="s">
        <v>54</v>
      </c>
      <c r="E339" s="232">
        <f t="shared" si="104"/>
        <v>0.16000000000000003</v>
      </c>
      <c r="F339" s="80">
        <v>0.05</v>
      </c>
      <c r="G339" s="233">
        <f t="shared" si="105"/>
        <v>0.11000000000000001</v>
      </c>
      <c r="H339" s="80">
        <v>0.01</v>
      </c>
      <c r="I339" s="80">
        <v>0.01</v>
      </c>
      <c r="J339" s="80">
        <v>0</v>
      </c>
      <c r="K339" s="80">
        <v>0</v>
      </c>
      <c r="L339" s="80">
        <v>0.01</v>
      </c>
      <c r="M339" s="80">
        <v>0</v>
      </c>
      <c r="N339" s="80">
        <v>0</v>
      </c>
      <c r="O339" s="80">
        <v>0</v>
      </c>
      <c r="P339" s="80">
        <v>0</v>
      </c>
      <c r="Q339" s="80">
        <v>0</v>
      </c>
      <c r="R339" s="80">
        <v>0</v>
      </c>
      <c r="S339" s="80">
        <v>0</v>
      </c>
      <c r="T339" s="80">
        <v>0</v>
      </c>
      <c r="U339" s="80">
        <v>0</v>
      </c>
      <c r="V339" s="80">
        <v>0</v>
      </c>
      <c r="W339" s="80">
        <v>0</v>
      </c>
      <c r="X339" s="80">
        <v>0</v>
      </c>
      <c r="Y339" s="80">
        <v>0</v>
      </c>
      <c r="Z339" s="80">
        <v>0</v>
      </c>
      <c r="AA339" s="80">
        <v>0</v>
      </c>
      <c r="AB339" s="80">
        <v>0</v>
      </c>
      <c r="AC339" s="80">
        <v>0</v>
      </c>
      <c r="AD339" s="80">
        <v>0</v>
      </c>
      <c r="AE339" s="80">
        <v>0</v>
      </c>
      <c r="AF339" s="80">
        <v>0.04</v>
      </c>
      <c r="AG339" s="80">
        <v>0</v>
      </c>
      <c r="AH339" s="80">
        <v>0</v>
      </c>
      <c r="AI339" s="80">
        <v>0</v>
      </c>
      <c r="AJ339" s="80">
        <v>0</v>
      </c>
      <c r="AK339" s="80">
        <v>0</v>
      </c>
      <c r="AL339" s="80">
        <v>0</v>
      </c>
      <c r="AM339" s="80">
        <v>0</v>
      </c>
      <c r="AN339" s="80">
        <v>0</v>
      </c>
      <c r="AO339" s="80">
        <v>0</v>
      </c>
      <c r="AP339" s="80">
        <v>0</v>
      </c>
      <c r="AQ339" s="80">
        <v>0</v>
      </c>
      <c r="AR339" s="80">
        <v>0</v>
      </c>
      <c r="AS339" s="80">
        <v>0</v>
      </c>
      <c r="AT339" s="80">
        <v>0</v>
      </c>
      <c r="AU339" s="80">
        <v>0</v>
      </c>
      <c r="AV339" s="80">
        <v>0</v>
      </c>
      <c r="AW339" s="80">
        <v>0</v>
      </c>
      <c r="AX339" s="80">
        <v>0</v>
      </c>
      <c r="AY339" s="80">
        <v>0</v>
      </c>
      <c r="AZ339" s="80">
        <v>0</v>
      </c>
      <c r="BA339" s="80">
        <v>0</v>
      </c>
      <c r="BB339" s="80">
        <v>0</v>
      </c>
      <c r="BC339" s="80">
        <v>0</v>
      </c>
      <c r="BD339" s="80">
        <v>0</v>
      </c>
      <c r="BE339" s="80">
        <v>0</v>
      </c>
      <c r="BF339" s="80">
        <v>0</v>
      </c>
      <c r="BG339" s="80">
        <v>0.04</v>
      </c>
      <c r="BH339" s="60" t="s">
        <v>125</v>
      </c>
      <c r="BI339" s="14" t="s">
        <v>79</v>
      </c>
      <c r="BJ339" s="14" t="s">
        <v>692</v>
      </c>
      <c r="BK339" s="98">
        <v>2023</v>
      </c>
      <c r="BL339" s="13" t="s">
        <v>190</v>
      </c>
      <c r="BM339" s="14" t="s">
        <v>935</v>
      </c>
      <c r="BN339" s="13" t="s">
        <v>1024</v>
      </c>
      <c r="BO339" s="15" t="s">
        <v>1147</v>
      </c>
      <c r="BQ339" s="17"/>
    </row>
    <row r="340" spans="1:71" s="93" customFormat="1" ht="46.5">
      <c r="A340" s="71">
        <f>A339+1</f>
        <v>222</v>
      </c>
      <c r="B340" s="179" t="s">
        <v>693</v>
      </c>
      <c r="C340" s="46" t="s">
        <v>82</v>
      </c>
      <c r="D340" s="46" t="s">
        <v>54</v>
      </c>
      <c r="E340" s="45">
        <f t="shared" si="104"/>
        <v>0.02</v>
      </c>
      <c r="F340" s="88"/>
      <c r="G340" s="5">
        <f t="shared" si="105"/>
        <v>0.02</v>
      </c>
      <c r="H340" s="46"/>
      <c r="I340" s="46"/>
      <c r="J340" s="46"/>
      <c r="K340" s="46">
        <v>0.02</v>
      </c>
      <c r="L340" s="46"/>
      <c r="M340" s="46"/>
      <c r="N340" s="46"/>
      <c r="O340" s="46"/>
      <c r="P340" s="46"/>
      <c r="Q340" s="46"/>
      <c r="R340" s="46"/>
      <c r="S340" s="46"/>
      <c r="T340" s="46"/>
      <c r="U340" s="140"/>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t="s">
        <v>694</v>
      </c>
      <c r="BI340" s="46" t="s">
        <v>82</v>
      </c>
      <c r="BJ340" s="46" t="s">
        <v>695</v>
      </c>
      <c r="BK340" s="98" t="s">
        <v>120</v>
      </c>
      <c r="BL340" s="13" t="s">
        <v>190</v>
      </c>
      <c r="BM340" s="14" t="s">
        <v>935</v>
      </c>
      <c r="BN340" s="46" t="s">
        <v>1025</v>
      </c>
      <c r="BO340" s="179" t="s">
        <v>1147</v>
      </c>
      <c r="BP340" s="92"/>
      <c r="BS340" s="94"/>
    </row>
    <row r="341" spans="1:69" ht="46.5">
      <c r="A341" s="71">
        <f aca="true" t="shared" si="108" ref="A341:A353">A340+1</f>
        <v>223</v>
      </c>
      <c r="B341" s="118" t="s">
        <v>696</v>
      </c>
      <c r="C341" s="48" t="s">
        <v>87</v>
      </c>
      <c r="D341" s="46" t="s">
        <v>54</v>
      </c>
      <c r="E341" s="45">
        <f t="shared" si="104"/>
        <v>0.1</v>
      </c>
      <c r="F341" s="88">
        <v>0.02</v>
      </c>
      <c r="G341" s="5">
        <f t="shared" si="105"/>
        <v>0.08</v>
      </c>
      <c r="H341" s="80"/>
      <c r="I341" s="80"/>
      <c r="J341" s="80"/>
      <c r="K341" s="80"/>
      <c r="L341" s="80"/>
      <c r="M341" s="80"/>
      <c r="N341" s="80"/>
      <c r="O341" s="80"/>
      <c r="P341" s="80"/>
      <c r="Q341" s="80"/>
      <c r="R341" s="80"/>
      <c r="S341" s="80"/>
      <c r="T341" s="80"/>
      <c r="U341" s="80">
        <f>SUM(V341:X341)</f>
        <v>0.08</v>
      </c>
      <c r="V341" s="80">
        <v>0.08</v>
      </c>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c r="BB341" s="80"/>
      <c r="BC341" s="80"/>
      <c r="BD341" s="80"/>
      <c r="BE341" s="80"/>
      <c r="BF341" s="80"/>
      <c r="BG341" s="80"/>
      <c r="BH341" s="48" t="s">
        <v>697</v>
      </c>
      <c r="BI341" s="48" t="s">
        <v>87</v>
      </c>
      <c r="BJ341" s="48" t="s">
        <v>698</v>
      </c>
      <c r="BK341" s="98" t="s">
        <v>120</v>
      </c>
      <c r="BL341" s="13" t="s">
        <v>190</v>
      </c>
      <c r="BM341" s="14" t="s">
        <v>935</v>
      </c>
      <c r="BN341" s="13" t="s">
        <v>1024</v>
      </c>
      <c r="BO341" s="15" t="s">
        <v>1147</v>
      </c>
      <c r="BQ341" s="17"/>
    </row>
    <row r="342" spans="1:69" ht="46.5">
      <c r="A342" s="71">
        <f t="shared" si="108"/>
        <v>224</v>
      </c>
      <c r="B342" s="118" t="s">
        <v>699</v>
      </c>
      <c r="C342" s="46" t="s">
        <v>130</v>
      </c>
      <c r="D342" s="46" t="s">
        <v>54</v>
      </c>
      <c r="E342" s="97">
        <f t="shared" si="104"/>
        <v>0.14</v>
      </c>
      <c r="F342" s="88">
        <v>0.06</v>
      </c>
      <c r="G342" s="5">
        <f t="shared" si="105"/>
        <v>0.08</v>
      </c>
      <c r="H342" s="80">
        <v>0.02</v>
      </c>
      <c r="I342" s="80">
        <v>0</v>
      </c>
      <c r="J342" s="80">
        <v>0</v>
      </c>
      <c r="K342" s="80">
        <v>0.01</v>
      </c>
      <c r="L342" s="80">
        <v>0</v>
      </c>
      <c r="M342" s="80">
        <v>0</v>
      </c>
      <c r="N342" s="80">
        <v>0</v>
      </c>
      <c r="O342" s="80">
        <v>0</v>
      </c>
      <c r="P342" s="80">
        <v>0</v>
      </c>
      <c r="Q342" s="80">
        <v>0</v>
      </c>
      <c r="R342" s="80">
        <v>0</v>
      </c>
      <c r="S342" s="80">
        <v>0</v>
      </c>
      <c r="T342" s="80">
        <v>0</v>
      </c>
      <c r="U342" s="80">
        <v>0.05</v>
      </c>
      <c r="V342" s="80">
        <v>0.05</v>
      </c>
      <c r="W342" s="80">
        <v>0</v>
      </c>
      <c r="X342" s="80">
        <v>0</v>
      </c>
      <c r="Y342" s="80">
        <v>0</v>
      </c>
      <c r="Z342" s="80">
        <v>0</v>
      </c>
      <c r="AA342" s="80">
        <v>0</v>
      </c>
      <c r="AB342" s="80">
        <v>0</v>
      </c>
      <c r="AC342" s="80">
        <v>0</v>
      </c>
      <c r="AD342" s="80">
        <v>0</v>
      </c>
      <c r="AE342" s="80">
        <v>0</v>
      </c>
      <c r="AF342" s="80">
        <v>0</v>
      </c>
      <c r="AG342" s="80">
        <v>0</v>
      </c>
      <c r="AH342" s="80">
        <v>0</v>
      </c>
      <c r="AI342" s="80">
        <v>0</v>
      </c>
      <c r="AJ342" s="80">
        <v>0</v>
      </c>
      <c r="AK342" s="80">
        <v>0</v>
      </c>
      <c r="AL342" s="80">
        <v>0</v>
      </c>
      <c r="AM342" s="80">
        <v>0</v>
      </c>
      <c r="AN342" s="80">
        <v>0</v>
      </c>
      <c r="AO342" s="80">
        <v>0</v>
      </c>
      <c r="AP342" s="80">
        <v>0</v>
      </c>
      <c r="AQ342" s="80">
        <v>0</v>
      </c>
      <c r="AR342" s="80">
        <v>0</v>
      </c>
      <c r="AS342" s="80">
        <v>0</v>
      </c>
      <c r="AT342" s="80">
        <v>0</v>
      </c>
      <c r="AU342" s="80">
        <v>0</v>
      </c>
      <c r="AV342" s="80">
        <v>0</v>
      </c>
      <c r="AW342" s="80">
        <v>0</v>
      </c>
      <c r="AX342" s="80">
        <v>0</v>
      </c>
      <c r="AY342" s="80">
        <v>0</v>
      </c>
      <c r="AZ342" s="80">
        <v>0</v>
      </c>
      <c r="BA342" s="80">
        <v>0</v>
      </c>
      <c r="BB342" s="80">
        <v>0</v>
      </c>
      <c r="BC342" s="80">
        <v>0</v>
      </c>
      <c r="BD342" s="80">
        <v>0</v>
      </c>
      <c r="BE342" s="80">
        <v>0</v>
      </c>
      <c r="BF342" s="80">
        <v>0</v>
      </c>
      <c r="BG342" s="80">
        <v>0</v>
      </c>
      <c r="BH342" s="46" t="s">
        <v>700</v>
      </c>
      <c r="BI342" s="46" t="s">
        <v>130</v>
      </c>
      <c r="BJ342" s="46" t="s">
        <v>701</v>
      </c>
      <c r="BK342" s="98" t="s">
        <v>120</v>
      </c>
      <c r="BL342" s="13" t="s">
        <v>190</v>
      </c>
      <c r="BM342" s="14" t="s">
        <v>935</v>
      </c>
      <c r="BN342" s="13" t="s">
        <v>1024</v>
      </c>
      <c r="BO342" s="15" t="s">
        <v>1147</v>
      </c>
      <c r="BQ342" s="17"/>
    </row>
    <row r="343" spans="1:69" ht="181.5" customHeight="1">
      <c r="A343" s="71">
        <f t="shared" si="108"/>
        <v>225</v>
      </c>
      <c r="B343" s="118" t="s">
        <v>702</v>
      </c>
      <c r="C343" s="46" t="s">
        <v>91</v>
      </c>
      <c r="D343" s="46" t="s">
        <v>54</v>
      </c>
      <c r="E343" s="97">
        <f t="shared" si="104"/>
        <v>0.23</v>
      </c>
      <c r="F343" s="88"/>
      <c r="G343" s="5">
        <f t="shared" si="105"/>
        <v>0.23</v>
      </c>
      <c r="H343" s="80">
        <v>0</v>
      </c>
      <c r="I343" s="80">
        <v>0</v>
      </c>
      <c r="J343" s="80">
        <v>0</v>
      </c>
      <c r="K343" s="80">
        <v>0</v>
      </c>
      <c r="L343" s="80">
        <v>0</v>
      </c>
      <c r="M343" s="80">
        <v>0</v>
      </c>
      <c r="N343" s="80">
        <v>0</v>
      </c>
      <c r="O343" s="80">
        <v>0</v>
      </c>
      <c r="P343" s="80">
        <v>0</v>
      </c>
      <c r="Q343" s="80">
        <v>0</v>
      </c>
      <c r="R343" s="80">
        <v>0</v>
      </c>
      <c r="S343" s="80">
        <v>0</v>
      </c>
      <c r="T343" s="80">
        <v>0</v>
      </c>
      <c r="U343" s="80">
        <v>0.07</v>
      </c>
      <c r="V343" s="80">
        <v>0.07</v>
      </c>
      <c r="W343" s="80">
        <v>0</v>
      </c>
      <c r="X343" s="80">
        <v>0</v>
      </c>
      <c r="Y343" s="80">
        <v>0</v>
      </c>
      <c r="Z343" s="80">
        <v>0</v>
      </c>
      <c r="AA343" s="80">
        <v>0</v>
      </c>
      <c r="AB343" s="80">
        <v>0</v>
      </c>
      <c r="AC343" s="80">
        <v>0</v>
      </c>
      <c r="AD343" s="80">
        <v>0</v>
      </c>
      <c r="AE343" s="80">
        <v>0</v>
      </c>
      <c r="AF343" s="80">
        <v>0</v>
      </c>
      <c r="AG343" s="80">
        <v>0</v>
      </c>
      <c r="AH343" s="80">
        <v>0</v>
      </c>
      <c r="AI343" s="80">
        <v>0</v>
      </c>
      <c r="AJ343" s="80">
        <v>0</v>
      </c>
      <c r="AK343" s="80">
        <v>0.04</v>
      </c>
      <c r="AL343" s="80">
        <v>0.1</v>
      </c>
      <c r="AM343" s="80">
        <v>0</v>
      </c>
      <c r="AN343" s="80">
        <v>0</v>
      </c>
      <c r="AO343" s="80">
        <v>0</v>
      </c>
      <c r="AP343" s="80">
        <v>0</v>
      </c>
      <c r="AQ343" s="80">
        <v>0</v>
      </c>
      <c r="AR343" s="80">
        <v>0</v>
      </c>
      <c r="AS343" s="80">
        <v>0</v>
      </c>
      <c r="AT343" s="80">
        <v>0.02</v>
      </c>
      <c r="AU343" s="80">
        <v>0</v>
      </c>
      <c r="AV343" s="80">
        <v>0</v>
      </c>
      <c r="AW343" s="80">
        <v>0</v>
      </c>
      <c r="AX343" s="80">
        <v>0</v>
      </c>
      <c r="AY343" s="80">
        <v>0</v>
      </c>
      <c r="AZ343" s="80">
        <v>0</v>
      </c>
      <c r="BA343" s="80">
        <v>0</v>
      </c>
      <c r="BB343" s="80">
        <v>0</v>
      </c>
      <c r="BC343" s="80">
        <v>0</v>
      </c>
      <c r="BD343" s="80">
        <v>0</v>
      </c>
      <c r="BE343" s="80">
        <v>0</v>
      </c>
      <c r="BF343" s="80">
        <v>0</v>
      </c>
      <c r="BG343" s="80">
        <v>0</v>
      </c>
      <c r="BH343" s="46" t="s">
        <v>1151</v>
      </c>
      <c r="BI343" s="46" t="s">
        <v>91</v>
      </c>
      <c r="BJ343" s="14" t="s">
        <v>924</v>
      </c>
      <c r="BK343" s="98" t="s">
        <v>120</v>
      </c>
      <c r="BL343" s="13" t="s">
        <v>190</v>
      </c>
      <c r="BM343" s="14" t="s">
        <v>938</v>
      </c>
      <c r="BN343" s="13" t="s">
        <v>1024</v>
      </c>
      <c r="BO343" s="15" t="s">
        <v>1147</v>
      </c>
      <c r="BP343" s="16" t="s">
        <v>1042</v>
      </c>
      <c r="BQ343" s="17"/>
    </row>
    <row r="344" spans="1:69" ht="156">
      <c r="A344" s="71">
        <f t="shared" si="108"/>
        <v>226</v>
      </c>
      <c r="B344" s="118" t="s">
        <v>703</v>
      </c>
      <c r="C344" s="46" t="s">
        <v>122</v>
      </c>
      <c r="D344" s="46" t="s">
        <v>54</v>
      </c>
      <c r="E344" s="45">
        <f t="shared" si="104"/>
        <v>0.49000000000000005</v>
      </c>
      <c r="F344" s="73">
        <v>0.2</v>
      </c>
      <c r="G344" s="5">
        <f>SUM(H344:M344,Q344,U344,Y344:BG344)</f>
        <v>0.29000000000000004</v>
      </c>
      <c r="H344" s="232">
        <v>0</v>
      </c>
      <c r="I344" s="232">
        <v>0</v>
      </c>
      <c r="J344" s="232">
        <v>0</v>
      </c>
      <c r="K344" s="232">
        <v>0.11</v>
      </c>
      <c r="L344" s="232">
        <v>0.11</v>
      </c>
      <c r="M344" s="232">
        <v>0</v>
      </c>
      <c r="N344" s="232">
        <v>0</v>
      </c>
      <c r="O344" s="232">
        <v>0</v>
      </c>
      <c r="P344" s="232">
        <v>0</v>
      </c>
      <c r="Q344" s="232">
        <v>0</v>
      </c>
      <c r="R344" s="232">
        <v>0</v>
      </c>
      <c r="S344" s="232">
        <v>0</v>
      </c>
      <c r="T344" s="232">
        <v>0</v>
      </c>
      <c r="U344" s="232">
        <v>0.04</v>
      </c>
      <c r="V344" s="232">
        <v>0.04</v>
      </c>
      <c r="W344" s="232">
        <v>0</v>
      </c>
      <c r="X344" s="232">
        <v>0</v>
      </c>
      <c r="Y344" s="232">
        <v>0</v>
      </c>
      <c r="Z344" s="232">
        <v>0</v>
      </c>
      <c r="AA344" s="232">
        <v>0</v>
      </c>
      <c r="AB344" s="232">
        <v>0</v>
      </c>
      <c r="AC344" s="232">
        <v>0</v>
      </c>
      <c r="AD344" s="232">
        <v>0</v>
      </c>
      <c r="AE344" s="232">
        <v>0</v>
      </c>
      <c r="AF344" s="232">
        <v>0</v>
      </c>
      <c r="AG344" s="232">
        <v>0</v>
      </c>
      <c r="AH344" s="232">
        <v>0</v>
      </c>
      <c r="AI344" s="232">
        <v>0</v>
      </c>
      <c r="AJ344" s="232">
        <v>0</v>
      </c>
      <c r="AK344" s="232">
        <v>0</v>
      </c>
      <c r="AL344" s="232">
        <v>0.03</v>
      </c>
      <c r="AM344" s="232">
        <v>0</v>
      </c>
      <c r="AN344" s="232">
        <v>0</v>
      </c>
      <c r="AO344" s="232">
        <v>0</v>
      </c>
      <c r="AP344" s="232">
        <v>0</v>
      </c>
      <c r="AQ344" s="232">
        <v>0</v>
      </c>
      <c r="AR344" s="232">
        <v>0</v>
      </c>
      <c r="AS344" s="232">
        <v>0</v>
      </c>
      <c r="AT344" s="232">
        <v>0</v>
      </c>
      <c r="AU344" s="232">
        <v>0</v>
      </c>
      <c r="AV344" s="232">
        <v>0</v>
      </c>
      <c r="AW344" s="232">
        <v>0</v>
      </c>
      <c r="AX344" s="232">
        <v>0</v>
      </c>
      <c r="AY344" s="232">
        <v>0</v>
      </c>
      <c r="AZ344" s="232">
        <v>0</v>
      </c>
      <c r="BA344" s="232">
        <v>0</v>
      </c>
      <c r="BB344" s="232">
        <v>0</v>
      </c>
      <c r="BC344" s="232">
        <v>0</v>
      </c>
      <c r="BD344" s="232">
        <v>0</v>
      </c>
      <c r="BE344" s="232">
        <v>0</v>
      </c>
      <c r="BF344" s="232">
        <v>0</v>
      </c>
      <c r="BG344" s="232">
        <v>0</v>
      </c>
      <c r="BH344" s="46" t="s">
        <v>704</v>
      </c>
      <c r="BI344" s="46" t="s">
        <v>122</v>
      </c>
      <c r="BJ344" s="46" t="s">
        <v>705</v>
      </c>
      <c r="BK344" s="98" t="s">
        <v>971</v>
      </c>
      <c r="BL344" s="13" t="s">
        <v>190</v>
      </c>
      <c r="BM344" s="14" t="s">
        <v>939</v>
      </c>
      <c r="BN344" s="13" t="s">
        <v>1024</v>
      </c>
      <c r="BO344" s="15" t="s">
        <v>1147</v>
      </c>
      <c r="BQ344" s="17"/>
    </row>
    <row r="345" spans="1:71" s="93" customFormat="1" ht="46.5">
      <c r="A345" s="71">
        <f t="shared" si="108"/>
        <v>227</v>
      </c>
      <c r="B345" s="118" t="s">
        <v>706</v>
      </c>
      <c r="C345" s="46" t="s">
        <v>134</v>
      </c>
      <c r="D345" s="46" t="s">
        <v>54</v>
      </c>
      <c r="E345" s="45">
        <f t="shared" si="104"/>
        <v>0.06</v>
      </c>
      <c r="F345" s="73"/>
      <c r="G345" s="5">
        <v>0.06</v>
      </c>
      <c r="H345" s="48">
        <v>0</v>
      </c>
      <c r="I345" s="48">
        <v>0</v>
      </c>
      <c r="J345" s="48">
        <v>0</v>
      </c>
      <c r="K345" s="48">
        <v>0</v>
      </c>
      <c r="L345" s="48">
        <v>0.06</v>
      </c>
      <c r="M345" s="48">
        <v>0</v>
      </c>
      <c r="N345" s="48">
        <v>0</v>
      </c>
      <c r="O345" s="48">
        <v>0</v>
      </c>
      <c r="P345" s="48">
        <v>0</v>
      </c>
      <c r="Q345" s="48">
        <v>0</v>
      </c>
      <c r="R345" s="48">
        <v>0</v>
      </c>
      <c r="S345" s="48">
        <v>0</v>
      </c>
      <c r="T345" s="48">
        <v>0</v>
      </c>
      <c r="U345" s="48">
        <v>0</v>
      </c>
      <c r="V345" s="48">
        <v>0</v>
      </c>
      <c r="W345" s="48">
        <v>0</v>
      </c>
      <c r="X345" s="48">
        <v>0</v>
      </c>
      <c r="Y345" s="48">
        <v>0</v>
      </c>
      <c r="Z345" s="48">
        <v>0</v>
      </c>
      <c r="AA345" s="48">
        <v>0</v>
      </c>
      <c r="AB345" s="48">
        <v>0</v>
      </c>
      <c r="AC345" s="48">
        <v>0</v>
      </c>
      <c r="AD345" s="48">
        <v>0</v>
      </c>
      <c r="AE345" s="48">
        <v>0</v>
      </c>
      <c r="AF345" s="48">
        <v>0</v>
      </c>
      <c r="AG345" s="48">
        <v>0</v>
      </c>
      <c r="AH345" s="48">
        <v>0</v>
      </c>
      <c r="AI345" s="48">
        <v>0</v>
      </c>
      <c r="AJ345" s="48">
        <v>0</v>
      </c>
      <c r="AK345" s="48">
        <v>0</v>
      </c>
      <c r="AL345" s="48">
        <v>0.13</v>
      </c>
      <c r="AM345" s="48">
        <v>0</v>
      </c>
      <c r="AN345" s="48">
        <v>0</v>
      </c>
      <c r="AO345" s="48">
        <v>0</v>
      </c>
      <c r="AP345" s="48">
        <v>0</v>
      </c>
      <c r="AQ345" s="48">
        <v>0</v>
      </c>
      <c r="AR345" s="48">
        <v>0</v>
      </c>
      <c r="AS345" s="48">
        <v>0</v>
      </c>
      <c r="AT345" s="48">
        <v>0</v>
      </c>
      <c r="AU345" s="48">
        <v>0</v>
      </c>
      <c r="AV345" s="48">
        <v>0.06</v>
      </c>
      <c r="AW345" s="48">
        <v>0</v>
      </c>
      <c r="AX345" s="48">
        <v>0</v>
      </c>
      <c r="AY345" s="48">
        <v>0</v>
      </c>
      <c r="AZ345" s="48">
        <v>0</v>
      </c>
      <c r="BA345" s="48">
        <v>0</v>
      </c>
      <c r="BB345" s="48">
        <v>0</v>
      </c>
      <c r="BC345" s="48">
        <v>0</v>
      </c>
      <c r="BD345" s="48">
        <v>0</v>
      </c>
      <c r="BE345" s="48">
        <v>0</v>
      </c>
      <c r="BF345" s="48">
        <v>0</v>
      </c>
      <c r="BG345" s="48">
        <v>0</v>
      </c>
      <c r="BH345" s="46" t="s">
        <v>1152</v>
      </c>
      <c r="BI345" s="46" t="s">
        <v>134</v>
      </c>
      <c r="BJ345" s="46" t="s">
        <v>1153</v>
      </c>
      <c r="BK345" s="98" t="s">
        <v>120</v>
      </c>
      <c r="BL345" s="13" t="s">
        <v>190</v>
      </c>
      <c r="BM345" s="14" t="s">
        <v>935</v>
      </c>
      <c r="BN345" s="46" t="s">
        <v>1024</v>
      </c>
      <c r="BO345" s="179" t="s">
        <v>1147</v>
      </c>
      <c r="BP345" s="92"/>
      <c r="BS345" s="94"/>
    </row>
    <row r="346" spans="1:71" s="93" customFormat="1" ht="62.25">
      <c r="A346" s="71">
        <f>A345+1</f>
        <v>228</v>
      </c>
      <c r="B346" s="118" t="s">
        <v>707</v>
      </c>
      <c r="C346" s="14" t="s">
        <v>138</v>
      </c>
      <c r="D346" s="46" t="s">
        <v>54</v>
      </c>
      <c r="E346" s="45">
        <f t="shared" si="104"/>
        <v>0.12</v>
      </c>
      <c r="F346" s="88">
        <v>0.02</v>
      </c>
      <c r="G346" s="5">
        <f t="shared" si="105"/>
        <v>0.09999999999999999</v>
      </c>
      <c r="H346" s="46">
        <v>0</v>
      </c>
      <c r="I346" s="46">
        <v>0</v>
      </c>
      <c r="J346" s="46">
        <v>0</v>
      </c>
      <c r="K346" s="46">
        <v>0</v>
      </c>
      <c r="L346" s="46">
        <v>0.05</v>
      </c>
      <c r="M346" s="46">
        <v>0</v>
      </c>
      <c r="N346" s="46">
        <v>0</v>
      </c>
      <c r="O346" s="46">
        <v>0</v>
      </c>
      <c r="P346" s="46">
        <v>0</v>
      </c>
      <c r="Q346" s="46">
        <v>0</v>
      </c>
      <c r="R346" s="46">
        <v>0</v>
      </c>
      <c r="S346" s="46">
        <v>0</v>
      </c>
      <c r="T346" s="46">
        <v>0</v>
      </c>
      <c r="U346" s="46">
        <v>0.04</v>
      </c>
      <c r="V346" s="46">
        <v>0.04</v>
      </c>
      <c r="W346" s="46">
        <v>0</v>
      </c>
      <c r="X346" s="46">
        <v>0</v>
      </c>
      <c r="Y346" s="46">
        <v>0</v>
      </c>
      <c r="Z346" s="46">
        <v>0</v>
      </c>
      <c r="AA346" s="46">
        <v>0</v>
      </c>
      <c r="AB346" s="46">
        <v>0</v>
      </c>
      <c r="AC346" s="46">
        <v>0</v>
      </c>
      <c r="AD346" s="46">
        <v>0</v>
      </c>
      <c r="AE346" s="46">
        <v>0</v>
      </c>
      <c r="AF346" s="46">
        <v>0</v>
      </c>
      <c r="AG346" s="46">
        <v>0</v>
      </c>
      <c r="AH346" s="46">
        <v>0</v>
      </c>
      <c r="AI346" s="46">
        <v>0</v>
      </c>
      <c r="AJ346" s="46">
        <v>0</v>
      </c>
      <c r="AK346" s="46">
        <v>0</v>
      </c>
      <c r="AL346" s="46">
        <v>0</v>
      </c>
      <c r="AM346" s="46">
        <v>0</v>
      </c>
      <c r="AN346" s="46">
        <v>0</v>
      </c>
      <c r="AO346" s="46">
        <v>0</v>
      </c>
      <c r="AP346" s="46">
        <v>0</v>
      </c>
      <c r="AQ346" s="46">
        <v>0</v>
      </c>
      <c r="AR346" s="46">
        <v>0</v>
      </c>
      <c r="AS346" s="46">
        <v>0</v>
      </c>
      <c r="AT346" s="46">
        <v>0.01</v>
      </c>
      <c r="AU346" s="46">
        <v>0</v>
      </c>
      <c r="AV346" s="46">
        <v>0</v>
      </c>
      <c r="AW346" s="46">
        <v>0</v>
      </c>
      <c r="AX346" s="46">
        <v>0</v>
      </c>
      <c r="AY346" s="46">
        <v>0</v>
      </c>
      <c r="AZ346" s="46">
        <v>0</v>
      </c>
      <c r="BA346" s="46">
        <v>0</v>
      </c>
      <c r="BB346" s="46">
        <v>0</v>
      </c>
      <c r="BC346" s="46">
        <v>0</v>
      </c>
      <c r="BD346" s="46">
        <v>0</v>
      </c>
      <c r="BE346" s="46">
        <v>0</v>
      </c>
      <c r="BF346" s="46">
        <v>0</v>
      </c>
      <c r="BG346" s="46">
        <v>0</v>
      </c>
      <c r="BH346" s="46" t="s">
        <v>708</v>
      </c>
      <c r="BI346" s="14" t="s">
        <v>138</v>
      </c>
      <c r="BJ346" s="14" t="s">
        <v>1034</v>
      </c>
      <c r="BK346" s="12" t="s">
        <v>68</v>
      </c>
      <c r="BL346" s="13" t="s">
        <v>190</v>
      </c>
      <c r="BM346" s="14" t="s">
        <v>935</v>
      </c>
      <c r="BN346" s="46" t="s">
        <v>1024</v>
      </c>
      <c r="BO346" s="179" t="s">
        <v>1147</v>
      </c>
      <c r="BP346" s="92" t="s">
        <v>1033</v>
      </c>
      <c r="BQ346" s="94"/>
      <c r="BS346" s="94"/>
    </row>
    <row r="347" spans="1:240" ht="46.5">
      <c r="A347" s="71">
        <f t="shared" si="108"/>
        <v>229</v>
      </c>
      <c r="B347" s="118" t="s">
        <v>928</v>
      </c>
      <c r="C347" s="46" t="s">
        <v>95</v>
      </c>
      <c r="D347" s="46" t="s">
        <v>54</v>
      </c>
      <c r="E347" s="45">
        <f t="shared" si="104"/>
        <v>0.04</v>
      </c>
      <c r="F347" s="88">
        <v>0.01</v>
      </c>
      <c r="G347" s="5">
        <f t="shared" si="105"/>
        <v>0.03</v>
      </c>
      <c r="H347" s="46"/>
      <c r="I347" s="46"/>
      <c r="J347" s="46"/>
      <c r="K347" s="46">
        <v>0.03</v>
      </c>
      <c r="L347" s="46"/>
      <c r="M347" s="46">
        <f>SUM(N347:P347)</f>
        <v>0</v>
      </c>
      <c r="N347" s="46"/>
      <c r="O347" s="46"/>
      <c r="P347" s="46"/>
      <c r="Q347" s="46"/>
      <c r="R347" s="46"/>
      <c r="S347" s="46"/>
      <c r="T347" s="46"/>
      <c r="U347" s="46">
        <f>SUM(V347:X347)</f>
        <v>0</v>
      </c>
      <c r="V347" s="46"/>
      <c r="W347" s="46"/>
      <c r="X347" s="78"/>
      <c r="Y347" s="78"/>
      <c r="Z347" s="46"/>
      <c r="AA347" s="46"/>
      <c r="AB347" s="46"/>
      <c r="AC347" s="46"/>
      <c r="AD347" s="78"/>
      <c r="AE347" s="78"/>
      <c r="AF347" s="78"/>
      <c r="AG347" s="46"/>
      <c r="AH347" s="46"/>
      <c r="AI347" s="46"/>
      <c r="AJ347" s="46"/>
      <c r="AK347" s="46"/>
      <c r="AL347" s="46"/>
      <c r="AM347" s="46"/>
      <c r="AN347" s="46"/>
      <c r="AO347" s="46"/>
      <c r="AP347" s="46"/>
      <c r="AQ347" s="46"/>
      <c r="AR347" s="46"/>
      <c r="AS347" s="46"/>
      <c r="AT347" s="46"/>
      <c r="AU347" s="78"/>
      <c r="AV347" s="78"/>
      <c r="AW347" s="46"/>
      <c r="AX347" s="78"/>
      <c r="AY347" s="46"/>
      <c r="AZ347" s="46"/>
      <c r="BA347" s="46"/>
      <c r="BB347" s="78"/>
      <c r="BC347" s="46"/>
      <c r="BD347" s="78"/>
      <c r="BE347" s="78"/>
      <c r="BF347" s="46"/>
      <c r="BG347" s="78"/>
      <c r="BH347" s="46" t="s">
        <v>709</v>
      </c>
      <c r="BI347" s="46" t="s">
        <v>95</v>
      </c>
      <c r="BJ347" s="46" t="s">
        <v>710</v>
      </c>
      <c r="BK347" s="98" t="s">
        <v>120</v>
      </c>
      <c r="BL347" s="13" t="s">
        <v>190</v>
      </c>
      <c r="BM347" s="14" t="s">
        <v>935</v>
      </c>
      <c r="BN347" s="46" t="s">
        <v>1025</v>
      </c>
      <c r="BO347" s="179" t="s">
        <v>1147</v>
      </c>
      <c r="BP347" s="92"/>
      <c r="BQ347" s="93"/>
      <c r="BR347" s="93"/>
      <c r="BS347" s="94"/>
      <c r="BT347" s="93"/>
      <c r="BU347" s="93"/>
      <c r="BV347" s="93"/>
      <c r="BW347" s="93"/>
      <c r="BX347" s="93"/>
      <c r="BY347" s="93"/>
      <c r="BZ347" s="93"/>
      <c r="CA347" s="93"/>
      <c r="CB347" s="93"/>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93"/>
      <c r="DX347" s="93"/>
      <c r="DY347" s="93"/>
      <c r="DZ347" s="93"/>
      <c r="EA347" s="93"/>
      <c r="EB347" s="93"/>
      <c r="EC347" s="93"/>
      <c r="ED347" s="93"/>
      <c r="EE347" s="93"/>
      <c r="EF347" s="93"/>
      <c r="EG347" s="93"/>
      <c r="EH347" s="93"/>
      <c r="EI347" s="93"/>
      <c r="EJ347" s="93"/>
      <c r="EK347" s="93"/>
      <c r="EL347" s="93"/>
      <c r="EM347" s="93"/>
      <c r="EN347" s="93"/>
      <c r="EO347" s="93"/>
      <c r="EP347" s="93"/>
      <c r="EQ347" s="93"/>
      <c r="ER347" s="93"/>
      <c r="ES347" s="93"/>
      <c r="ET347" s="93"/>
      <c r="EU347" s="93"/>
      <c r="EV347" s="93"/>
      <c r="EW347" s="93"/>
      <c r="EX347" s="93"/>
      <c r="EY347" s="93"/>
      <c r="EZ347" s="93"/>
      <c r="FA347" s="93"/>
      <c r="FB347" s="93"/>
      <c r="FC347" s="93"/>
      <c r="FD347" s="93"/>
      <c r="FE347" s="93"/>
      <c r="FF347" s="93"/>
      <c r="FG347" s="93"/>
      <c r="FH347" s="93"/>
      <c r="FI347" s="93"/>
      <c r="FJ347" s="93"/>
      <c r="FK347" s="93"/>
      <c r="FL347" s="93"/>
      <c r="FM347" s="93"/>
      <c r="FN347" s="93"/>
      <c r="FO347" s="93"/>
      <c r="FP347" s="93"/>
      <c r="FQ347" s="93"/>
      <c r="FR347" s="93"/>
      <c r="FS347" s="93"/>
      <c r="FT347" s="93"/>
      <c r="FU347" s="93"/>
      <c r="FV347" s="93"/>
      <c r="FW347" s="93"/>
      <c r="FX347" s="93"/>
      <c r="FY347" s="93"/>
      <c r="FZ347" s="93"/>
      <c r="GA347" s="93"/>
      <c r="GB347" s="93"/>
      <c r="GC347" s="93"/>
      <c r="GD347" s="93"/>
      <c r="GE347" s="93"/>
      <c r="GF347" s="93"/>
      <c r="GG347" s="93"/>
      <c r="GH347" s="93"/>
      <c r="GI347" s="93"/>
      <c r="GJ347" s="93"/>
      <c r="GK347" s="93"/>
      <c r="GL347" s="93"/>
      <c r="GM347" s="93"/>
      <c r="GN347" s="93"/>
      <c r="GO347" s="93"/>
      <c r="GP347" s="93"/>
      <c r="GQ347" s="93"/>
      <c r="GR347" s="93"/>
      <c r="GS347" s="93"/>
      <c r="GT347" s="93"/>
      <c r="GU347" s="93"/>
      <c r="GV347" s="93"/>
      <c r="GW347" s="93"/>
      <c r="GX347" s="93"/>
      <c r="GY347" s="93"/>
      <c r="GZ347" s="93"/>
      <c r="HA347" s="93"/>
      <c r="HB347" s="93"/>
      <c r="HC347" s="93"/>
      <c r="HD347" s="93"/>
      <c r="HE347" s="93"/>
      <c r="HF347" s="93"/>
      <c r="HG347" s="93"/>
      <c r="HH347" s="93"/>
      <c r="HI347" s="93"/>
      <c r="HJ347" s="93"/>
      <c r="HK347" s="93"/>
      <c r="HL347" s="93"/>
      <c r="HM347" s="93"/>
      <c r="HN347" s="93"/>
      <c r="HO347" s="93"/>
      <c r="HP347" s="93"/>
      <c r="HQ347" s="93"/>
      <c r="HR347" s="93"/>
      <c r="HS347" s="93"/>
      <c r="HT347" s="93"/>
      <c r="HU347" s="93"/>
      <c r="HV347" s="93"/>
      <c r="HW347" s="93"/>
      <c r="HX347" s="93"/>
      <c r="HY347" s="93"/>
      <c r="HZ347" s="93"/>
      <c r="IA347" s="93"/>
      <c r="IB347" s="93"/>
      <c r="IC347" s="93"/>
      <c r="ID347" s="93"/>
      <c r="IE347" s="93"/>
      <c r="IF347" s="93"/>
    </row>
    <row r="348" spans="1:240" ht="62.25">
      <c r="A348" s="71">
        <f t="shared" si="108"/>
        <v>230</v>
      </c>
      <c r="B348" s="118" t="s">
        <v>711</v>
      </c>
      <c r="C348" s="42" t="s">
        <v>65</v>
      </c>
      <c r="D348" s="46" t="s">
        <v>54</v>
      </c>
      <c r="E348" s="97">
        <f t="shared" si="104"/>
        <v>0.14</v>
      </c>
      <c r="F348" s="45">
        <v>0.04</v>
      </c>
      <c r="G348" s="5">
        <f t="shared" si="105"/>
        <v>0.1</v>
      </c>
      <c r="H348" s="46">
        <v>0</v>
      </c>
      <c r="I348" s="46">
        <v>0</v>
      </c>
      <c r="J348" s="46">
        <v>0</v>
      </c>
      <c r="K348" s="46">
        <v>0.03</v>
      </c>
      <c r="L348" s="46">
        <v>0.05</v>
      </c>
      <c r="M348" s="46">
        <v>0</v>
      </c>
      <c r="N348" s="46">
        <v>0</v>
      </c>
      <c r="O348" s="46">
        <v>0</v>
      </c>
      <c r="P348" s="46">
        <v>0</v>
      </c>
      <c r="Q348" s="46">
        <v>0</v>
      </c>
      <c r="R348" s="46">
        <v>0</v>
      </c>
      <c r="S348" s="46">
        <v>0</v>
      </c>
      <c r="T348" s="46">
        <v>0</v>
      </c>
      <c r="U348" s="46">
        <v>0</v>
      </c>
      <c r="V348" s="46">
        <v>0</v>
      </c>
      <c r="W348" s="46">
        <v>0</v>
      </c>
      <c r="X348" s="46">
        <v>0</v>
      </c>
      <c r="Y348" s="46">
        <v>0</v>
      </c>
      <c r="Z348" s="46">
        <v>0</v>
      </c>
      <c r="AA348" s="46">
        <v>0</v>
      </c>
      <c r="AB348" s="46">
        <v>0</v>
      </c>
      <c r="AC348" s="46">
        <v>0</v>
      </c>
      <c r="AD348" s="46">
        <v>0</v>
      </c>
      <c r="AE348" s="46">
        <v>0</v>
      </c>
      <c r="AF348" s="46">
        <v>0</v>
      </c>
      <c r="AG348" s="46">
        <v>0</v>
      </c>
      <c r="AH348" s="46">
        <v>0</v>
      </c>
      <c r="AI348" s="46">
        <v>0</v>
      </c>
      <c r="AJ348" s="46">
        <v>0</v>
      </c>
      <c r="AK348" s="46">
        <v>0</v>
      </c>
      <c r="AL348" s="46">
        <v>0</v>
      </c>
      <c r="AM348" s="46">
        <v>0</v>
      </c>
      <c r="AN348" s="46">
        <v>0</v>
      </c>
      <c r="AO348" s="46">
        <v>0</v>
      </c>
      <c r="AP348" s="46">
        <v>0</v>
      </c>
      <c r="AQ348" s="46">
        <v>0</v>
      </c>
      <c r="AR348" s="46">
        <v>0</v>
      </c>
      <c r="AS348" s="46">
        <v>0</v>
      </c>
      <c r="AT348" s="46">
        <v>0</v>
      </c>
      <c r="AU348" s="46">
        <v>0.02</v>
      </c>
      <c r="AV348" s="46">
        <v>0</v>
      </c>
      <c r="AW348" s="46">
        <v>0</v>
      </c>
      <c r="AX348" s="46">
        <v>0</v>
      </c>
      <c r="AY348" s="46">
        <v>0</v>
      </c>
      <c r="AZ348" s="46">
        <v>0</v>
      </c>
      <c r="BA348" s="46">
        <v>0</v>
      </c>
      <c r="BB348" s="46">
        <v>0</v>
      </c>
      <c r="BC348" s="46">
        <v>0</v>
      </c>
      <c r="BD348" s="46">
        <v>0</v>
      </c>
      <c r="BE348" s="46">
        <v>0</v>
      </c>
      <c r="BF348" s="46">
        <v>0</v>
      </c>
      <c r="BG348" s="46">
        <v>0</v>
      </c>
      <c r="BH348" s="10" t="s">
        <v>712</v>
      </c>
      <c r="BI348" s="42" t="s">
        <v>65</v>
      </c>
      <c r="BJ348" s="4" t="s">
        <v>713</v>
      </c>
      <c r="BK348" s="46" t="s">
        <v>120</v>
      </c>
      <c r="BL348" s="13" t="s">
        <v>923</v>
      </c>
      <c r="BM348" s="14" t="s">
        <v>935</v>
      </c>
      <c r="BN348" s="46" t="s">
        <v>1024</v>
      </c>
      <c r="BO348" s="179" t="s">
        <v>1147</v>
      </c>
      <c r="BP348" s="92"/>
      <c r="BQ348" s="93"/>
      <c r="BR348" s="93"/>
      <c r="BS348" s="94"/>
      <c r="BT348" s="93"/>
      <c r="BU348" s="93"/>
      <c r="BV348" s="93"/>
      <c r="BW348" s="93"/>
      <c r="BX348" s="93"/>
      <c r="BY348" s="93"/>
      <c r="BZ348" s="93"/>
      <c r="CA348" s="93"/>
      <c r="CB348" s="93"/>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93"/>
      <c r="DX348" s="93"/>
      <c r="DY348" s="93"/>
      <c r="DZ348" s="93"/>
      <c r="EA348" s="93"/>
      <c r="EB348" s="93"/>
      <c r="EC348" s="93"/>
      <c r="ED348" s="93"/>
      <c r="EE348" s="93"/>
      <c r="EF348" s="93"/>
      <c r="EG348" s="93"/>
      <c r="EH348" s="93"/>
      <c r="EI348" s="93"/>
      <c r="EJ348" s="93"/>
      <c r="EK348" s="93"/>
      <c r="EL348" s="93"/>
      <c r="EM348" s="93"/>
      <c r="EN348" s="93"/>
      <c r="EO348" s="93"/>
      <c r="EP348" s="93"/>
      <c r="EQ348" s="93"/>
      <c r="ER348" s="93"/>
      <c r="ES348" s="93"/>
      <c r="ET348" s="93"/>
      <c r="EU348" s="93"/>
      <c r="EV348" s="93"/>
      <c r="EW348" s="93"/>
      <c r="EX348" s="93"/>
      <c r="EY348" s="93"/>
      <c r="EZ348" s="93"/>
      <c r="FA348" s="93"/>
      <c r="FB348" s="93"/>
      <c r="FC348" s="93"/>
      <c r="FD348" s="93"/>
      <c r="FE348" s="93"/>
      <c r="FF348" s="93"/>
      <c r="FG348" s="93"/>
      <c r="FH348" s="93"/>
      <c r="FI348" s="93"/>
      <c r="FJ348" s="93"/>
      <c r="FK348" s="93"/>
      <c r="FL348" s="93"/>
      <c r="FM348" s="93"/>
      <c r="FN348" s="93"/>
      <c r="FO348" s="93"/>
      <c r="FP348" s="93"/>
      <c r="FQ348" s="93"/>
      <c r="FR348" s="93"/>
      <c r="FS348" s="93"/>
      <c r="FT348" s="93"/>
      <c r="FU348" s="93"/>
      <c r="FV348" s="93"/>
      <c r="FW348" s="93"/>
      <c r="FX348" s="93"/>
      <c r="FY348" s="93"/>
      <c r="FZ348" s="93"/>
      <c r="GA348" s="93"/>
      <c r="GB348" s="93"/>
      <c r="GC348" s="93"/>
      <c r="GD348" s="93"/>
      <c r="GE348" s="93"/>
      <c r="GF348" s="93"/>
      <c r="GG348" s="93"/>
      <c r="GH348" s="93"/>
      <c r="GI348" s="93"/>
      <c r="GJ348" s="93"/>
      <c r="GK348" s="93"/>
      <c r="GL348" s="93"/>
      <c r="GM348" s="93"/>
      <c r="GN348" s="93"/>
      <c r="GO348" s="93"/>
      <c r="GP348" s="93"/>
      <c r="GQ348" s="93"/>
      <c r="GR348" s="93"/>
      <c r="GS348" s="93"/>
      <c r="GT348" s="93"/>
      <c r="GU348" s="93"/>
      <c r="GV348" s="93"/>
      <c r="GW348" s="93"/>
      <c r="GX348" s="93"/>
      <c r="GY348" s="93"/>
      <c r="GZ348" s="93"/>
      <c r="HA348" s="93"/>
      <c r="HB348" s="93"/>
      <c r="HC348" s="93"/>
      <c r="HD348" s="93"/>
      <c r="HE348" s="93"/>
      <c r="HF348" s="93"/>
      <c r="HG348" s="93"/>
      <c r="HH348" s="93"/>
      <c r="HI348" s="93"/>
      <c r="HJ348" s="93"/>
      <c r="HK348" s="93"/>
      <c r="HL348" s="93"/>
      <c r="HM348" s="93"/>
      <c r="HN348" s="93"/>
      <c r="HO348" s="93"/>
      <c r="HP348" s="93"/>
      <c r="HQ348" s="93"/>
      <c r="HR348" s="93"/>
      <c r="HS348" s="93"/>
      <c r="HT348" s="93"/>
      <c r="HU348" s="93"/>
      <c r="HV348" s="93"/>
      <c r="HW348" s="93"/>
      <c r="HX348" s="93"/>
      <c r="HY348" s="93"/>
      <c r="HZ348" s="93"/>
      <c r="IA348" s="93"/>
      <c r="IB348" s="93"/>
      <c r="IC348" s="93"/>
      <c r="ID348" s="93"/>
      <c r="IE348" s="93"/>
      <c r="IF348" s="93"/>
    </row>
    <row r="349" spans="1:240" ht="46.5">
      <c r="A349" s="71">
        <f t="shared" si="108"/>
        <v>231</v>
      </c>
      <c r="B349" s="118" t="s">
        <v>927</v>
      </c>
      <c r="C349" s="14" t="s">
        <v>147</v>
      </c>
      <c r="D349" s="46" t="s">
        <v>54</v>
      </c>
      <c r="E349" s="97">
        <f t="shared" si="104"/>
        <v>0.04</v>
      </c>
      <c r="F349" s="45"/>
      <c r="G349" s="5">
        <f t="shared" si="105"/>
        <v>0.04</v>
      </c>
      <c r="H349" s="46">
        <v>0</v>
      </c>
      <c r="I349" s="46">
        <v>0</v>
      </c>
      <c r="J349" s="46">
        <v>0</v>
      </c>
      <c r="K349" s="46">
        <v>0.04</v>
      </c>
      <c r="L349" s="46">
        <v>0</v>
      </c>
      <c r="M349" s="46">
        <v>0</v>
      </c>
      <c r="N349" s="46">
        <v>0</v>
      </c>
      <c r="O349" s="46">
        <v>0</v>
      </c>
      <c r="P349" s="46">
        <v>0</v>
      </c>
      <c r="Q349" s="46">
        <v>0</v>
      </c>
      <c r="R349" s="46">
        <v>0</v>
      </c>
      <c r="S349" s="46">
        <v>0</v>
      </c>
      <c r="T349" s="46">
        <v>0</v>
      </c>
      <c r="U349" s="46">
        <v>0</v>
      </c>
      <c r="V349" s="46">
        <v>0</v>
      </c>
      <c r="W349" s="46">
        <v>0</v>
      </c>
      <c r="X349" s="46">
        <v>0</v>
      </c>
      <c r="Y349" s="46">
        <v>0</v>
      </c>
      <c r="Z349" s="46">
        <v>0</v>
      </c>
      <c r="AA349" s="46">
        <v>0</v>
      </c>
      <c r="AB349" s="46">
        <v>0</v>
      </c>
      <c r="AC349" s="46">
        <v>0</v>
      </c>
      <c r="AD349" s="46">
        <v>0</v>
      </c>
      <c r="AE349" s="46">
        <v>0</v>
      </c>
      <c r="AF349" s="46">
        <v>0</v>
      </c>
      <c r="AG349" s="46">
        <v>0</v>
      </c>
      <c r="AH349" s="46">
        <v>0</v>
      </c>
      <c r="AI349" s="46">
        <v>0</v>
      </c>
      <c r="AJ349" s="46"/>
      <c r="AK349" s="46">
        <v>0</v>
      </c>
      <c r="AL349" s="46"/>
      <c r="AM349" s="46">
        <v>0</v>
      </c>
      <c r="AN349" s="46">
        <v>0</v>
      </c>
      <c r="AO349" s="46">
        <v>0</v>
      </c>
      <c r="AP349" s="46">
        <v>0</v>
      </c>
      <c r="AQ349" s="46">
        <v>0</v>
      </c>
      <c r="AR349" s="46">
        <v>0</v>
      </c>
      <c r="AS349" s="46">
        <v>0</v>
      </c>
      <c r="AT349" s="46">
        <v>0</v>
      </c>
      <c r="AU349" s="46">
        <v>0</v>
      </c>
      <c r="AV349" s="46">
        <v>0</v>
      </c>
      <c r="AW349" s="46">
        <v>0</v>
      </c>
      <c r="AX349" s="46">
        <v>0</v>
      </c>
      <c r="AY349" s="46">
        <v>0</v>
      </c>
      <c r="AZ349" s="46">
        <v>0</v>
      </c>
      <c r="BA349" s="46">
        <v>0</v>
      </c>
      <c r="BB349" s="46">
        <v>0</v>
      </c>
      <c r="BC349" s="46">
        <v>0</v>
      </c>
      <c r="BD349" s="46">
        <v>0</v>
      </c>
      <c r="BE349" s="46">
        <v>0</v>
      </c>
      <c r="BF349" s="46">
        <v>0</v>
      </c>
      <c r="BG349" s="46">
        <v>0</v>
      </c>
      <c r="BH349" s="135" t="s">
        <v>925</v>
      </c>
      <c r="BI349" s="14" t="s">
        <v>147</v>
      </c>
      <c r="BJ349" s="46" t="s">
        <v>926</v>
      </c>
      <c r="BK349" s="46" t="s">
        <v>120</v>
      </c>
      <c r="BL349" s="13" t="s">
        <v>190</v>
      </c>
      <c r="BM349" s="14" t="s">
        <v>935</v>
      </c>
      <c r="BN349" s="46" t="s">
        <v>1025</v>
      </c>
      <c r="BO349" s="179" t="s">
        <v>1147</v>
      </c>
      <c r="BP349" s="92"/>
      <c r="BQ349" s="93"/>
      <c r="BR349" s="93"/>
      <c r="BS349" s="94"/>
      <c r="BT349" s="93"/>
      <c r="BU349" s="93"/>
      <c r="BV349" s="93"/>
      <c r="BW349" s="93"/>
      <c r="BX349" s="93"/>
      <c r="BY349" s="93"/>
      <c r="BZ349" s="93"/>
      <c r="CA349" s="93"/>
      <c r="CB349" s="93"/>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3"/>
      <c r="EN349" s="93"/>
      <c r="EO349" s="93"/>
      <c r="EP349" s="93"/>
      <c r="EQ349" s="93"/>
      <c r="ER349" s="93"/>
      <c r="ES349" s="93"/>
      <c r="ET349" s="93"/>
      <c r="EU349" s="93"/>
      <c r="EV349" s="93"/>
      <c r="EW349" s="93"/>
      <c r="EX349" s="93"/>
      <c r="EY349" s="93"/>
      <c r="EZ349" s="93"/>
      <c r="FA349" s="93"/>
      <c r="FB349" s="93"/>
      <c r="FC349" s="93"/>
      <c r="FD349" s="93"/>
      <c r="FE349" s="93"/>
      <c r="FF349" s="93"/>
      <c r="FG349" s="93"/>
      <c r="FH349" s="93"/>
      <c r="FI349" s="93"/>
      <c r="FJ349" s="93"/>
      <c r="FK349" s="93"/>
      <c r="FL349" s="93"/>
      <c r="FM349" s="93"/>
      <c r="FN349" s="93"/>
      <c r="FO349" s="93"/>
      <c r="FP349" s="93"/>
      <c r="FQ349" s="93"/>
      <c r="FR349" s="93"/>
      <c r="FS349" s="93"/>
      <c r="FT349" s="93"/>
      <c r="FU349" s="93"/>
      <c r="FV349" s="93"/>
      <c r="FW349" s="93"/>
      <c r="FX349" s="93"/>
      <c r="FY349" s="93"/>
      <c r="FZ349" s="93"/>
      <c r="GA349" s="93"/>
      <c r="GB349" s="93"/>
      <c r="GC349" s="93"/>
      <c r="GD349" s="93"/>
      <c r="GE349" s="93"/>
      <c r="GF349" s="93"/>
      <c r="GG349" s="93"/>
      <c r="GH349" s="93"/>
      <c r="GI349" s="93"/>
      <c r="GJ349" s="93"/>
      <c r="GK349" s="93"/>
      <c r="GL349" s="93"/>
      <c r="GM349" s="93"/>
      <c r="GN349" s="93"/>
      <c r="GO349" s="93"/>
      <c r="GP349" s="93"/>
      <c r="GQ349" s="93"/>
      <c r="GR349" s="93"/>
      <c r="GS349" s="93"/>
      <c r="GT349" s="93"/>
      <c r="GU349" s="93"/>
      <c r="GV349" s="93"/>
      <c r="GW349" s="93"/>
      <c r="GX349" s="93"/>
      <c r="GY349" s="93"/>
      <c r="GZ349" s="93"/>
      <c r="HA349" s="93"/>
      <c r="HB349" s="93"/>
      <c r="HC349" s="93"/>
      <c r="HD349" s="93"/>
      <c r="HE349" s="93"/>
      <c r="HF349" s="93"/>
      <c r="HG349" s="93"/>
      <c r="HH349" s="93"/>
      <c r="HI349" s="93"/>
      <c r="HJ349" s="93"/>
      <c r="HK349" s="93"/>
      <c r="HL349" s="93"/>
      <c r="HM349" s="93"/>
      <c r="HN349" s="93"/>
      <c r="HO349" s="93"/>
      <c r="HP349" s="93"/>
      <c r="HQ349" s="93"/>
      <c r="HR349" s="93"/>
      <c r="HS349" s="93"/>
      <c r="HT349" s="93"/>
      <c r="HU349" s="93"/>
      <c r="HV349" s="93"/>
      <c r="HW349" s="93"/>
      <c r="HX349" s="93"/>
      <c r="HY349" s="93"/>
      <c r="HZ349" s="93"/>
      <c r="IA349" s="93"/>
      <c r="IB349" s="93"/>
      <c r="IC349" s="93"/>
      <c r="ID349" s="93"/>
      <c r="IE349" s="93"/>
      <c r="IF349" s="93"/>
    </row>
    <row r="350" spans="1:240" ht="93">
      <c r="A350" s="71">
        <f t="shared" si="108"/>
        <v>232</v>
      </c>
      <c r="B350" s="118" t="s">
        <v>714</v>
      </c>
      <c r="C350" s="46" t="s">
        <v>150</v>
      </c>
      <c r="D350" s="46" t="s">
        <v>54</v>
      </c>
      <c r="E350" s="97">
        <f t="shared" si="104"/>
        <v>0.15000000000000002</v>
      </c>
      <c r="F350" s="88"/>
      <c r="G350" s="5">
        <f t="shared" si="105"/>
        <v>0.15000000000000002</v>
      </c>
      <c r="H350" s="46">
        <v>0</v>
      </c>
      <c r="I350" s="46">
        <v>0</v>
      </c>
      <c r="J350" s="46">
        <v>0</v>
      </c>
      <c r="K350" s="46">
        <v>0.02</v>
      </c>
      <c r="L350" s="46">
        <v>0</v>
      </c>
      <c r="M350" s="46">
        <v>0</v>
      </c>
      <c r="N350" s="46">
        <v>0</v>
      </c>
      <c r="O350" s="46">
        <v>0</v>
      </c>
      <c r="P350" s="46">
        <v>0</v>
      </c>
      <c r="Q350" s="46">
        <v>0</v>
      </c>
      <c r="R350" s="46">
        <v>0</v>
      </c>
      <c r="S350" s="46">
        <v>0</v>
      </c>
      <c r="T350" s="46">
        <v>0</v>
      </c>
      <c r="U350" s="46">
        <v>0.1</v>
      </c>
      <c r="V350" s="46">
        <v>0.05</v>
      </c>
      <c r="W350" s="46">
        <v>0.05</v>
      </c>
      <c r="X350" s="46">
        <v>0</v>
      </c>
      <c r="Y350" s="46">
        <v>0</v>
      </c>
      <c r="Z350" s="46">
        <v>0</v>
      </c>
      <c r="AA350" s="46">
        <v>0</v>
      </c>
      <c r="AB350" s="46">
        <v>0</v>
      </c>
      <c r="AC350" s="46">
        <v>0</v>
      </c>
      <c r="AD350" s="46">
        <v>0</v>
      </c>
      <c r="AE350" s="46">
        <v>0</v>
      </c>
      <c r="AF350" s="46">
        <v>0</v>
      </c>
      <c r="AG350" s="46">
        <v>0</v>
      </c>
      <c r="AH350" s="46">
        <v>0</v>
      </c>
      <c r="AI350" s="46">
        <v>0</v>
      </c>
      <c r="AJ350" s="46">
        <v>0</v>
      </c>
      <c r="AK350" s="46">
        <v>0</v>
      </c>
      <c r="AL350" s="46">
        <v>0</v>
      </c>
      <c r="AM350" s="46">
        <v>0</v>
      </c>
      <c r="AN350" s="46">
        <v>0</v>
      </c>
      <c r="AO350" s="46">
        <v>0</v>
      </c>
      <c r="AP350" s="46">
        <v>0</v>
      </c>
      <c r="AQ350" s="46">
        <v>0</v>
      </c>
      <c r="AR350" s="46">
        <v>0</v>
      </c>
      <c r="AS350" s="46">
        <v>0</v>
      </c>
      <c r="AT350" s="46">
        <v>0.03</v>
      </c>
      <c r="AU350" s="46">
        <v>0</v>
      </c>
      <c r="AV350" s="46">
        <v>0</v>
      </c>
      <c r="AW350" s="46">
        <v>0</v>
      </c>
      <c r="AX350" s="46">
        <v>0</v>
      </c>
      <c r="AY350" s="46">
        <v>0</v>
      </c>
      <c r="AZ350" s="46">
        <v>0</v>
      </c>
      <c r="BA350" s="46">
        <v>0</v>
      </c>
      <c r="BB350" s="46">
        <v>0</v>
      </c>
      <c r="BC350" s="46">
        <v>0</v>
      </c>
      <c r="BD350" s="46">
        <v>0</v>
      </c>
      <c r="BE350" s="46">
        <v>0</v>
      </c>
      <c r="BF350" s="46">
        <v>0</v>
      </c>
      <c r="BG350" s="46">
        <v>0</v>
      </c>
      <c r="BH350" s="46" t="s">
        <v>715</v>
      </c>
      <c r="BI350" s="46" t="s">
        <v>150</v>
      </c>
      <c r="BJ350" s="46" t="s">
        <v>716</v>
      </c>
      <c r="BK350" s="98" t="s">
        <v>120</v>
      </c>
      <c r="BL350" s="13" t="s">
        <v>190</v>
      </c>
      <c r="BM350" s="14" t="s">
        <v>940</v>
      </c>
      <c r="BN350" s="46" t="s">
        <v>1024</v>
      </c>
      <c r="BO350" s="179" t="s">
        <v>1147</v>
      </c>
      <c r="BP350" s="92"/>
      <c r="BQ350" s="93"/>
      <c r="BR350" s="93"/>
      <c r="BS350" s="94"/>
      <c r="BT350" s="93"/>
      <c r="BU350" s="93"/>
      <c r="BV350" s="93"/>
      <c r="BW350" s="93"/>
      <c r="BX350" s="93"/>
      <c r="BY350" s="93"/>
      <c r="BZ350" s="93"/>
      <c r="CA350" s="93"/>
      <c r="CB350" s="93"/>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93"/>
      <c r="DX350" s="93"/>
      <c r="DY350" s="93"/>
      <c r="DZ350" s="93"/>
      <c r="EA350" s="93"/>
      <c r="EB350" s="93"/>
      <c r="EC350" s="93"/>
      <c r="ED350" s="93"/>
      <c r="EE350" s="93"/>
      <c r="EF350" s="93"/>
      <c r="EG350" s="93"/>
      <c r="EH350" s="93"/>
      <c r="EI350" s="93"/>
      <c r="EJ350" s="93"/>
      <c r="EK350" s="93"/>
      <c r="EL350" s="93"/>
      <c r="EM350" s="93"/>
      <c r="EN350" s="93"/>
      <c r="EO350" s="93"/>
      <c r="EP350" s="93"/>
      <c r="EQ350" s="93"/>
      <c r="ER350" s="93"/>
      <c r="ES350" s="93"/>
      <c r="ET350" s="93"/>
      <c r="EU350" s="93"/>
      <c r="EV350" s="93"/>
      <c r="EW350" s="93"/>
      <c r="EX350" s="93"/>
      <c r="EY350" s="93"/>
      <c r="EZ350" s="93"/>
      <c r="FA350" s="93"/>
      <c r="FB350" s="93"/>
      <c r="FC350" s="93"/>
      <c r="FD350" s="93"/>
      <c r="FE350" s="93"/>
      <c r="FF350" s="93"/>
      <c r="FG350" s="93"/>
      <c r="FH350" s="93"/>
      <c r="FI350" s="93"/>
      <c r="FJ350" s="93"/>
      <c r="FK350" s="93"/>
      <c r="FL350" s="93"/>
      <c r="FM350" s="93"/>
      <c r="FN350" s="93"/>
      <c r="FO350" s="93"/>
      <c r="FP350" s="93"/>
      <c r="FQ350" s="93"/>
      <c r="FR350" s="93"/>
      <c r="FS350" s="93"/>
      <c r="FT350" s="93"/>
      <c r="FU350" s="93"/>
      <c r="FV350" s="93"/>
      <c r="FW350" s="93"/>
      <c r="FX350" s="93"/>
      <c r="FY350" s="93"/>
      <c r="FZ350" s="93"/>
      <c r="GA350" s="93"/>
      <c r="GB350" s="93"/>
      <c r="GC350" s="93"/>
      <c r="GD350" s="93"/>
      <c r="GE350" s="93"/>
      <c r="GF350" s="93"/>
      <c r="GG350" s="93"/>
      <c r="GH350" s="93"/>
      <c r="GI350" s="93"/>
      <c r="GJ350" s="93"/>
      <c r="GK350" s="93"/>
      <c r="GL350" s="93"/>
      <c r="GM350" s="93"/>
      <c r="GN350" s="93"/>
      <c r="GO350" s="93"/>
      <c r="GP350" s="93"/>
      <c r="GQ350" s="93"/>
      <c r="GR350" s="93"/>
      <c r="GS350" s="93"/>
      <c r="GT350" s="93"/>
      <c r="GU350" s="93"/>
      <c r="GV350" s="93"/>
      <c r="GW350" s="93"/>
      <c r="GX350" s="93"/>
      <c r="GY350" s="93"/>
      <c r="GZ350" s="93"/>
      <c r="HA350" s="93"/>
      <c r="HB350" s="93"/>
      <c r="HC350" s="93"/>
      <c r="HD350" s="93"/>
      <c r="HE350" s="93"/>
      <c r="HF350" s="93"/>
      <c r="HG350" s="93"/>
      <c r="HH350" s="93"/>
      <c r="HI350" s="93"/>
      <c r="HJ350" s="93"/>
      <c r="HK350" s="93"/>
      <c r="HL350" s="93"/>
      <c r="HM350" s="93"/>
      <c r="HN350" s="93"/>
      <c r="HO350" s="93"/>
      <c r="HP350" s="93"/>
      <c r="HQ350" s="93"/>
      <c r="HR350" s="93"/>
      <c r="HS350" s="93"/>
      <c r="HT350" s="93"/>
      <c r="HU350" s="93"/>
      <c r="HV350" s="93"/>
      <c r="HW350" s="93"/>
      <c r="HX350" s="93"/>
      <c r="HY350" s="93"/>
      <c r="HZ350" s="93"/>
      <c r="IA350" s="93"/>
      <c r="IB350" s="93"/>
      <c r="IC350" s="93"/>
      <c r="ID350" s="93"/>
      <c r="IE350" s="93"/>
      <c r="IF350" s="93"/>
    </row>
    <row r="351" spans="1:71" s="93" customFormat="1" ht="46.5">
      <c r="A351" s="71">
        <f t="shared" si="108"/>
        <v>233</v>
      </c>
      <c r="B351" s="118" t="s">
        <v>717</v>
      </c>
      <c r="C351" s="48" t="s">
        <v>99</v>
      </c>
      <c r="D351" s="46" t="s">
        <v>54</v>
      </c>
      <c r="E351" s="97">
        <f t="shared" si="104"/>
        <v>0.08</v>
      </c>
      <c r="F351" s="88"/>
      <c r="G351" s="5">
        <f t="shared" si="105"/>
        <v>0.08</v>
      </c>
      <c r="H351" s="48"/>
      <c r="I351" s="48"/>
      <c r="J351" s="48"/>
      <c r="K351" s="48"/>
      <c r="L351" s="48"/>
      <c r="M351" s="48"/>
      <c r="N351" s="48"/>
      <c r="O351" s="48"/>
      <c r="P351" s="48"/>
      <c r="Q351" s="48"/>
      <c r="R351" s="48"/>
      <c r="S351" s="48"/>
      <c r="T351" s="48"/>
      <c r="U351" s="46"/>
      <c r="V351" s="48"/>
      <c r="W351" s="48"/>
      <c r="X351" s="48"/>
      <c r="Y351" s="48"/>
      <c r="Z351" s="48"/>
      <c r="AA351" s="48"/>
      <c r="AB351" s="48"/>
      <c r="AC351" s="48"/>
      <c r="AD351" s="48"/>
      <c r="AE351" s="48"/>
      <c r="AF351" s="48"/>
      <c r="AG351" s="48"/>
      <c r="AH351" s="48"/>
      <c r="AI351" s="48"/>
      <c r="AJ351" s="48"/>
      <c r="AK351" s="48"/>
      <c r="AL351" s="48">
        <v>0.08</v>
      </c>
      <c r="AM351" s="48"/>
      <c r="AN351" s="48"/>
      <c r="AO351" s="48"/>
      <c r="AP351" s="48"/>
      <c r="AQ351" s="48"/>
      <c r="AR351" s="48"/>
      <c r="AS351" s="48"/>
      <c r="AT351" s="48"/>
      <c r="AU351" s="53"/>
      <c r="AV351" s="53"/>
      <c r="AW351" s="48"/>
      <c r="AX351" s="53"/>
      <c r="AY351" s="48"/>
      <c r="AZ351" s="48"/>
      <c r="BA351" s="48"/>
      <c r="BB351" s="53"/>
      <c r="BC351" s="48"/>
      <c r="BD351" s="53"/>
      <c r="BE351" s="53"/>
      <c r="BF351" s="48"/>
      <c r="BG351" s="53"/>
      <c r="BH351" s="48" t="s">
        <v>718</v>
      </c>
      <c r="BI351" s="48" t="s">
        <v>99</v>
      </c>
      <c r="BJ351" s="48" t="s">
        <v>719</v>
      </c>
      <c r="BK351" s="98" t="s">
        <v>120</v>
      </c>
      <c r="BL351" s="13" t="s">
        <v>190</v>
      </c>
      <c r="BM351" s="14" t="s">
        <v>194</v>
      </c>
      <c r="BN351" s="46" t="s">
        <v>1024</v>
      </c>
      <c r="BO351" s="179" t="s">
        <v>1147</v>
      </c>
      <c r="BP351" s="92"/>
      <c r="BS351" s="94"/>
    </row>
    <row r="352" spans="1:240" ht="38.25" customHeight="1">
      <c r="A352" s="71">
        <f t="shared" si="108"/>
        <v>234</v>
      </c>
      <c r="B352" s="118" t="s">
        <v>720</v>
      </c>
      <c r="C352" s="14" t="s">
        <v>106</v>
      </c>
      <c r="D352" s="46" t="s">
        <v>54</v>
      </c>
      <c r="E352" s="97">
        <f t="shared" si="104"/>
        <v>0.05</v>
      </c>
      <c r="F352" s="88">
        <v>0.02</v>
      </c>
      <c r="G352" s="5">
        <f t="shared" si="105"/>
        <v>0.03</v>
      </c>
      <c r="H352" s="46">
        <v>0</v>
      </c>
      <c r="I352" s="46">
        <v>0</v>
      </c>
      <c r="J352" s="46">
        <v>0</v>
      </c>
      <c r="K352" s="46">
        <v>0.01</v>
      </c>
      <c r="L352" s="46">
        <v>0</v>
      </c>
      <c r="M352" s="46">
        <v>0</v>
      </c>
      <c r="N352" s="46">
        <v>0</v>
      </c>
      <c r="O352" s="46">
        <v>0</v>
      </c>
      <c r="P352" s="46">
        <v>0</v>
      </c>
      <c r="Q352" s="46">
        <v>0</v>
      </c>
      <c r="R352" s="46">
        <v>0</v>
      </c>
      <c r="S352" s="46">
        <v>0</v>
      </c>
      <c r="T352" s="46">
        <v>0</v>
      </c>
      <c r="U352" s="46">
        <v>0.01</v>
      </c>
      <c r="V352" s="46">
        <v>0.01</v>
      </c>
      <c r="W352" s="46">
        <v>0</v>
      </c>
      <c r="X352" s="46">
        <v>0</v>
      </c>
      <c r="Y352" s="46">
        <v>0</v>
      </c>
      <c r="Z352" s="46">
        <v>0</v>
      </c>
      <c r="AA352" s="46">
        <v>0</v>
      </c>
      <c r="AB352" s="46">
        <v>0</v>
      </c>
      <c r="AC352" s="46">
        <v>0</v>
      </c>
      <c r="AD352" s="46">
        <v>0</v>
      </c>
      <c r="AE352" s="46">
        <v>0</v>
      </c>
      <c r="AF352" s="46">
        <v>0</v>
      </c>
      <c r="AG352" s="46">
        <v>0</v>
      </c>
      <c r="AH352" s="46">
        <v>0</v>
      </c>
      <c r="AI352" s="46">
        <v>0</v>
      </c>
      <c r="AJ352" s="46">
        <v>0</v>
      </c>
      <c r="AK352" s="46">
        <v>0</v>
      </c>
      <c r="AL352" s="46">
        <v>0</v>
      </c>
      <c r="AM352" s="46">
        <v>0</v>
      </c>
      <c r="AN352" s="46">
        <v>0</v>
      </c>
      <c r="AO352" s="46">
        <v>0</v>
      </c>
      <c r="AP352" s="46">
        <v>0</v>
      </c>
      <c r="AQ352" s="46">
        <v>0</v>
      </c>
      <c r="AR352" s="46">
        <v>0</v>
      </c>
      <c r="AS352" s="46">
        <v>0</v>
      </c>
      <c r="AT352" s="46">
        <v>0</v>
      </c>
      <c r="AU352" s="46">
        <v>0</v>
      </c>
      <c r="AV352" s="46">
        <v>0</v>
      </c>
      <c r="AW352" s="46">
        <v>0</v>
      </c>
      <c r="AX352" s="46">
        <v>0</v>
      </c>
      <c r="AY352" s="46">
        <v>0</v>
      </c>
      <c r="AZ352" s="46">
        <v>0</v>
      </c>
      <c r="BA352" s="46">
        <v>0</v>
      </c>
      <c r="BB352" s="46">
        <v>0</v>
      </c>
      <c r="BC352" s="46">
        <v>0</v>
      </c>
      <c r="BD352" s="46">
        <v>0</v>
      </c>
      <c r="BE352" s="46">
        <v>0</v>
      </c>
      <c r="BF352" s="46">
        <v>0</v>
      </c>
      <c r="BG352" s="46">
        <v>0.01</v>
      </c>
      <c r="BH352" s="48" t="s">
        <v>721</v>
      </c>
      <c r="BI352" s="14" t="s">
        <v>106</v>
      </c>
      <c r="BJ352" s="46" t="s">
        <v>722</v>
      </c>
      <c r="BK352" s="98" t="s">
        <v>120</v>
      </c>
      <c r="BL352" s="13" t="s">
        <v>190</v>
      </c>
      <c r="BM352" s="14" t="s">
        <v>935</v>
      </c>
      <c r="BN352" s="46" t="s">
        <v>1024</v>
      </c>
      <c r="BO352" s="179" t="s">
        <v>1147</v>
      </c>
      <c r="BP352" s="92"/>
      <c r="BQ352" s="93"/>
      <c r="BR352" s="93"/>
      <c r="BS352" s="94"/>
      <c r="BT352" s="93"/>
      <c r="BU352" s="93"/>
      <c r="BV352" s="93"/>
      <c r="BW352" s="93"/>
      <c r="BX352" s="93"/>
      <c r="BY352" s="93"/>
      <c r="BZ352" s="93"/>
      <c r="CA352" s="93"/>
      <c r="CB352" s="93"/>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93"/>
      <c r="DX352" s="93"/>
      <c r="DY352" s="93"/>
      <c r="DZ352" s="93"/>
      <c r="EA352" s="93"/>
      <c r="EB352" s="93"/>
      <c r="EC352" s="93"/>
      <c r="ED352" s="93"/>
      <c r="EE352" s="93"/>
      <c r="EF352" s="93"/>
      <c r="EG352" s="93"/>
      <c r="EH352" s="93"/>
      <c r="EI352" s="93"/>
      <c r="EJ352" s="93"/>
      <c r="EK352" s="93"/>
      <c r="EL352" s="93"/>
      <c r="EM352" s="93"/>
      <c r="EN352" s="93"/>
      <c r="EO352" s="93"/>
      <c r="EP352" s="93"/>
      <c r="EQ352" s="93"/>
      <c r="ER352" s="93"/>
      <c r="ES352" s="93"/>
      <c r="ET352" s="93"/>
      <c r="EU352" s="93"/>
      <c r="EV352" s="93"/>
      <c r="EW352" s="93"/>
      <c r="EX352" s="93"/>
      <c r="EY352" s="93"/>
      <c r="EZ352" s="93"/>
      <c r="FA352" s="93"/>
      <c r="FB352" s="93"/>
      <c r="FC352" s="93"/>
      <c r="FD352" s="93"/>
      <c r="FE352" s="93"/>
      <c r="FF352" s="93"/>
      <c r="FG352" s="93"/>
      <c r="FH352" s="93"/>
      <c r="FI352" s="93"/>
      <c r="FJ352" s="93"/>
      <c r="FK352" s="93"/>
      <c r="FL352" s="93"/>
      <c r="FM352" s="93"/>
      <c r="FN352" s="93"/>
      <c r="FO352" s="93"/>
      <c r="FP352" s="93"/>
      <c r="FQ352" s="93"/>
      <c r="FR352" s="93"/>
      <c r="FS352" s="93"/>
      <c r="FT352" s="93"/>
      <c r="FU352" s="93"/>
      <c r="FV352" s="93"/>
      <c r="FW352" s="93"/>
      <c r="FX352" s="93"/>
      <c r="FY352" s="93"/>
      <c r="FZ352" s="93"/>
      <c r="GA352" s="93"/>
      <c r="GB352" s="93"/>
      <c r="GC352" s="93"/>
      <c r="GD352" s="93"/>
      <c r="GE352" s="93"/>
      <c r="GF352" s="93"/>
      <c r="GG352" s="93"/>
      <c r="GH352" s="93"/>
      <c r="GI352" s="93"/>
      <c r="GJ352" s="93"/>
      <c r="GK352" s="93"/>
      <c r="GL352" s="93"/>
      <c r="GM352" s="93"/>
      <c r="GN352" s="93"/>
      <c r="GO352" s="93"/>
      <c r="GP352" s="93"/>
      <c r="GQ352" s="93"/>
      <c r="GR352" s="93"/>
      <c r="GS352" s="93"/>
      <c r="GT352" s="93"/>
      <c r="GU352" s="93"/>
      <c r="GV352" s="93"/>
      <c r="GW352" s="93"/>
      <c r="GX352" s="93"/>
      <c r="GY352" s="93"/>
      <c r="GZ352" s="93"/>
      <c r="HA352" s="93"/>
      <c r="HB352" s="93"/>
      <c r="HC352" s="93"/>
      <c r="HD352" s="93"/>
      <c r="HE352" s="93"/>
      <c r="HF352" s="93"/>
      <c r="HG352" s="93"/>
      <c r="HH352" s="93"/>
      <c r="HI352" s="93"/>
      <c r="HJ352" s="93"/>
      <c r="HK352" s="93"/>
      <c r="HL352" s="93"/>
      <c r="HM352" s="93"/>
      <c r="HN352" s="93"/>
      <c r="HO352" s="93"/>
      <c r="HP352" s="93"/>
      <c r="HQ352" s="93"/>
      <c r="HR352" s="93"/>
      <c r="HS352" s="93"/>
      <c r="HT352" s="93"/>
      <c r="HU352" s="93"/>
      <c r="HV352" s="93"/>
      <c r="HW352" s="93"/>
      <c r="HX352" s="93"/>
      <c r="HY352" s="93"/>
      <c r="HZ352" s="93"/>
      <c r="IA352" s="93"/>
      <c r="IB352" s="93"/>
      <c r="IC352" s="93"/>
      <c r="ID352" s="93"/>
      <c r="IE352" s="93"/>
      <c r="IF352" s="93"/>
    </row>
    <row r="353" spans="1:240" ht="93">
      <c r="A353" s="71">
        <f t="shared" si="108"/>
        <v>235</v>
      </c>
      <c r="B353" s="118" t="s">
        <v>723</v>
      </c>
      <c r="C353" s="48" t="s">
        <v>154</v>
      </c>
      <c r="D353" s="46" t="s">
        <v>54</v>
      </c>
      <c r="E353" s="97">
        <f t="shared" si="104"/>
        <v>0.35000000000000003</v>
      </c>
      <c r="F353" s="88">
        <v>0.12000000000000001</v>
      </c>
      <c r="G353" s="5">
        <f t="shared" si="105"/>
        <v>0.23000000000000004</v>
      </c>
      <c r="H353" s="88">
        <v>0</v>
      </c>
      <c r="I353" s="88">
        <v>0.02</v>
      </c>
      <c r="J353" s="88">
        <v>0</v>
      </c>
      <c r="K353" s="88">
        <v>0.03</v>
      </c>
      <c r="L353" s="88">
        <v>0.17</v>
      </c>
      <c r="M353" s="88">
        <v>0</v>
      </c>
      <c r="N353" s="88">
        <v>0</v>
      </c>
      <c r="O353" s="88">
        <v>0</v>
      </c>
      <c r="P353" s="88">
        <v>0</v>
      </c>
      <c r="Q353" s="88">
        <v>0</v>
      </c>
      <c r="R353" s="88">
        <v>0</v>
      </c>
      <c r="S353" s="88">
        <v>0</v>
      </c>
      <c r="T353" s="88">
        <v>0</v>
      </c>
      <c r="U353" s="88">
        <v>0</v>
      </c>
      <c r="V353" s="88">
        <v>0</v>
      </c>
      <c r="W353" s="88">
        <v>0</v>
      </c>
      <c r="X353" s="88">
        <v>0</v>
      </c>
      <c r="Y353" s="88">
        <v>0</v>
      </c>
      <c r="Z353" s="88">
        <v>0</v>
      </c>
      <c r="AA353" s="88">
        <v>0</v>
      </c>
      <c r="AB353" s="88">
        <v>0</v>
      </c>
      <c r="AC353" s="88">
        <v>0</v>
      </c>
      <c r="AD353" s="88">
        <v>0</v>
      </c>
      <c r="AE353" s="88">
        <v>0</v>
      </c>
      <c r="AF353" s="88">
        <v>0</v>
      </c>
      <c r="AG353" s="88">
        <v>0</v>
      </c>
      <c r="AH353" s="88">
        <v>0</v>
      </c>
      <c r="AI353" s="88">
        <v>0</v>
      </c>
      <c r="AJ353" s="88">
        <v>0</v>
      </c>
      <c r="AK353" s="88">
        <v>0</v>
      </c>
      <c r="AL353" s="88">
        <v>0</v>
      </c>
      <c r="AM353" s="88">
        <v>0</v>
      </c>
      <c r="AN353" s="88">
        <v>0</v>
      </c>
      <c r="AO353" s="88">
        <v>0</v>
      </c>
      <c r="AP353" s="88">
        <v>0</v>
      </c>
      <c r="AQ353" s="88">
        <v>0</v>
      </c>
      <c r="AR353" s="88">
        <v>0</v>
      </c>
      <c r="AS353" s="88">
        <v>0</v>
      </c>
      <c r="AT353" s="88">
        <v>0</v>
      </c>
      <c r="AU353" s="88">
        <v>0</v>
      </c>
      <c r="AV353" s="88">
        <v>0</v>
      </c>
      <c r="AW353" s="88">
        <v>0</v>
      </c>
      <c r="AX353" s="88">
        <v>0</v>
      </c>
      <c r="AY353" s="88">
        <v>0</v>
      </c>
      <c r="AZ353" s="88">
        <v>0</v>
      </c>
      <c r="BA353" s="88">
        <v>0</v>
      </c>
      <c r="BB353" s="88">
        <v>0</v>
      </c>
      <c r="BC353" s="88">
        <v>0</v>
      </c>
      <c r="BD353" s="88">
        <v>0</v>
      </c>
      <c r="BE353" s="88">
        <v>0</v>
      </c>
      <c r="BF353" s="88">
        <v>0</v>
      </c>
      <c r="BG353" s="88">
        <v>0.01</v>
      </c>
      <c r="BH353" s="48" t="s">
        <v>1008</v>
      </c>
      <c r="BI353" s="48" t="s">
        <v>154</v>
      </c>
      <c r="BJ353" s="48" t="s">
        <v>724</v>
      </c>
      <c r="BK353" s="98" t="s">
        <v>972</v>
      </c>
      <c r="BL353" s="13" t="s">
        <v>190</v>
      </c>
      <c r="BM353" s="14" t="s">
        <v>935</v>
      </c>
      <c r="BN353" s="46" t="s">
        <v>1024</v>
      </c>
      <c r="BO353" s="179" t="s">
        <v>1147</v>
      </c>
      <c r="BP353" s="92"/>
      <c r="BQ353" s="93"/>
      <c r="BR353" s="93"/>
      <c r="BS353" s="94"/>
      <c r="BT353" s="93"/>
      <c r="BU353" s="93"/>
      <c r="BV353" s="93"/>
      <c r="BW353" s="93"/>
      <c r="BX353" s="93"/>
      <c r="BY353" s="93"/>
      <c r="BZ353" s="93"/>
      <c r="CA353" s="93"/>
      <c r="CB353" s="93"/>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93"/>
      <c r="DX353" s="93"/>
      <c r="DY353" s="93"/>
      <c r="DZ353" s="93"/>
      <c r="EA353" s="93"/>
      <c r="EB353" s="93"/>
      <c r="EC353" s="93"/>
      <c r="ED353" s="93"/>
      <c r="EE353" s="93"/>
      <c r="EF353" s="93"/>
      <c r="EG353" s="93"/>
      <c r="EH353" s="93"/>
      <c r="EI353" s="93"/>
      <c r="EJ353" s="93"/>
      <c r="EK353" s="93"/>
      <c r="EL353" s="93"/>
      <c r="EM353" s="93"/>
      <c r="EN353" s="93"/>
      <c r="EO353" s="93"/>
      <c r="EP353" s="93"/>
      <c r="EQ353" s="93"/>
      <c r="ER353" s="93"/>
      <c r="ES353" s="93"/>
      <c r="ET353" s="93"/>
      <c r="EU353" s="93"/>
      <c r="EV353" s="93"/>
      <c r="EW353" s="93"/>
      <c r="EX353" s="93"/>
      <c r="EY353" s="93"/>
      <c r="EZ353" s="93"/>
      <c r="FA353" s="93"/>
      <c r="FB353" s="93"/>
      <c r="FC353" s="93"/>
      <c r="FD353" s="93"/>
      <c r="FE353" s="93"/>
      <c r="FF353" s="93"/>
      <c r="FG353" s="93"/>
      <c r="FH353" s="93"/>
      <c r="FI353" s="93"/>
      <c r="FJ353" s="93"/>
      <c r="FK353" s="93"/>
      <c r="FL353" s="93"/>
      <c r="FM353" s="93"/>
      <c r="FN353" s="93"/>
      <c r="FO353" s="93"/>
      <c r="FP353" s="93"/>
      <c r="FQ353" s="93"/>
      <c r="FR353" s="93"/>
      <c r="FS353" s="93"/>
      <c r="FT353" s="93"/>
      <c r="FU353" s="93"/>
      <c r="FV353" s="93"/>
      <c r="FW353" s="93"/>
      <c r="FX353" s="93"/>
      <c r="FY353" s="93"/>
      <c r="FZ353" s="93"/>
      <c r="GA353" s="93"/>
      <c r="GB353" s="93"/>
      <c r="GC353" s="93"/>
      <c r="GD353" s="93"/>
      <c r="GE353" s="93"/>
      <c r="GF353" s="93"/>
      <c r="GG353" s="93"/>
      <c r="GH353" s="93"/>
      <c r="GI353" s="93"/>
      <c r="GJ353" s="93"/>
      <c r="GK353" s="93"/>
      <c r="GL353" s="93"/>
      <c r="GM353" s="93"/>
      <c r="GN353" s="93"/>
      <c r="GO353" s="93"/>
      <c r="GP353" s="93"/>
      <c r="GQ353" s="93"/>
      <c r="GR353" s="93"/>
      <c r="GS353" s="93"/>
      <c r="GT353" s="93"/>
      <c r="GU353" s="93"/>
      <c r="GV353" s="93"/>
      <c r="GW353" s="93"/>
      <c r="GX353" s="93"/>
      <c r="GY353" s="93"/>
      <c r="GZ353" s="93"/>
      <c r="HA353" s="93"/>
      <c r="HB353" s="93"/>
      <c r="HC353" s="93"/>
      <c r="HD353" s="93"/>
      <c r="HE353" s="93"/>
      <c r="HF353" s="93"/>
      <c r="HG353" s="93"/>
      <c r="HH353" s="93"/>
      <c r="HI353" s="93"/>
      <c r="HJ353" s="93"/>
      <c r="HK353" s="93"/>
      <c r="HL353" s="93"/>
      <c r="HM353" s="93"/>
      <c r="HN353" s="93"/>
      <c r="HO353" s="93"/>
      <c r="HP353" s="93"/>
      <c r="HQ353" s="93"/>
      <c r="HR353" s="93"/>
      <c r="HS353" s="93"/>
      <c r="HT353" s="93"/>
      <c r="HU353" s="93"/>
      <c r="HV353" s="93"/>
      <c r="HW353" s="93"/>
      <c r="HX353" s="93"/>
      <c r="HY353" s="93"/>
      <c r="HZ353" s="93"/>
      <c r="IA353" s="93"/>
      <c r="IB353" s="93"/>
      <c r="IC353" s="93"/>
      <c r="ID353" s="93"/>
      <c r="IE353" s="93"/>
      <c r="IF353" s="93"/>
    </row>
    <row r="354" spans="1:69" ht="15">
      <c r="A354" s="66" t="s">
        <v>725</v>
      </c>
      <c r="B354" s="85" t="s">
        <v>726</v>
      </c>
      <c r="C354" s="46"/>
      <c r="D354" s="36" t="s">
        <v>55</v>
      </c>
      <c r="E354" s="69">
        <f t="shared" si="104"/>
        <v>2.5</v>
      </c>
      <c r="F354" s="69">
        <f>SUM(F355:F363)</f>
        <v>0</v>
      </c>
      <c r="G354" s="69">
        <f>SUM(G355:G363)</f>
        <v>2.5</v>
      </c>
      <c r="H354" s="69">
        <f>SUM(H355:H363)</f>
        <v>0.41000000000000003</v>
      </c>
      <c r="I354" s="69">
        <f aca="true" t="shared" si="109" ref="I354:BG354">SUM(I355:I363)</f>
        <v>0</v>
      </c>
      <c r="J354" s="69">
        <f t="shared" si="109"/>
        <v>0</v>
      </c>
      <c r="K354" s="69">
        <f t="shared" si="109"/>
        <v>0.67</v>
      </c>
      <c r="L354" s="69">
        <f t="shared" si="109"/>
        <v>0.33</v>
      </c>
      <c r="M354" s="69">
        <f t="shared" si="109"/>
        <v>0</v>
      </c>
      <c r="N354" s="69">
        <f t="shared" si="109"/>
        <v>0</v>
      </c>
      <c r="O354" s="69">
        <f t="shared" si="109"/>
        <v>0</v>
      </c>
      <c r="P354" s="69">
        <f t="shared" si="109"/>
        <v>0</v>
      </c>
      <c r="Q354" s="69">
        <f t="shared" si="109"/>
        <v>0</v>
      </c>
      <c r="R354" s="69">
        <f t="shared" si="109"/>
        <v>0</v>
      </c>
      <c r="S354" s="69">
        <f t="shared" si="109"/>
        <v>0</v>
      </c>
      <c r="T354" s="69">
        <f t="shared" si="109"/>
        <v>0</v>
      </c>
      <c r="U354" s="69">
        <f t="shared" si="109"/>
        <v>0.45999999999999996</v>
      </c>
      <c r="V354" s="69">
        <f t="shared" si="109"/>
        <v>0.45999999999999996</v>
      </c>
      <c r="W354" s="69">
        <f t="shared" si="109"/>
        <v>0</v>
      </c>
      <c r="X354" s="69">
        <f t="shared" si="109"/>
        <v>0</v>
      </c>
      <c r="Y354" s="69">
        <f t="shared" si="109"/>
        <v>0.15</v>
      </c>
      <c r="Z354" s="69">
        <f t="shared" si="109"/>
        <v>0</v>
      </c>
      <c r="AA354" s="69">
        <f t="shared" si="109"/>
        <v>0</v>
      </c>
      <c r="AB354" s="69">
        <f t="shared" si="109"/>
        <v>0</v>
      </c>
      <c r="AC354" s="69">
        <f t="shared" si="109"/>
        <v>0</v>
      </c>
      <c r="AD354" s="69">
        <f t="shared" si="109"/>
        <v>0</v>
      </c>
      <c r="AE354" s="69">
        <f t="shared" si="109"/>
        <v>0</v>
      </c>
      <c r="AF354" s="69">
        <f t="shared" si="109"/>
        <v>0.1</v>
      </c>
      <c r="AG354" s="69">
        <f t="shared" si="109"/>
        <v>0</v>
      </c>
      <c r="AH354" s="69">
        <f t="shared" si="109"/>
        <v>0</v>
      </c>
      <c r="AI354" s="69">
        <f t="shared" si="109"/>
        <v>0</v>
      </c>
      <c r="AJ354" s="69">
        <f t="shared" si="109"/>
        <v>0</v>
      </c>
      <c r="AK354" s="69">
        <f t="shared" si="109"/>
        <v>0</v>
      </c>
      <c r="AL354" s="69">
        <f t="shared" si="109"/>
        <v>0.11</v>
      </c>
      <c r="AM354" s="69">
        <f t="shared" si="109"/>
        <v>0.2</v>
      </c>
      <c r="AN354" s="69">
        <f t="shared" si="109"/>
        <v>0</v>
      </c>
      <c r="AO354" s="69">
        <f t="shared" si="109"/>
        <v>0</v>
      </c>
      <c r="AP354" s="69">
        <f t="shared" si="109"/>
        <v>0</v>
      </c>
      <c r="AQ354" s="69">
        <f t="shared" si="109"/>
        <v>0</v>
      </c>
      <c r="AR354" s="69">
        <f t="shared" si="109"/>
        <v>0</v>
      </c>
      <c r="AS354" s="69">
        <f t="shared" si="109"/>
        <v>0</v>
      </c>
      <c r="AT354" s="69">
        <f t="shared" si="109"/>
        <v>0</v>
      </c>
      <c r="AU354" s="69">
        <f t="shared" si="109"/>
        <v>0</v>
      </c>
      <c r="AV354" s="69">
        <f t="shared" si="109"/>
        <v>0</v>
      </c>
      <c r="AW354" s="69">
        <f t="shared" si="109"/>
        <v>0</v>
      </c>
      <c r="AX354" s="69">
        <f t="shared" si="109"/>
        <v>0</v>
      </c>
      <c r="AY354" s="69">
        <f t="shared" si="109"/>
        <v>0</v>
      </c>
      <c r="AZ354" s="69">
        <f t="shared" si="109"/>
        <v>0</v>
      </c>
      <c r="BA354" s="69">
        <f t="shared" si="109"/>
        <v>0</v>
      </c>
      <c r="BB354" s="69">
        <f t="shared" si="109"/>
        <v>0</v>
      </c>
      <c r="BC354" s="69">
        <f t="shared" si="109"/>
        <v>0</v>
      </c>
      <c r="BD354" s="69">
        <f t="shared" si="109"/>
        <v>0</v>
      </c>
      <c r="BE354" s="69">
        <f t="shared" si="109"/>
        <v>0</v>
      </c>
      <c r="BF354" s="69">
        <f t="shared" si="109"/>
        <v>0</v>
      </c>
      <c r="BG354" s="69">
        <f t="shared" si="109"/>
        <v>0.07</v>
      </c>
      <c r="BH354" s="46"/>
      <c r="BI354" s="46"/>
      <c r="BJ354" s="46"/>
      <c r="BK354" s="46"/>
      <c r="BL354" s="46"/>
      <c r="BM354" s="46"/>
      <c r="BN354" s="13"/>
      <c r="BO354" s="15"/>
      <c r="BQ354" s="17"/>
    </row>
    <row r="355" spans="1:71" s="93" customFormat="1" ht="46.5">
      <c r="A355" s="1">
        <f>A353+1</f>
        <v>236</v>
      </c>
      <c r="B355" s="83" t="s">
        <v>727</v>
      </c>
      <c r="C355" s="42" t="s">
        <v>65</v>
      </c>
      <c r="D355" s="4" t="s">
        <v>55</v>
      </c>
      <c r="E355" s="45">
        <f t="shared" si="104"/>
        <v>0.2</v>
      </c>
      <c r="F355" s="45"/>
      <c r="G355" s="5">
        <f aca="true" t="shared" si="110" ref="G355:G363">SUM(H355:M355,Q355,U355,Y355:BG355)</f>
        <v>0.2</v>
      </c>
      <c r="H355" s="10"/>
      <c r="I355" s="10"/>
      <c r="J355" s="10"/>
      <c r="K355" s="10"/>
      <c r="L355" s="10"/>
      <c r="M355" s="10"/>
      <c r="N355" s="10"/>
      <c r="O355" s="10"/>
      <c r="P355" s="10"/>
      <c r="Q355" s="10">
        <f>SUM(R355:T355)</f>
        <v>0</v>
      </c>
      <c r="R355" s="10"/>
      <c r="S355" s="10"/>
      <c r="T355" s="10"/>
      <c r="U355" s="48">
        <f>SUM(V355:X355)</f>
        <v>0</v>
      </c>
      <c r="V355" s="48"/>
      <c r="W355" s="10"/>
      <c r="X355" s="10"/>
      <c r="Y355" s="10"/>
      <c r="Z355" s="10"/>
      <c r="AA355" s="10"/>
      <c r="AB355" s="10"/>
      <c r="AC355" s="10"/>
      <c r="AD355" s="10"/>
      <c r="AE355" s="10"/>
      <c r="AF355" s="10"/>
      <c r="AG355" s="10"/>
      <c r="AH355" s="10"/>
      <c r="AI355" s="10"/>
      <c r="AJ355" s="10"/>
      <c r="AK355" s="10"/>
      <c r="AL355" s="10"/>
      <c r="AM355" s="10">
        <v>0.2</v>
      </c>
      <c r="AN355" s="10"/>
      <c r="AO355" s="10"/>
      <c r="AP355" s="10"/>
      <c r="AQ355" s="10"/>
      <c r="AR355" s="10"/>
      <c r="AS355" s="10"/>
      <c r="AT355" s="10"/>
      <c r="AU355" s="10"/>
      <c r="AV355" s="10"/>
      <c r="AW355" s="10"/>
      <c r="AX355" s="10"/>
      <c r="AY355" s="10"/>
      <c r="AZ355" s="10"/>
      <c r="BA355" s="10"/>
      <c r="BB355" s="10"/>
      <c r="BC355" s="10"/>
      <c r="BD355" s="10"/>
      <c r="BE355" s="10"/>
      <c r="BF355" s="10"/>
      <c r="BG355" s="10"/>
      <c r="BH355" s="10" t="s">
        <v>185</v>
      </c>
      <c r="BI355" s="42" t="s">
        <v>65</v>
      </c>
      <c r="BJ355" s="4" t="s">
        <v>728</v>
      </c>
      <c r="BK355" s="91" t="s">
        <v>120</v>
      </c>
      <c r="BL355" s="13" t="s">
        <v>923</v>
      </c>
      <c r="BM355" s="14" t="s">
        <v>935</v>
      </c>
      <c r="BN355" s="46" t="s">
        <v>1025</v>
      </c>
      <c r="BO355" s="179" t="s">
        <v>1147</v>
      </c>
      <c r="BP355" s="92"/>
      <c r="BS355" s="94"/>
    </row>
    <row r="356" spans="1:69" ht="46.5">
      <c r="A356" s="284">
        <f>A355+1</f>
        <v>237</v>
      </c>
      <c r="B356" s="294" t="s">
        <v>729</v>
      </c>
      <c r="C356" s="46" t="s">
        <v>82</v>
      </c>
      <c r="D356" s="46" t="s">
        <v>55</v>
      </c>
      <c r="E356" s="97">
        <f t="shared" si="104"/>
        <v>0.16</v>
      </c>
      <c r="F356" s="88"/>
      <c r="G356" s="5">
        <f t="shared" si="110"/>
        <v>0.16</v>
      </c>
      <c r="H356" s="46"/>
      <c r="I356" s="46"/>
      <c r="J356" s="46"/>
      <c r="K356" s="46">
        <v>0.05</v>
      </c>
      <c r="L356" s="46"/>
      <c r="M356" s="46"/>
      <c r="N356" s="46"/>
      <c r="O356" s="46"/>
      <c r="P356" s="46"/>
      <c r="Q356" s="46"/>
      <c r="R356" s="46"/>
      <c r="S356" s="46"/>
      <c r="T356" s="46"/>
      <c r="U356" s="48">
        <f aca="true" t="shared" si="111" ref="U356:U362">SUM(V356:X356)</f>
        <v>0</v>
      </c>
      <c r="V356" s="48"/>
      <c r="W356" s="46"/>
      <c r="X356" s="46"/>
      <c r="Y356" s="46"/>
      <c r="Z356" s="46"/>
      <c r="AA356" s="46"/>
      <c r="AB356" s="46"/>
      <c r="AC356" s="46"/>
      <c r="AD356" s="46"/>
      <c r="AE356" s="46"/>
      <c r="AF356" s="46"/>
      <c r="AG356" s="46"/>
      <c r="AH356" s="46"/>
      <c r="AI356" s="46"/>
      <c r="AJ356" s="46"/>
      <c r="AK356" s="46"/>
      <c r="AL356" s="46">
        <v>0.11</v>
      </c>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t="s">
        <v>1011</v>
      </c>
      <c r="BI356" s="46" t="s">
        <v>82</v>
      </c>
      <c r="BJ356" s="46" t="s">
        <v>1012</v>
      </c>
      <c r="BK356" s="12" t="s">
        <v>120</v>
      </c>
      <c r="BL356" s="13" t="s">
        <v>190</v>
      </c>
      <c r="BM356" s="14" t="s">
        <v>194</v>
      </c>
      <c r="BN356" s="13" t="s">
        <v>1025</v>
      </c>
      <c r="BO356" s="15" t="s">
        <v>1147</v>
      </c>
      <c r="BQ356" s="17"/>
    </row>
    <row r="357" spans="1:69" ht="46.5">
      <c r="A357" s="284"/>
      <c r="B357" s="294"/>
      <c r="C357" s="121" t="s">
        <v>134</v>
      </c>
      <c r="D357" s="13" t="s">
        <v>55</v>
      </c>
      <c r="E357" s="5">
        <f t="shared" si="104"/>
        <v>0.2</v>
      </c>
      <c r="F357" s="45"/>
      <c r="G357" s="5">
        <f t="shared" si="110"/>
        <v>0.2</v>
      </c>
      <c r="H357" s="74"/>
      <c r="I357" s="74"/>
      <c r="J357" s="74"/>
      <c r="K357" s="74">
        <v>0.2</v>
      </c>
      <c r="L357" s="74"/>
      <c r="M357" s="74"/>
      <c r="N357" s="74"/>
      <c r="O357" s="74"/>
      <c r="P357" s="74"/>
      <c r="Q357" s="74"/>
      <c r="R357" s="74"/>
      <c r="S357" s="74"/>
      <c r="T357" s="74"/>
      <c r="U357" s="48">
        <f t="shared" si="111"/>
        <v>0</v>
      </c>
      <c r="V357" s="120"/>
      <c r="W357" s="49"/>
      <c r="X357" s="74"/>
      <c r="Y357" s="74"/>
      <c r="Z357" s="74"/>
      <c r="AA357" s="74"/>
      <c r="AB357" s="74"/>
      <c r="AC357" s="74"/>
      <c r="AD357" s="74"/>
      <c r="AE357" s="74"/>
      <c r="AF357" s="74"/>
      <c r="AG357" s="74"/>
      <c r="AH357" s="74"/>
      <c r="AI357" s="74"/>
      <c r="AJ357" s="74"/>
      <c r="AK357" s="74"/>
      <c r="AL357" s="74"/>
      <c r="AM357" s="74"/>
      <c r="AN357" s="74"/>
      <c r="AO357" s="74"/>
      <c r="AP357" s="74"/>
      <c r="AQ357" s="74"/>
      <c r="AR357" s="74"/>
      <c r="AS357" s="74"/>
      <c r="AT357" s="74"/>
      <c r="AU357" s="74"/>
      <c r="AV357" s="74"/>
      <c r="AW357" s="74"/>
      <c r="AX357" s="74"/>
      <c r="AY357" s="74"/>
      <c r="AZ357" s="74"/>
      <c r="BA357" s="74"/>
      <c r="BB357" s="74"/>
      <c r="BC357" s="74"/>
      <c r="BD357" s="74"/>
      <c r="BE357" s="74"/>
      <c r="BF357" s="74"/>
      <c r="BG357" s="74"/>
      <c r="BH357" s="13" t="s">
        <v>1013</v>
      </c>
      <c r="BI357" s="121" t="s">
        <v>134</v>
      </c>
      <c r="BJ357" s="13" t="s">
        <v>1014</v>
      </c>
      <c r="BK357" s="12" t="s">
        <v>374</v>
      </c>
      <c r="BL357" s="13" t="s">
        <v>190</v>
      </c>
      <c r="BM357" s="13" t="s">
        <v>194</v>
      </c>
      <c r="BN357" s="13" t="s">
        <v>1025</v>
      </c>
      <c r="BO357" s="15" t="s">
        <v>1147</v>
      </c>
      <c r="BQ357" s="17"/>
    </row>
    <row r="358" spans="1:69" ht="46.5">
      <c r="A358" s="284"/>
      <c r="B358" s="294"/>
      <c r="C358" s="121" t="s">
        <v>145</v>
      </c>
      <c r="D358" s="13" t="s">
        <v>55</v>
      </c>
      <c r="E358" s="5">
        <f aca="true" t="shared" si="112" ref="E358:E363">F358+G358</f>
        <v>1.1</v>
      </c>
      <c r="F358" s="45"/>
      <c r="G358" s="5">
        <f t="shared" si="110"/>
        <v>1.1</v>
      </c>
      <c r="H358" s="74">
        <f>0.51-0.25</f>
        <v>0.26</v>
      </c>
      <c r="I358" s="74"/>
      <c r="J358" s="74"/>
      <c r="K358" s="74">
        <f>0.12-0.05</f>
        <v>0.06999999999999999</v>
      </c>
      <c r="L358" s="74">
        <f>0.33-0.05</f>
        <v>0.28</v>
      </c>
      <c r="M358" s="74"/>
      <c r="N358" s="74"/>
      <c r="O358" s="74"/>
      <c r="P358" s="74"/>
      <c r="Q358" s="74"/>
      <c r="R358" s="74"/>
      <c r="S358" s="74"/>
      <c r="T358" s="74"/>
      <c r="U358" s="48">
        <f t="shared" si="111"/>
        <v>0.24</v>
      </c>
      <c r="V358" s="120">
        <f>0.29-0.05</f>
        <v>0.24</v>
      </c>
      <c r="W358" s="49"/>
      <c r="X358" s="74"/>
      <c r="Y358" s="74">
        <v>0.15</v>
      </c>
      <c r="Z358" s="74"/>
      <c r="AA358" s="74"/>
      <c r="AB358" s="74"/>
      <c r="AC358" s="74"/>
      <c r="AD358" s="74"/>
      <c r="AE358" s="74"/>
      <c r="AF358" s="74">
        <v>0.1</v>
      </c>
      <c r="AG358" s="74"/>
      <c r="AH358" s="74"/>
      <c r="AI358" s="74"/>
      <c r="AJ358" s="74"/>
      <c r="AK358" s="74"/>
      <c r="AL358" s="74"/>
      <c r="AM358" s="74"/>
      <c r="AN358" s="74"/>
      <c r="AO358" s="74"/>
      <c r="AP358" s="74"/>
      <c r="AQ358" s="74"/>
      <c r="AR358" s="74"/>
      <c r="AS358" s="74"/>
      <c r="AT358" s="74"/>
      <c r="AU358" s="74"/>
      <c r="AV358" s="74"/>
      <c r="AW358" s="74"/>
      <c r="AX358" s="74"/>
      <c r="AY358" s="74"/>
      <c r="AZ358" s="74"/>
      <c r="BA358" s="74"/>
      <c r="BB358" s="74"/>
      <c r="BC358" s="74"/>
      <c r="BD358" s="74"/>
      <c r="BE358" s="74"/>
      <c r="BF358" s="74"/>
      <c r="BG358" s="74"/>
      <c r="BH358" s="10" t="s">
        <v>200</v>
      </c>
      <c r="BI358" s="121" t="s">
        <v>145</v>
      </c>
      <c r="BJ358" s="13" t="s">
        <v>730</v>
      </c>
      <c r="BK358" s="12" t="s">
        <v>374</v>
      </c>
      <c r="BL358" s="13" t="s">
        <v>190</v>
      </c>
      <c r="BM358" s="14" t="s">
        <v>194</v>
      </c>
      <c r="BN358" s="13" t="s">
        <v>1025</v>
      </c>
      <c r="BO358" s="15" t="s">
        <v>1147</v>
      </c>
      <c r="BQ358" s="17"/>
    </row>
    <row r="359" spans="1:69" ht="46.5">
      <c r="A359" s="284"/>
      <c r="B359" s="294"/>
      <c r="C359" s="121" t="s">
        <v>99</v>
      </c>
      <c r="D359" s="13" t="s">
        <v>55</v>
      </c>
      <c r="E359" s="5">
        <f t="shared" si="112"/>
        <v>0.05</v>
      </c>
      <c r="F359" s="45"/>
      <c r="G359" s="5">
        <f t="shared" si="110"/>
        <v>0.05</v>
      </c>
      <c r="H359" s="74"/>
      <c r="I359" s="74"/>
      <c r="J359" s="74"/>
      <c r="K359" s="74"/>
      <c r="L359" s="74">
        <v>0.05</v>
      </c>
      <c r="M359" s="74"/>
      <c r="N359" s="74"/>
      <c r="O359" s="74"/>
      <c r="P359" s="74"/>
      <c r="Q359" s="74"/>
      <c r="R359" s="74"/>
      <c r="S359" s="74"/>
      <c r="T359" s="74"/>
      <c r="U359" s="48">
        <f t="shared" si="111"/>
        <v>0</v>
      </c>
      <c r="V359" s="120"/>
      <c r="W359" s="49"/>
      <c r="X359" s="74"/>
      <c r="Y359" s="74"/>
      <c r="Z359" s="74"/>
      <c r="AA359" s="74"/>
      <c r="AB359" s="74"/>
      <c r="AC359" s="74"/>
      <c r="AD359" s="74"/>
      <c r="AE359" s="74"/>
      <c r="AF359" s="74"/>
      <c r="AG359" s="74"/>
      <c r="AH359" s="74"/>
      <c r="AI359" s="74"/>
      <c r="AJ359" s="74"/>
      <c r="AK359" s="74"/>
      <c r="AL359" s="74"/>
      <c r="AM359" s="74"/>
      <c r="AN359" s="74"/>
      <c r="AO359" s="74"/>
      <c r="AP359" s="74"/>
      <c r="AQ359" s="74"/>
      <c r="AR359" s="74"/>
      <c r="AS359" s="74"/>
      <c r="AT359" s="74"/>
      <c r="AU359" s="74"/>
      <c r="AV359" s="74"/>
      <c r="AW359" s="74"/>
      <c r="AX359" s="74"/>
      <c r="AY359" s="74"/>
      <c r="AZ359" s="74"/>
      <c r="BA359" s="74"/>
      <c r="BB359" s="74"/>
      <c r="BC359" s="74"/>
      <c r="BD359" s="74"/>
      <c r="BE359" s="74"/>
      <c r="BF359" s="74"/>
      <c r="BG359" s="74"/>
      <c r="BH359" s="10" t="s">
        <v>100</v>
      </c>
      <c r="BI359" s="121" t="s">
        <v>99</v>
      </c>
      <c r="BJ359" s="13" t="s">
        <v>954</v>
      </c>
      <c r="BK359" s="12" t="s">
        <v>374</v>
      </c>
      <c r="BL359" s="13" t="s">
        <v>190</v>
      </c>
      <c r="BM359" s="14" t="s">
        <v>194</v>
      </c>
      <c r="BN359" s="13" t="s">
        <v>1025</v>
      </c>
      <c r="BO359" s="15" t="s">
        <v>1147</v>
      </c>
      <c r="BQ359" s="17"/>
    </row>
    <row r="360" spans="1:69" ht="31.5" customHeight="1">
      <c r="A360" s="284"/>
      <c r="B360" s="294"/>
      <c r="C360" s="42" t="s">
        <v>95</v>
      </c>
      <c r="D360" s="4" t="s">
        <v>55</v>
      </c>
      <c r="E360" s="45">
        <f t="shared" si="112"/>
        <v>0.19999999999999998</v>
      </c>
      <c r="F360" s="45"/>
      <c r="G360" s="5">
        <f t="shared" si="110"/>
        <v>0.19999999999999998</v>
      </c>
      <c r="H360" s="88">
        <v>0.15</v>
      </c>
      <c r="I360" s="88"/>
      <c r="J360" s="88"/>
      <c r="K360" s="88">
        <v>0.02</v>
      </c>
      <c r="L360" s="88"/>
      <c r="M360" s="88"/>
      <c r="N360" s="88"/>
      <c r="O360" s="88"/>
      <c r="P360" s="88"/>
      <c r="Q360" s="88"/>
      <c r="R360" s="88"/>
      <c r="S360" s="88"/>
      <c r="T360" s="88"/>
      <c r="U360" s="48">
        <f t="shared" si="111"/>
        <v>0</v>
      </c>
      <c r="V360" s="80"/>
      <c r="W360" s="88"/>
      <c r="X360" s="88"/>
      <c r="Y360" s="88"/>
      <c r="Z360" s="88"/>
      <c r="AA360" s="88"/>
      <c r="AB360" s="88"/>
      <c r="AC360" s="88"/>
      <c r="AD360" s="88"/>
      <c r="AE360" s="88"/>
      <c r="AF360" s="88"/>
      <c r="AG360" s="88"/>
      <c r="AH360" s="88"/>
      <c r="AI360" s="88"/>
      <c r="AJ360" s="88"/>
      <c r="AK360" s="88"/>
      <c r="AL360" s="88"/>
      <c r="AM360" s="88"/>
      <c r="AN360" s="88"/>
      <c r="AO360" s="88"/>
      <c r="AP360" s="88"/>
      <c r="AQ360" s="88"/>
      <c r="AR360" s="88"/>
      <c r="AS360" s="88"/>
      <c r="AT360" s="88"/>
      <c r="AU360" s="88"/>
      <c r="AV360" s="88"/>
      <c r="AW360" s="88"/>
      <c r="AX360" s="88"/>
      <c r="AY360" s="88"/>
      <c r="AZ360" s="88"/>
      <c r="BA360" s="88"/>
      <c r="BB360" s="88"/>
      <c r="BC360" s="88"/>
      <c r="BD360" s="88"/>
      <c r="BE360" s="88"/>
      <c r="BF360" s="88"/>
      <c r="BG360" s="88">
        <v>0.03</v>
      </c>
      <c r="BH360" s="10" t="s">
        <v>96</v>
      </c>
      <c r="BI360" s="42" t="s">
        <v>95</v>
      </c>
      <c r="BJ360" s="4" t="s">
        <v>731</v>
      </c>
      <c r="BK360" s="12" t="s">
        <v>120</v>
      </c>
      <c r="BL360" s="13" t="s">
        <v>190</v>
      </c>
      <c r="BM360" s="14" t="s">
        <v>194</v>
      </c>
      <c r="BN360" s="13" t="s">
        <v>1025</v>
      </c>
      <c r="BO360" s="15" t="s">
        <v>1147</v>
      </c>
      <c r="BQ360" s="17"/>
    </row>
    <row r="361" spans="1:69" ht="46.5">
      <c r="A361" s="284"/>
      <c r="B361" s="294"/>
      <c r="C361" s="14" t="s">
        <v>79</v>
      </c>
      <c r="D361" s="13" t="s">
        <v>55</v>
      </c>
      <c r="E361" s="45">
        <f t="shared" si="112"/>
        <v>0.04</v>
      </c>
      <c r="F361" s="45"/>
      <c r="G361" s="5">
        <f t="shared" si="110"/>
        <v>0.04</v>
      </c>
      <c r="H361" s="49"/>
      <c r="I361" s="49"/>
      <c r="J361" s="74"/>
      <c r="K361" s="49"/>
      <c r="L361" s="49"/>
      <c r="M361" s="49"/>
      <c r="N361" s="49"/>
      <c r="O361" s="49"/>
      <c r="P361" s="74"/>
      <c r="Q361" s="74"/>
      <c r="R361" s="74"/>
      <c r="S361" s="74"/>
      <c r="T361" s="74"/>
      <c r="U361" s="48">
        <f t="shared" si="111"/>
        <v>0</v>
      </c>
      <c r="V361" s="80"/>
      <c r="W361" s="88"/>
      <c r="X361" s="88"/>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v>0.04</v>
      </c>
      <c r="BH361" s="11" t="s">
        <v>72</v>
      </c>
      <c r="BI361" s="14" t="s">
        <v>79</v>
      </c>
      <c r="BJ361" s="135" t="s">
        <v>732</v>
      </c>
      <c r="BK361" s="98" t="s">
        <v>120</v>
      </c>
      <c r="BL361" s="13" t="s">
        <v>190</v>
      </c>
      <c r="BM361" s="13" t="s">
        <v>194</v>
      </c>
      <c r="BN361" s="13" t="s">
        <v>1025</v>
      </c>
      <c r="BO361" s="15" t="s">
        <v>1147</v>
      </c>
      <c r="BQ361" s="17"/>
    </row>
    <row r="362" spans="1:69" ht="46.5">
      <c r="A362" s="284"/>
      <c r="B362" s="294"/>
      <c r="C362" s="14" t="s">
        <v>87</v>
      </c>
      <c r="D362" s="13" t="s">
        <v>55</v>
      </c>
      <c r="E362" s="45">
        <f t="shared" si="112"/>
        <v>0.3</v>
      </c>
      <c r="F362" s="45"/>
      <c r="G362" s="5">
        <f t="shared" si="110"/>
        <v>0.3</v>
      </c>
      <c r="H362" s="49"/>
      <c r="I362" s="49"/>
      <c r="J362" s="74"/>
      <c r="K362" s="49">
        <v>0.08</v>
      </c>
      <c r="L362" s="49"/>
      <c r="M362" s="49"/>
      <c r="N362" s="49"/>
      <c r="O362" s="49"/>
      <c r="P362" s="74"/>
      <c r="Q362" s="74"/>
      <c r="R362" s="74"/>
      <c r="S362" s="74"/>
      <c r="T362" s="74"/>
      <c r="U362" s="48">
        <f t="shared" si="111"/>
        <v>0.22</v>
      </c>
      <c r="V362" s="80">
        <v>0.22</v>
      </c>
      <c r="W362" s="88"/>
      <c r="X362" s="88"/>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11" t="s">
        <v>127</v>
      </c>
      <c r="BI362" s="14" t="s">
        <v>87</v>
      </c>
      <c r="BJ362" s="135" t="s">
        <v>733</v>
      </c>
      <c r="BK362" s="98" t="s">
        <v>120</v>
      </c>
      <c r="BL362" s="13" t="s">
        <v>190</v>
      </c>
      <c r="BM362" s="13" t="s">
        <v>194</v>
      </c>
      <c r="BN362" s="13" t="s">
        <v>1025</v>
      </c>
      <c r="BO362" s="15" t="s">
        <v>1147</v>
      </c>
      <c r="BQ362" s="17"/>
    </row>
    <row r="363" spans="1:69" ht="46.5">
      <c r="A363" s="284"/>
      <c r="B363" s="294"/>
      <c r="C363" s="42" t="s">
        <v>106</v>
      </c>
      <c r="D363" s="6" t="s">
        <v>55</v>
      </c>
      <c r="E363" s="5">
        <f t="shared" si="112"/>
        <v>0.25</v>
      </c>
      <c r="F363" s="73"/>
      <c r="G363" s="5">
        <f t="shared" si="110"/>
        <v>0.25</v>
      </c>
      <c r="H363" s="10"/>
      <c r="I363" s="10"/>
      <c r="J363" s="10"/>
      <c r="K363" s="10">
        <v>0.25</v>
      </c>
      <c r="L363" s="10"/>
      <c r="M363" s="10">
        <f>SUM(N363:P363)</f>
        <v>0</v>
      </c>
      <c r="N363" s="10"/>
      <c r="O363" s="10"/>
      <c r="P363" s="10"/>
      <c r="Q363" s="10"/>
      <c r="R363" s="10"/>
      <c r="S363" s="10"/>
      <c r="T363" s="10"/>
      <c r="U363" s="48">
        <f>SUM(V363:X363)</f>
        <v>0</v>
      </c>
      <c r="V363" s="48"/>
      <c r="W363" s="10"/>
      <c r="X363" s="10"/>
      <c r="Y363" s="10"/>
      <c r="Z363" s="10"/>
      <c r="AA363" s="10"/>
      <c r="AB363" s="10"/>
      <c r="AC363" s="10"/>
      <c r="AD363" s="10"/>
      <c r="AE363" s="8"/>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t="s">
        <v>734</v>
      </c>
      <c r="BI363" s="42" t="s">
        <v>106</v>
      </c>
      <c r="BJ363" s="4" t="s">
        <v>735</v>
      </c>
      <c r="BK363" s="12" t="s">
        <v>120</v>
      </c>
      <c r="BL363" s="13" t="s">
        <v>190</v>
      </c>
      <c r="BM363" s="13" t="s">
        <v>194</v>
      </c>
      <c r="BN363" s="13" t="s">
        <v>1025</v>
      </c>
      <c r="BO363" s="15" t="s">
        <v>1147</v>
      </c>
      <c r="BQ363" s="17"/>
    </row>
    <row r="364" spans="1:71" s="93" customFormat="1" ht="15">
      <c r="A364" s="66" t="s">
        <v>736</v>
      </c>
      <c r="B364" s="85" t="s">
        <v>737</v>
      </c>
      <c r="C364" s="86"/>
      <c r="D364" s="36"/>
      <c r="E364" s="69">
        <f t="shared" si="104"/>
        <v>165.82200000000003</v>
      </c>
      <c r="F364" s="38">
        <f aca="true" t="shared" si="113" ref="F364:AK364">F365+F375+F424+F441+F447+F465</f>
        <v>0.03</v>
      </c>
      <c r="G364" s="38">
        <f t="shared" si="113"/>
        <v>165.79200000000003</v>
      </c>
      <c r="H364" s="38">
        <f t="shared" si="113"/>
        <v>27.82</v>
      </c>
      <c r="I364" s="38">
        <f t="shared" si="113"/>
        <v>11.97</v>
      </c>
      <c r="J364" s="38">
        <f t="shared" si="113"/>
        <v>0</v>
      </c>
      <c r="K364" s="38">
        <f t="shared" si="113"/>
        <v>29.75</v>
      </c>
      <c r="L364" s="38">
        <f t="shared" si="113"/>
        <v>24.32</v>
      </c>
      <c r="M364" s="38">
        <f t="shared" si="113"/>
        <v>0</v>
      </c>
      <c r="N364" s="38">
        <f t="shared" si="113"/>
        <v>0</v>
      </c>
      <c r="O364" s="38">
        <f t="shared" si="113"/>
        <v>0</v>
      </c>
      <c r="P364" s="38">
        <f t="shared" si="113"/>
        <v>0</v>
      </c>
      <c r="Q364" s="38">
        <f t="shared" si="113"/>
        <v>0</v>
      </c>
      <c r="R364" s="38">
        <f t="shared" si="113"/>
        <v>0</v>
      </c>
      <c r="S364" s="38">
        <f t="shared" si="113"/>
        <v>0</v>
      </c>
      <c r="T364" s="38">
        <f t="shared" si="113"/>
        <v>0</v>
      </c>
      <c r="U364" s="38">
        <f t="shared" si="113"/>
        <v>50.461999999999996</v>
      </c>
      <c r="V364" s="38">
        <f t="shared" si="113"/>
        <v>42.662</v>
      </c>
      <c r="W364" s="38">
        <f t="shared" si="113"/>
        <v>6.11</v>
      </c>
      <c r="X364" s="38">
        <f t="shared" si="113"/>
        <v>1.69</v>
      </c>
      <c r="Y364" s="38">
        <f t="shared" si="113"/>
        <v>2.26</v>
      </c>
      <c r="Z364" s="38">
        <f t="shared" si="113"/>
        <v>0</v>
      </c>
      <c r="AA364" s="38">
        <f t="shared" si="113"/>
        <v>0</v>
      </c>
      <c r="AB364" s="38">
        <f t="shared" si="113"/>
        <v>0</v>
      </c>
      <c r="AC364" s="38">
        <f t="shared" si="113"/>
        <v>0.08</v>
      </c>
      <c r="AD364" s="38">
        <f t="shared" si="113"/>
        <v>0.09999999999999999</v>
      </c>
      <c r="AE364" s="38">
        <f t="shared" si="113"/>
        <v>0</v>
      </c>
      <c r="AF364" s="38">
        <f t="shared" si="113"/>
        <v>6.18</v>
      </c>
      <c r="AG364" s="38">
        <f t="shared" si="113"/>
        <v>0.54</v>
      </c>
      <c r="AH364" s="38">
        <f t="shared" si="113"/>
        <v>0</v>
      </c>
      <c r="AI364" s="38">
        <f t="shared" si="113"/>
        <v>0.16</v>
      </c>
      <c r="AJ364" s="38">
        <f t="shared" si="113"/>
        <v>0</v>
      </c>
      <c r="AK364" s="38">
        <f t="shared" si="113"/>
        <v>0.05</v>
      </c>
      <c r="AL364" s="38">
        <f aca="true" t="shared" si="114" ref="AL364:BG364">AL365+AL375+AL424+AL441+AL447+AL465</f>
        <v>0.03</v>
      </c>
      <c r="AM364" s="38">
        <f t="shared" si="114"/>
        <v>0</v>
      </c>
      <c r="AN364" s="38">
        <f t="shared" si="114"/>
        <v>0</v>
      </c>
      <c r="AO364" s="38">
        <f t="shared" si="114"/>
        <v>0</v>
      </c>
      <c r="AP364" s="38">
        <f t="shared" si="114"/>
        <v>0</v>
      </c>
      <c r="AQ364" s="38">
        <f t="shared" si="114"/>
        <v>0</v>
      </c>
      <c r="AR364" s="38">
        <f t="shared" si="114"/>
        <v>0</v>
      </c>
      <c r="AS364" s="38">
        <f t="shared" si="114"/>
        <v>0</v>
      </c>
      <c r="AT364" s="38">
        <f t="shared" si="114"/>
        <v>2.5199999999999996</v>
      </c>
      <c r="AU364" s="38">
        <f t="shared" si="114"/>
        <v>2.24</v>
      </c>
      <c r="AV364" s="38">
        <f t="shared" si="114"/>
        <v>0.03</v>
      </c>
      <c r="AW364" s="38">
        <f t="shared" si="114"/>
        <v>0</v>
      </c>
      <c r="AX364" s="38">
        <f t="shared" si="114"/>
        <v>0</v>
      </c>
      <c r="AY364" s="38">
        <f t="shared" si="114"/>
        <v>0</v>
      </c>
      <c r="AZ364" s="38">
        <f t="shared" si="114"/>
        <v>0</v>
      </c>
      <c r="BA364" s="38">
        <f t="shared" si="114"/>
        <v>0</v>
      </c>
      <c r="BB364" s="38">
        <f t="shared" si="114"/>
        <v>0</v>
      </c>
      <c r="BC364" s="38">
        <f t="shared" si="114"/>
        <v>0</v>
      </c>
      <c r="BD364" s="38">
        <f t="shared" si="114"/>
        <v>2.4899999999999998</v>
      </c>
      <c r="BE364" s="38">
        <f t="shared" si="114"/>
        <v>0</v>
      </c>
      <c r="BF364" s="38">
        <f t="shared" si="114"/>
        <v>0.04</v>
      </c>
      <c r="BG364" s="38">
        <f t="shared" si="114"/>
        <v>4.75</v>
      </c>
      <c r="BH364" s="39"/>
      <c r="BI364" s="86"/>
      <c r="BJ364" s="39"/>
      <c r="BK364" s="39"/>
      <c r="BL364" s="39"/>
      <c r="BM364" s="39"/>
      <c r="BN364" s="46"/>
      <c r="BO364" s="179"/>
      <c r="BP364" s="92"/>
      <c r="BS364" s="94"/>
    </row>
    <row r="365" spans="1:71" s="131" customFormat="1" ht="15">
      <c r="A365" s="39" t="s">
        <v>314</v>
      </c>
      <c r="B365" s="85" t="s">
        <v>738</v>
      </c>
      <c r="C365" s="39"/>
      <c r="D365" s="39"/>
      <c r="E365" s="69">
        <f t="shared" si="104"/>
        <v>27.029999999999994</v>
      </c>
      <c r="F365" s="69">
        <f>SUM(F366,F371)</f>
        <v>0</v>
      </c>
      <c r="G365" s="69">
        <f aca="true" t="shared" si="115" ref="G365:BG365">SUM(G366,G371)</f>
        <v>27.029999999999994</v>
      </c>
      <c r="H365" s="69">
        <f>SUM(H366,H371)</f>
        <v>5.56</v>
      </c>
      <c r="I365" s="69">
        <f t="shared" si="115"/>
        <v>3.7800000000000002</v>
      </c>
      <c r="J365" s="69">
        <f t="shared" si="115"/>
        <v>0</v>
      </c>
      <c r="K365" s="69">
        <f t="shared" si="115"/>
        <v>3.39</v>
      </c>
      <c r="L365" s="69">
        <f t="shared" si="115"/>
        <v>2.3299999999999996</v>
      </c>
      <c r="M365" s="69">
        <f t="shared" si="115"/>
        <v>0</v>
      </c>
      <c r="N365" s="69">
        <f t="shared" si="115"/>
        <v>0</v>
      </c>
      <c r="O365" s="69">
        <f t="shared" si="115"/>
        <v>0</v>
      </c>
      <c r="P365" s="69">
        <f t="shared" si="115"/>
        <v>0</v>
      </c>
      <c r="Q365" s="69">
        <f t="shared" si="115"/>
        <v>0</v>
      </c>
      <c r="R365" s="69">
        <f t="shared" si="115"/>
        <v>0</v>
      </c>
      <c r="S365" s="69">
        <f t="shared" si="115"/>
        <v>0</v>
      </c>
      <c r="T365" s="69">
        <f t="shared" si="115"/>
        <v>0</v>
      </c>
      <c r="U365" s="69">
        <f t="shared" si="115"/>
        <v>8.059999999999999</v>
      </c>
      <c r="V365" s="69">
        <f t="shared" si="115"/>
        <v>8.059999999999999</v>
      </c>
      <c r="W365" s="69">
        <f t="shared" si="115"/>
        <v>0</v>
      </c>
      <c r="X365" s="69">
        <f t="shared" si="115"/>
        <v>0</v>
      </c>
      <c r="Y365" s="69">
        <f t="shared" si="115"/>
        <v>0</v>
      </c>
      <c r="Z365" s="69">
        <f t="shared" si="115"/>
        <v>0</v>
      </c>
      <c r="AA365" s="69">
        <f t="shared" si="115"/>
        <v>0</v>
      </c>
      <c r="AB365" s="69">
        <f t="shared" si="115"/>
        <v>0</v>
      </c>
      <c r="AC365" s="69">
        <f t="shared" si="115"/>
        <v>0</v>
      </c>
      <c r="AD365" s="69">
        <f t="shared" si="115"/>
        <v>0</v>
      </c>
      <c r="AE365" s="69">
        <f t="shared" si="115"/>
        <v>0</v>
      </c>
      <c r="AF365" s="69">
        <f t="shared" si="115"/>
        <v>2.38</v>
      </c>
      <c r="AG365" s="69">
        <f t="shared" si="115"/>
        <v>0.02</v>
      </c>
      <c r="AH365" s="69">
        <f t="shared" si="115"/>
        <v>0</v>
      </c>
      <c r="AI365" s="69">
        <f t="shared" si="115"/>
        <v>0</v>
      </c>
      <c r="AJ365" s="69">
        <f t="shared" si="115"/>
        <v>0</v>
      </c>
      <c r="AK365" s="69">
        <f t="shared" si="115"/>
        <v>0</v>
      </c>
      <c r="AL365" s="69">
        <f t="shared" si="115"/>
        <v>0</v>
      </c>
      <c r="AM365" s="69">
        <f t="shared" si="115"/>
        <v>0</v>
      </c>
      <c r="AN365" s="69">
        <f t="shared" si="115"/>
        <v>0</v>
      </c>
      <c r="AO365" s="69">
        <f t="shared" si="115"/>
        <v>0</v>
      </c>
      <c r="AP365" s="69">
        <f t="shared" si="115"/>
        <v>0</v>
      </c>
      <c r="AQ365" s="69">
        <f t="shared" si="115"/>
        <v>0</v>
      </c>
      <c r="AR365" s="69">
        <f t="shared" si="115"/>
        <v>0</v>
      </c>
      <c r="AS365" s="69">
        <f t="shared" si="115"/>
        <v>0</v>
      </c>
      <c r="AT365" s="69">
        <f t="shared" si="115"/>
        <v>0</v>
      </c>
      <c r="AU365" s="69">
        <f t="shared" si="115"/>
        <v>1.2000000000000002</v>
      </c>
      <c r="AV365" s="69">
        <f t="shared" si="115"/>
        <v>0</v>
      </c>
      <c r="AW365" s="69">
        <f t="shared" si="115"/>
        <v>0</v>
      </c>
      <c r="AX365" s="69">
        <f t="shared" si="115"/>
        <v>0</v>
      </c>
      <c r="AY365" s="69">
        <f t="shared" si="115"/>
        <v>0</v>
      </c>
      <c r="AZ365" s="69">
        <f t="shared" si="115"/>
        <v>0</v>
      </c>
      <c r="BA365" s="69">
        <f t="shared" si="115"/>
        <v>0</v>
      </c>
      <c r="BB365" s="69">
        <f t="shared" si="115"/>
        <v>0</v>
      </c>
      <c r="BC365" s="69">
        <f t="shared" si="115"/>
        <v>0</v>
      </c>
      <c r="BD365" s="69">
        <f t="shared" si="115"/>
        <v>0.31</v>
      </c>
      <c r="BE365" s="69">
        <f t="shared" si="115"/>
        <v>0</v>
      </c>
      <c r="BF365" s="69">
        <f t="shared" si="115"/>
        <v>0</v>
      </c>
      <c r="BG365" s="69">
        <f t="shared" si="115"/>
        <v>0</v>
      </c>
      <c r="BH365" s="86"/>
      <c r="BI365" s="39"/>
      <c r="BJ365" s="39"/>
      <c r="BK365" s="39"/>
      <c r="BL365" s="39"/>
      <c r="BM365" s="39"/>
      <c r="BN365" s="39"/>
      <c r="BO365" s="85"/>
      <c r="BP365" s="130"/>
      <c r="BS365" s="132"/>
    </row>
    <row r="366" spans="1:71" s="114" customFormat="1" ht="46.5">
      <c r="A366" s="284">
        <f>A356+1</f>
        <v>238</v>
      </c>
      <c r="B366" s="179" t="s">
        <v>739</v>
      </c>
      <c r="C366" s="304" t="s">
        <v>82</v>
      </c>
      <c r="D366" s="46"/>
      <c r="E366" s="45">
        <f t="shared" si="104"/>
        <v>9.699999999999998</v>
      </c>
      <c r="F366" s="5"/>
      <c r="G366" s="5">
        <f>SUM(H366:M366,Q366,U366,Y366:BG366)</f>
        <v>9.699999999999998</v>
      </c>
      <c r="H366" s="88">
        <v>0.47</v>
      </c>
      <c r="I366" s="88">
        <v>0.28</v>
      </c>
      <c r="J366" s="88"/>
      <c r="K366" s="88">
        <v>0.52</v>
      </c>
      <c r="L366" s="88">
        <v>0.27</v>
      </c>
      <c r="M366" s="88"/>
      <c r="N366" s="88"/>
      <c r="O366" s="88"/>
      <c r="P366" s="88"/>
      <c r="Q366" s="88"/>
      <c r="R366" s="88"/>
      <c r="S366" s="88"/>
      <c r="T366" s="88"/>
      <c r="U366" s="46">
        <f>SUM(V366:X366)</f>
        <v>8.059999999999999</v>
      </c>
      <c r="V366" s="88">
        <f>9.7-1.64</f>
        <v>8.059999999999999</v>
      </c>
      <c r="W366" s="88"/>
      <c r="X366" s="88"/>
      <c r="Y366" s="88"/>
      <c r="Z366" s="88"/>
      <c r="AA366" s="88"/>
      <c r="AB366" s="88"/>
      <c r="AC366" s="88"/>
      <c r="AD366" s="88"/>
      <c r="AE366" s="88"/>
      <c r="AF366" s="88">
        <v>0.08</v>
      </c>
      <c r="AG366" s="88">
        <v>0.02</v>
      </c>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283" t="s">
        <v>740</v>
      </c>
      <c r="BI366" s="304" t="s">
        <v>82</v>
      </c>
      <c r="BJ366" s="304" t="s">
        <v>741</v>
      </c>
      <c r="BK366" s="291" t="s">
        <v>120</v>
      </c>
      <c r="BL366" s="304" t="s">
        <v>341</v>
      </c>
      <c r="BM366" s="293" t="s">
        <v>194</v>
      </c>
      <c r="BN366" s="111" t="s">
        <v>1025</v>
      </c>
      <c r="BO366" s="112" t="s">
        <v>1147</v>
      </c>
      <c r="BP366" s="113"/>
      <c r="BS366" s="115"/>
    </row>
    <row r="367" spans="1:71" s="114" customFormat="1" ht="19.5" customHeight="1">
      <c r="A367" s="284"/>
      <c r="B367" s="234" t="s">
        <v>48</v>
      </c>
      <c r="C367" s="304"/>
      <c r="D367" s="103" t="s">
        <v>48</v>
      </c>
      <c r="E367" s="148">
        <f t="shared" si="104"/>
        <v>1.15</v>
      </c>
      <c r="F367" s="5"/>
      <c r="G367" s="5">
        <f>SUM(H367:M367,Q367,U367,Y367:BG367)</f>
        <v>1.15</v>
      </c>
      <c r="H367" s="88">
        <v>0.12</v>
      </c>
      <c r="I367" s="88">
        <v>0.03</v>
      </c>
      <c r="J367" s="88"/>
      <c r="K367" s="88">
        <v>0.22</v>
      </c>
      <c r="L367" s="88">
        <v>0.17</v>
      </c>
      <c r="M367" s="88"/>
      <c r="N367" s="88"/>
      <c r="O367" s="88"/>
      <c r="P367" s="88"/>
      <c r="Q367" s="88"/>
      <c r="R367" s="88"/>
      <c r="S367" s="88"/>
      <c r="T367" s="88"/>
      <c r="U367" s="46">
        <f>SUM(V367:X367)</f>
        <v>0.57</v>
      </c>
      <c r="V367" s="88">
        <v>0.57</v>
      </c>
      <c r="W367" s="88"/>
      <c r="X367" s="88"/>
      <c r="Y367" s="88"/>
      <c r="Z367" s="88"/>
      <c r="AA367" s="88"/>
      <c r="AB367" s="88"/>
      <c r="AC367" s="88"/>
      <c r="AD367" s="88"/>
      <c r="AE367" s="88"/>
      <c r="AF367" s="88">
        <v>0.04</v>
      </c>
      <c r="AG367" s="88"/>
      <c r="AH367" s="88"/>
      <c r="AI367" s="88"/>
      <c r="AJ367" s="88"/>
      <c r="AK367" s="88"/>
      <c r="AL367" s="88"/>
      <c r="AM367" s="88"/>
      <c r="AN367" s="88"/>
      <c r="AO367" s="88"/>
      <c r="AP367" s="88"/>
      <c r="AQ367" s="88"/>
      <c r="AR367" s="88"/>
      <c r="AS367" s="88"/>
      <c r="AT367" s="88"/>
      <c r="AU367" s="88"/>
      <c r="AV367" s="88"/>
      <c r="AW367" s="88"/>
      <c r="AX367" s="88"/>
      <c r="AY367" s="88"/>
      <c r="AZ367" s="88"/>
      <c r="BA367" s="88"/>
      <c r="BB367" s="88"/>
      <c r="BC367" s="88"/>
      <c r="BD367" s="88"/>
      <c r="BE367" s="88"/>
      <c r="BF367" s="88"/>
      <c r="BG367" s="88"/>
      <c r="BH367" s="283"/>
      <c r="BI367" s="304"/>
      <c r="BJ367" s="304"/>
      <c r="BK367" s="291"/>
      <c r="BL367" s="304"/>
      <c r="BM367" s="293"/>
      <c r="BN367" s="111"/>
      <c r="BO367" s="112"/>
      <c r="BP367" s="113"/>
      <c r="BS367" s="115"/>
    </row>
    <row r="368" spans="1:71" s="114" customFormat="1" ht="19.5" customHeight="1">
      <c r="A368" s="284"/>
      <c r="B368" s="234" t="s">
        <v>34</v>
      </c>
      <c r="C368" s="304"/>
      <c r="D368" s="103" t="s">
        <v>34</v>
      </c>
      <c r="E368" s="148">
        <f t="shared" si="104"/>
        <v>2.8800000000000003</v>
      </c>
      <c r="F368" s="5"/>
      <c r="G368" s="5">
        <f>SUM(H368:M368,Q368,U368,Y368:BG368)</f>
        <v>2.8800000000000003</v>
      </c>
      <c r="H368" s="88">
        <v>0.2</v>
      </c>
      <c r="I368" s="88">
        <v>0.1</v>
      </c>
      <c r="J368" s="88"/>
      <c r="K368" s="88">
        <v>0.1</v>
      </c>
      <c r="L368" s="88">
        <v>0.1</v>
      </c>
      <c r="M368" s="88"/>
      <c r="N368" s="88"/>
      <c r="O368" s="88"/>
      <c r="P368" s="88"/>
      <c r="Q368" s="88"/>
      <c r="R368" s="88"/>
      <c r="S368" s="88"/>
      <c r="T368" s="88"/>
      <c r="U368" s="6">
        <f>SUM(V368:X368)</f>
        <v>2.3200000000000003</v>
      </c>
      <c r="V368" s="88">
        <v>2.3200000000000003</v>
      </c>
      <c r="W368" s="88"/>
      <c r="X368" s="88"/>
      <c r="Y368" s="88"/>
      <c r="Z368" s="88"/>
      <c r="AA368" s="88"/>
      <c r="AB368" s="88"/>
      <c r="AC368" s="88"/>
      <c r="AD368" s="88"/>
      <c r="AE368" s="88"/>
      <c r="AF368" s="88">
        <v>0.04</v>
      </c>
      <c r="AG368" s="88">
        <v>0.02</v>
      </c>
      <c r="AH368" s="88"/>
      <c r="AI368" s="88"/>
      <c r="AJ368" s="88"/>
      <c r="AK368" s="88"/>
      <c r="AL368" s="88"/>
      <c r="AM368" s="88"/>
      <c r="AN368" s="88"/>
      <c r="AO368" s="88"/>
      <c r="AP368" s="88"/>
      <c r="AQ368" s="88"/>
      <c r="AR368" s="88"/>
      <c r="AS368" s="88"/>
      <c r="AT368" s="88"/>
      <c r="AU368" s="88"/>
      <c r="AV368" s="88"/>
      <c r="AW368" s="88"/>
      <c r="AX368" s="88"/>
      <c r="AY368" s="88"/>
      <c r="AZ368" s="88"/>
      <c r="BA368" s="88"/>
      <c r="BB368" s="88"/>
      <c r="BC368" s="88"/>
      <c r="BD368" s="88"/>
      <c r="BE368" s="88"/>
      <c r="BF368" s="88"/>
      <c r="BG368" s="88"/>
      <c r="BH368" s="283"/>
      <c r="BI368" s="304"/>
      <c r="BJ368" s="304"/>
      <c r="BK368" s="291"/>
      <c r="BL368" s="304"/>
      <c r="BM368" s="293"/>
      <c r="BN368" s="111"/>
      <c r="BO368" s="112"/>
      <c r="BP368" s="113"/>
      <c r="BS368" s="115"/>
    </row>
    <row r="369" spans="1:71" s="114" customFormat="1" ht="19.5" customHeight="1">
      <c r="A369" s="284"/>
      <c r="B369" s="234" t="s">
        <v>55</v>
      </c>
      <c r="C369" s="304"/>
      <c r="D369" s="46" t="s">
        <v>55</v>
      </c>
      <c r="E369" s="148">
        <f t="shared" si="104"/>
        <v>0.37</v>
      </c>
      <c r="F369" s="5"/>
      <c r="G369" s="5">
        <f>SUM(H369:M369,Q369,U369,Y369:BG369)</f>
        <v>0.37</v>
      </c>
      <c r="H369" s="88">
        <v>0.05</v>
      </c>
      <c r="I369" s="88">
        <v>0.05</v>
      </c>
      <c r="J369" s="88"/>
      <c r="K369" s="88">
        <v>0.1</v>
      </c>
      <c r="L369" s="88"/>
      <c r="M369" s="88"/>
      <c r="N369" s="88"/>
      <c r="O369" s="88"/>
      <c r="P369" s="88"/>
      <c r="Q369" s="88"/>
      <c r="R369" s="88"/>
      <c r="S369" s="88"/>
      <c r="T369" s="88"/>
      <c r="U369" s="46">
        <f>SUM(V369:X369)</f>
        <v>0.17</v>
      </c>
      <c r="V369" s="88">
        <v>0.17</v>
      </c>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88"/>
      <c r="AY369" s="88"/>
      <c r="AZ369" s="88"/>
      <c r="BA369" s="88"/>
      <c r="BB369" s="88"/>
      <c r="BC369" s="88"/>
      <c r="BD369" s="88"/>
      <c r="BE369" s="88"/>
      <c r="BF369" s="88"/>
      <c r="BG369" s="88"/>
      <c r="BH369" s="283"/>
      <c r="BI369" s="304"/>
      <c r="BJ369" s="304"/>
      <c r="BK369" s="291"/>
      <c r="BL369" s="304"/>
      <c r="BM369" s="293"/>
      <c r="BN369" s="111"/>
      <c r="BO369" s="112"/>
      <c r="BP369" s="113"/>
      <c r="BS369" s="115"/>
    </row>
    <row r="370" spans="1:71" s="114" customFormat="1" ht="19.5" customHeight="1">
      <c r="A370" s="284"/>
      <c r="B370" s="234" t="s">
        <v>31</v>
      </c>
      <c r="C370" s="304"/>
      <c r="D370" s="103" t="s">
        <v>31</v>
      </c>
      <c r="E370" s="148">
        <f t="shared" si="104"/>
        <v>5.3</v>
      </c>
      <c r="F370" s="5"/>
      <c r="G370" s="5">
        <f>SUM(H370:M370,Q370,U370,Y370:BG370)</f>
        <v>5.3</v>
      </c>
      <c r="H370" s="88">
        <v>0.1</v>
      </c>
      <c r="I370" s="88">
        <v>0.1</v>
      </c>
      <c r="J370" s="88"/>
      <c r="K370" s="88">
        <v>0.1</v>
      </c>
      <c r="L370" s="88"/>
      <c r="M370" s="88"/>
      <c r="N370" s="88"/>
      <c r="O370" s="88"/>
      <c r="P370" s="88"/>
      <c r="Q370" s="88"/>
      <c r="R370" s="88"/>
      <c r="S370" s="88"/>
      <c r="T370" s="88"/>
      <c r="U370" s="46">
        <f>SUM(V370:X370)</f>
        <v>5</v>
      </c>
      <c r="V370" s="88">
        <v>5</v>
      </c>
      <c r="W370" s="88"/>
      <c r="X370" s="88"/>
      <c r="Y370" s="88"/>
      <c r="Z370" s="88"/>
      <c r="AA370" s="88"/>
      <c r="AB370" s="88"/>
      <c r="AC370" s="88"/>
      <c r="AD370" s="88"/>
      <c r="AE370" s="88"/>
      <c r="AF370" s="88"/>
      <c r="AG370" s="88"/>
      <c r="AH370" s="88"/>
      <c r="AI370" s="88"/>
      <c r="AJ370" s="88"/>
      <c r="AK370" s="88"/>
      <c r="AL370" s="88"/>
      <c r="AM370" s="88"/>
      <c r="AN370" s="88"/>
      <c r="AO370" s="88"/>
      <c r="AP370" s="88"/>
      <c r="AQ370" s="88"/>
      <c r="AR370" s="88"/>
      <c r="AS370" s="88"/>
      <c r="AT370" s="88"/>
      <c r="AU370" s="88"/>
      <c r="AV370" s="88"/>
      <c r="AW370" s="88"/>
      <c r="AX370" s="88"/>
      <c r="AY370" s="88"/>
      <c r="AZ370" s="88"/>
      <c r="BA370" s="88"/>
      <c r="BB370" s="88"/>
      <c r="BC370" s="88"/>
      <c r="BD370" s="88"/>
      <c r="BE370" s="88"/>
      <c r="BF370" s="88"/>
      <c r="BG370" s="88"/>
      <c r="BH370" s="283"/>
      <c r="BI370" s="304"/>
      <c r="BJ370" s="304"/>
      <c r="BK370" s="291"/>
      <c r="BL370" s="304"/>
      <c r="BM370" s="293"/>
      <c r="BN370" s="111"/>
      <c r="BO370" s="112"/>
      <c r="BP370" s="113"/>
      <c r="BS370" s="115"/>
    </row>
    <row r="371" spans="1:68" s="94" customFormat="1" ht="46.5">
      <c r="A371" s="284">
        <f>A366+1</f>
        <v>239</v>
      </c>
      <c r="B371" s="118" t="s">
        <v>742</v>
      </c>
      <c r="C371" s="305" t="s">
        <v>65</v>
      </c>
      <c r="D371" s="4"/>
      <c r="E371" s="97">
        <f t="shared" si="104"/>
        <v>17.33</v>
      </c>
      <c r="F371" s="97"/>
      <c r="G371" s="88">
        <f>SUM(H371:BG371)-M371-Q371-U371</f>
        <v>17.33</v>
      </c>
      <c r="H371" s="46">
        <f>SUM(H372:H374)</f>
        <v>5.09</v>
      </c>
      <c r="I371" s="46">
        <f aca="true" t="shared" si="116" ref="I371:BG371">SUM(I372:I374)</f>
        <v>3.5</v>
      </c>
      <c r="J371" s="46">
        <f t="shared" si="116"/>
        <v>0</v>
      </c>
      <c r="K371" s="46">
        <f t="shared" si="116"/>
        <v>2.87</v>
      </c>
      <c r="L371" s="46">
        <f t="shared" si="116"/>
        <v>2.0599999999999996</v>
      </c>
      <c r="M371" s="46">
        <f t="shared" si="116"/>
        <v>0</v>
      </c>
      <c r="N371" s="46">
        <f t="shared" si="116"/>
        <v>0</v>
      </c>
      <c r="O371" s="46">
        <f t="shared" si="116"/>
        <v>0</v>
      </c>
      <c r="P371" s="46">
        <f t="shared" si="116"/>
        <v>0</v>
      </c>
      <c r="Q371" s="46">
        <f t="shared" si="116"/>
        <v>0</v>
      </c>
      <c r="R371" s="46">
        <f t="shared" si="116"/>
        <v>0</v>
      </c>
      <c r="S371" s="46">
        <f t="shared" si="116"/>
        <v>0</v>
      </c>
      <c r="T371" s="46">
        <f t="shared" si="116"/>
        <v>0</v>
      </c>
      <c r="U371" s="46">
        <f t="shared" si="116"/>
        <v>0</v>
      </c>
      <c r="V371" s="46">
        <f t="shared" si="116"/>
        <v>0</v>
      </c>
      <c r="W371" s="46">
        <f t="shared" si="116"/>
        <v>0</v>
      </c>
      <c r="X371" s="46">
        <f t="shared" si="116"/>
        <v>0</v>
      </c>
      <c r="Y371" s="46">
        <f t="shared" si="116"/>
        <v>0</v>
      </c>
      <c r="Z371" s="46">
        <f t="shared" si="116"/>
        <v>0</v>
      </c>
      <c r="AA371" s="46">
        <f t="shared" si="116"/>
        <v>0</v>
      </c>
      <c r="AB371" s="46">
        <f t="shared" si="116"/>
        <v>0</v>
      </c>
      <c r="AC371" s="46">
        <f t="shared" si="116"/>
        <v>0</v>
      </c>
      <c r="AD371" s="46">
        <f t="shared" si="116"/>
        <v>0</v>
      </c>
      <c r="AE371" s="46">
        <f t="shared" si="116"/>
        <v>0</v>
      </c>
      <c r="AF371" s="46">
        <f t="shared" si="116"/>
        <v>2.3</v>
      </c>
      <c r="AG371" s="46">
        <f t="shared" si="116"/>
        <v>0</v>
      </c>
      <c r="AH371" s="46">
        <f t="shared" si="116"/>
        <v>0</v>
      </c>
      <c r="AI371" s="46">
        <f t="shared" si="116"/>
        <v>0</v>
      </c>
      <c r="AJ371" s="46">
        <f t="shared" si="116"/>
        <v>0</v>
      </c>
      <c r="AK371" s="46">
        <f t="shared" si="116"/>
        <v>0</v>
      </c>
      <c r="AL371" s="46">
        <f t="shared" si="116"/>
        <v>0</v>
      </c>
      <c r="AM371" s="46">
        <f t="shared" si="116"/>
        <v>0</v>
      </c>
      <c r="AN371" s="46">
        <f t="shared" si="116"/>
        <v>0</v>
      </c>
      <c r="AO371" s="46">
        <f t="shared" si="116"/>
        <v>0</v>
      </c>
      <c r="AP371" s="46">
        <f t="shared" si="116"/>
        <v>0</v>
      </c>
      <c r="AQ371" s="46">
        <f t="shared" si="116"/>
        <v>0</v>
      </c>
      <c r="AR371" s="46">
        <f t="shared" si="116"/>
        <v>0</v>
      </c>
      <c r="AS371" s="46">
        <f t="shared" si="116"/>
        <v>0</v>
      </c>
      <c r="AT371" s="46">
        <f t="shared" si="116"/>
        <v>0</v>
      </c>
      <c r="AU371" s="46">
        <f t="shared" si="116"/>
        <v>1.2000000000000002</v>
      </c>
      <c r="AV371" s="46">
        <f t="shared" si="116"/>
        <v>0</v>
      </c>
      <c r="AW371" s="46">
        <f t="shared" si="116"/>
        <v>0</v>
      </c>
      <c r="AX371" s="46">
        <f t="shared" si="116"/>
        <v>0</v>
      </c>
      <c r="AY371" s="46">
        <f t="shared" si="116"/>
        <v>0</v>
      </c>
      <c r="AZ371" s="46">
        <f t="shared" si="116"/>
        <v>0</v>
      </c>
      <c r="BA371" s="46">
        <f t="shared" si="116"/>
        <v>0</v>
      </c>
      <c r="BB371" s="46">
        <f t="shared" si="116"/>
        <v>0</v>
      </c>
      <c r="BC371" s="46">
        <f t="shared" si="116"/>
        <v>0</v>
      </c>
      <c r="BD371" s="46">
        <f t="shared" si="116"/>
        <v>0.31</v>
      </c>
      <c r="BE371" s="46">
        <f t="shared" si="116"/>
        <v>0</v>
      </c>
      <c r="BF371" s="46">
        <f t="shared" si="116"/>
        <v>0</v>
      </c>
      <c r="BG371" s="46">
        <f t="shared" si="116"/>
        <v>0</v>
      </c>
      <c r="BH371" s="312" t="s">
        <v>743</v>
      </c>
      <c r="BI371" s="305" t="s">
        <v>65</v>
      </c>
      <c r="BJ371" s="302" t="s">
        <v>999</v>
      </c>
      <c r="BK371" s="307" t="s">
        <v>120</v>
      </c>
      <c r="BL371" s="310" t="s">
        <v>163</v>
      </c>
      <c r="BM371" s="293" t="s">
        <v>935</v>
      </c>
      <c r="BN371" s="46" t="s">
        <v>1025</v>
      </c>
      <c r="BO371" s="179" t="s">
        <v>1147</v>
      </c>
      <c r="BP371" s="92"/>
    </row>
    <row r="372" spans="1:68" s="237" customFormat="1" ht="19.5" customHeight="1">
      <c r="A372" s="284"/>
      <c r="B372" s="234" t="s">
        <v>49</v>
      </c>
      <c r="C372" s="305"/>
      <c r="D372" s="103" t="s">
        <v>49</v>
      </c>
      <c r="E372" s="148">
        <f t="shared" si="104"/>
        <v>7</v>
      </c>
      <c r="F372" s="148"/>
      <c r="G372" s="88">
        <f>SUM(H372:BG372)-M372-Q372-U372</f>
        <v>7</v>
      </c>
      <c r="H372" s="224">
        <f>3.55-1-0.48</f>
        <v>2.07</v>
      </c>
      <c r="I372" s="224">
        <f>1.89-0.5</f>
        <v>1.39</v>
      </c>
      <c r="J372" s="224"/>
      <c r="K372" s="224">
        <f>1.8-0.5-0.11+0.08</f>
        <v>1.27</v>
      </c>
      <c r="L372" s="224">
        <v>0.8099999999999996</v>
      </c>
      <c r="M372" s="224"/>
      <c r="N372" s="224"/>
      <c r="O372" s="224"/>
      <c r="P372" s="224"/>
      <c r="Q372" s="224"/>
      <c r="R372" s="224"/>
      <c r="S372" s="224"/>
      <c r="T372" s="224"/>
      <c r="U372" s="224"/>
      <c r="V372" s="224"/>
      <c r="W372" s="224"/>
      <c r="X372" s="224"/>
      <c r="Y372" s="224"/>
      <c r="Z372" s="224"/>
      <c r="AA372" s="224"/>
      <c r="AB372" s="224"/>
      <c r="AC372" s="224"/>
      <c r="AD372" s="224"/>
      <c r="AE372" s="224"/>
      <c r="AF372" s="224">
        <f>0.5-0.15-0.08</f>
        <v>0.26999999999999996</v>
      </c>
      <c r="AG372" s="224"/>
      <c r="AH372" s="224"/>
      <c r="AI372" s="224"/>
      <c r="AJ372" s="224"/>
      <c r="AK372" s="224"/>
      <c r="AL372" s="224"/>
      <c r="AM372" s="224"/>
      <c r="AN372" s="224"/>
      <c r="AO372" s="224"/>
      <c r="AP372" s="224"/>
      <c r="AQ372" s="224"/>
      <c r="AR372" s="224"/>
      <c r="AS372" s="224"/>
      <c r="AT372" s="224"/>
      <c r="AU372" s="224">
        <v>1.08</v>
      </c>
      <c r="AV372" s="224"/>
      <c r="AW372" s="224"/>
      <c r="AX372" s="224"/>
      <c r="AY372" s="224"/>
      <c r="AZ372" s="224"/>
      <c r="BA372" s="224"/>
      <c r="BB372" s="224"/>
      <c r="BC372" s="224"/>
      <c r="BD372" s="224">
        <v>0.11</v>
      </c>
      <c r="BE372" s="224"/>
      <c r="BF372" s="224"/>
      <c r="BG372" s="224"/>
      <c r="BH372" s="312"/>
      <c r="BI372" s="305"/>
      <c r="BJ372" s="302"/>
      <c r="BK372" s="307"/>
      <c r="BL372" s="310"/>
      <c r="BM372" s="293"/>
      <c r="BN372" s="224"/>
      <c r="BO372" s="235"/>
      <c r="BP372" s="236"/>
    </row>
    <row r="373" spans="1:68" s="237" customFormat="1" ht="19.5" customHeight="1">
      <c r="A373" s="284"/>
      <c r="B373" s="234" t="s">
        <v>34</v>
      </c>
      <c r="C373" s="305"/>
      <c r="D373" s="103" t="s">
        <v>34</v>
      </c>
      <c r="E373" s="148">
        <f t="shared" si="104"/>
        <v>6.080000000000001</v>
      </c>
      <c r="F373" s="148"/>
      <c r="G373" s="89">
        <f>SUM(H373:BG373)-M373-Q373-U373</f>
        <v>6.080000000000001</v>
      </c>
      <c r="H373" s="224">
        <f>2.37-0.4-0.43</f>
        <v>1.5400000000000003</v>
      </c>
      <c r="I373" s="224">
        <f>1.26-0.2</f>
        <v>1.06</v>
      </c>
      <c r="J373" s="224"/>
      <c r="K373" s="224">
        <v>0.75</v>
      </c>
      <c r="L373" s="224">
        <v>0.5</v>
      </c>
      <c r="M373" s="224"/>
      <c r="N373" s="224"/>
      <c r="O373" s="224"/>
      <c r="P373" s="224"/>
      <c r="Q373" s="224"/>
      <c r="R373" s="224"/>
      <c r="S373" s="224"/>
      <c r="T373" s="224"/>
      <c r="U373" s="6"/>
      <c r="V373" s="224"/>
      <c r="W373" s="224"/>
      <c r="X373" s="224"/>
      <c r="Y373" s="224"/>
      <c r="Z373" s="224"/>
      <c r="AA373" s="224"/>
      <c r="AB373" s="224"/>
      <c r="AC373" s="224"/>
      <c r="AD373" s="224"/>
      <c r="AE373" s="224"/>
      <c r="AF373" s="224">
        <f>1.8+0.15+0.08</f>
        <v>2.03</v>
      </c>
      <c r="AG373" s="224"/>
      <c r="AH373" s="224"/>
      <c r="AI373" s="224"/>
      <c r="AJ373" s="224"/>
      <c r="AK373" s="224"/>
      <c r="AL373" s="224"/>
      <c r="AM373" s="224"/>
      <c r="AN373" s="224"/>
      <c r="AO373" s="224"/>
      <c r="AP373" s="224"/>
      <c r="AQ373" s="224"/>
      <c r="AR373" s="224"/>
      <c r="AS373" s="224"/>
      <c r="AT373" s="224"/>
      <c r="AU373" s="224"/>
      <c r="AV373" s="224"/>
      <c r="AW373" s="224"/>
      <c r="AX373" s="224"/>
      <c r="AY373" s="224"/>
      <c r="AZ373" s="224"/>
      <c r="BA373" s="224"/>
      <c r="BB373" s="224"/>
      <c r="BC373" s="224"/>
      <c r="BD373" s="224">
        <v>0.2</v>
      </c>
      <c r="BE373" s="224"/>
      <c r="BF373" s="224"/>
      <c r="BG373" s="224"/>
      <c r="BH373" s="312"/>
      <c r="BI373" s="305"/>
      <c r="BJ373" s="302"/>
      <c r="BK373" s="307"/>
      <c r="BL373" s="310"/>
      <c r="BM373" s="293"/>
      <c r="BN373" s="224"/>
      <c r="BO373" s="235"/>
      <c r="BP373" s="236"/>
    </row>
    <row r="374" spans="1:68" s="237" customFormat="1" ht="19.5" customHeight="1">
      <c r="A374" s="284"/>
      <c r="B374" s="234" t="s">
        <v>31</v>
      </c>
      <c r="C374" s="305"/>
      <c r="D374" s="103" t="s">
        <v>31</v>
      </c>
      <c r="E374" s="148">
        <f t="shared" si="104"/>
        <v>4.250000000000001</v>
      </c>
      <c r="F374" s="148"/>
      <c r="G374" s="88">
        <f>SUM(H374:BG374)-M374-Q374-U374</f>
        <v>4.250000000000001</v>
      </c>
      <c r="H374" s="224">
        <f>1.98-0.5</f>
        <v>1.48</v>
      </c>
      <c r="I374" s="224">
        <v>1.05</v>
      </c>
      <c r="J374" s="224"/>
      <c r="K374" s="224">
        <v>0.85</v>
      </c>
      <c r="L374" s="224">
        <f>1-0.25</f>
        <v>0.75</v>
      </c>
      <c r="M374" s="224"/>
      <c r="N374" s="224"/>
      <c r="O374" s="224"/>
      <c r="P374" s="224"/>
      <c r="Q374" s="224"/>
      <c r="R374" s="224"/>
      <c r="S374" s="224"/>
      <c r="T374" s="224"/>
      <c r="U374" s="224"/>
      <c r="V374" s="224"/>
      <c r="W374" s="224"/>
      <c r="X374" s="224"/>
      <c r="Y374" s="224"/>
      <c r="Z374" s="224"/>
      <c r="AA374" s="224"/>
      <c r="AB374" s="224"/>
      <c r="AC374" s="224"/>
      <c r="AD374" s="224"/>
      <c r="AE374" s="224"/>
      <c r="AF374" s="224"/>
      <c r="AG374" s="224"/>
      <c r="AH374" s="224"/>
      <c r="AI374" s="224"/>
      <c r="AJ374" s="224"/>
      <c r="AK374" s="224"/>
      <c r="AL374" s="224"/>
      <c r="AM374" s="224"/>
      <c r="AN374" s="224"/>
      <c r="AO374" s="224"/>
      <c r="AP374" s="224"/>
      <c r="AQ374" s="224"/>
      <c r="AR374" s="224"/>
      <c r="AS374" s="224"/>
      <c r="AT374" s="224"/>
      <c r="AU374" s="224">
        <v>0.12</v>
      </c>
      <c r="AV374" s="224"/>
      <c r="AW374" s="224"/>
      <c r="AX374" s="224"/>
      <c r="AY374" s="224"/>
      <c r="AZ374" s="224"/>
      <c r="BA374" s="224"/>
      <c r="BB374" s="224"/>
      <c r="BC374" s="224"/>
      <c r="BD374" s="224"/>
      <c r="BE374" s="224"/>
      <c r="BF374" s="224"/>
      <c r="BG374" s="224"/>
      <c r="BH374" s="312"/>
      <c r="BI374" s="305"/>
      <c r="BJ374" s="302"/>
      <c r="BK374" s="307"/>
      <c r="BL374" s="310"/>
      <c r="BM374" s="293"/>
      <c r="BN374" s="224"/>
      <c r="BO374" s="235"/>
      <c r="BP374" s="236"/>
    </row>
    <row r="375" spans="1:71" s="100" customFormat="1" ht="19.5" customHeight="1">
      <c r="A375" s="39" t="s">
        <v>314</v>
      </c>
      <c r="B375" s="85" t="s">
        <v>744</v>
      </c>
      <c r="C375" s="39"/>
      <c r="D375" s="39"/>
      <c r="E375" s="69">
        <f>SUM(F375:G375)</f>
        <v>97.54200000000002</v>
      </c>
      <c r="F375" s="69">
        <f>SUM(F376,F380,F384,F388,F393,F401,F404,F428,F411,F415,F432,F419,F423,F435)</f>
        <v>0</v>
      </c>
      <c r="G375" s="69">
        <f aca="true" t="shared" si="117" ref="G375:AL375">SUM(G376,G380,G384,G388,G393,G401,G404,G428,G411,G415,G432,G418,G421,G435)</f>
        <v>97.54200000000002</v>
      </c>
      <c r="H375" s="69">
        <f t="shared" si="117"/>
        <v>14.450000000000003</v>
      </c>
      <c r="I375" s="69">
        <f t="shared" si="117"/>
        <v>4.87</v>
      </c>
      <c r="J375" s="69">
        <f t="shared" si="117"/>
        <v>0</v>
      </c>
      <c r="K375" s="69">
        <f t="shared" si="117"/>
        <v>15.709999999999999</v>
      </c>
      <c r="L375" s="69">
        <f t="shared" si="117"/>
        <v>15.42</v>
      </c>
      <c r="M375" s="69">
        <f t="shared" si="117"/>
        <v>0</v>
      </c>
      <c r="N375" s="69">
        <f t="shared" si="117"/>
        <v>0</v>
      </c>
      <c r="O375" s="69">
        <f t="shared" si="117"/>
        <v>0</v>
      </c>
      <c r="P375" s="69">
        <f t="shared" si="117"/>
        <v>0</v>
      </c>
      <c r="Q375" s="69">
        <f t="shared" si="117"/>
        <v>0</v>
      </c>
      <c r="R375" s="69">
        <f t="shared" si="117"/>
        <v>0</v>
      </c>
      <c r="S375" s="69">
        <f t="shared" si="117"/>
        <v>0</v>
      </c>
      <c r="T375" s="69">
        <f t="shared" si="117"/>
        <v>0</v>
      </c>
      <c r="U375" s="69">
        <f t="shared" si="117"/>
        <v>31.212</v>
      </c>
      <c r="V375" s="69">
        <f t="shared" si="117"/>
        <v>23.802</v>
      </c>
      <c r="W375" s="69">
        <f t="shared" si="117"/>
        <v>6.11</v>
      </c>
      <c r="X375" s="69">
        <f t="shared" si="117"/>
        <v>1.3</v>
      </c>
      <c r="Y375" s="69">
        <f t="shared" si="117"/>
        <v>1.42</v>
      </c>
      <c r="Z375" s="69">
        <f t="shared" si="117"/>
        <v>0</v>
      </c>
      <c r="AA375" s="69">
        <f t="shared" si="117"/>
        <v>0</v>
      </c>
      <c r="AB375" s="69">
        <f t="shared" si="117"/>
        <v>0</v>
      </c>
      <c r="AC375" s="69">
        <f t="shared" si="117"/>
        <v>0.06</v>
      </c>
      <c r="AD375" s="69">
        <f t="shared" si="117"/>
        <v>0.09</v>
      </c>
      <c r="AE375" s="69">
        <f t="shared" si="117"/>
        <v>0</v>
      </c>
      <c r="AF375" s="69">
        <f t="shared" si="117"/>
        <v>3.3000000000000003</v>
      </c>
      <c r="AG375" s="69">
        <f t="shared" si="117"/>
        <v>0.5</v>
      </c>
      <c r="AH375" s="69">
        <f t="shared" si="117"/>
        <v>0</v>
      </c>
      <c r="AI375" s="69">
        <f t="shared" si="117"/>
        <v>0.16</v>
      </c>
      <c r="AJ375" s="69">
        <f t="shared" si="117"/>
        <v>0</v>
      </c>
      <c r="AK375" s="69">
        <f t="shared" si="117"/>
        <v>0.05</v>
      </c>
      <c r="AL375" s="69">
        <f t="shared" si="117"/>
        <v>0</v>
      </c>
      <c r="AM375" s="69">
        <f aca="true" t="shared" si="118" ref="AM375:BG375">SUM(AM376,AM380,AM384,AM388,AM393,AM401,AM404,AM428,AM411,AM415,AM432,AM418,AM421,AM435)</f>
        <v>0</v>
      </c>
      <c r="AN375" s="69">
        <f t="shared" si="118"/>
        <v>0</v>
      </c>
      <c r="AO375" s="69">
        <f t="shared" si="118"/>
        <v>0</v>
      </c>
      <c r="AP375" s="69">
        <f t="shared" si="118"/>
        <v>0</v>
      </c>
      <c r="AQ375" s="69">
        <f t="shared" si="118"/>
        <v>0</v>
      </c>
      <c r="AR375" s="69">
        <f t="shared" si="118"/>
        <v>0</v>
      </c>
      <c r="AS375" s="69">
        <f t="shared" si="118"/>
        <v>0</v>
      </c>
      <c r="AT375" s="69">
        <f t="shared" si="118"/>
        <v>2.26</v>
      </c>
      <c r="AU375" s="69">
        <f t="shared" si="118"/>
        <v>1.04</v>
      </c>
      <c r="AV375" s="69">
        <f t="shared" si="118"/>
        <v>0.03</v>
      </c>
      <c r="AW375" s="69">
        <f t="shared" si="118"/>
        <v>0</v>
      </c>
      <c r="AX375" s="69">
        <f t="shared" si="118"/>
        <v>0</v>
      </c>
      <c r="AY375" s="69">
        <f t="shared" si="118"/>
        <v>0</v>
      </c>
      <c r="AZ375" s="69">
        <f t="shared" si="118"/>
        <v>0</v>
      </c>
      <c r="BA375" s="69">
        <f t="shared" si="118"/>
        <v>0</v>
      </c>
      <c r="BB375" s="69">
        <f t="shared" si="118"/>
        <v>0</v>
      </c>
      <c r="BC375" s="69">
        <f t="shared" si="118"/>
        <v>0</v>
      </c>
      <c r="BD375" s="69">
        <f t="shared" si="118"/>
        <v>2.1799999999999997</v>
      </c>
      <c r="BE375" s="69">
        <f t="shared" si="118"/>
        <v>0</v>
      </c>
      <c r="BF375" s="69">
        <f t="shared" si="118"/>
        <v>0.04</v>
      </c>
      <c r="BG375" s="69">
        <f t="shared" si="118"/>
        <v>4.75</v>
      </c>
      <c r="BH375" s="39"/>
      <c r="BI375" s="39"/>
      <c r="BJ375" s="39"/>
      <c r="BK375" s="238"/>
      <c r="BL375" s="39"/>
      <c r="BM375" s="39"/>
      <c r="BN375" s="41"/>
      <c r="BO375" s="143"/>
      <c r="BP375" s="20"/>
      <c r="BS375" s="19"/>
    </row>
    <row r="376" spans="1:69" ht="37.5" customHeight="1">
      <c r="A376" s="284">
        <f>A371+1</f>
        <v>240</v>
      </c>
      <c r="B376" s="2" t="s">
        <v>745</v>
      </c>
      <c r="C376" s="290" t="s">
        <v>65</v>
      </c>
      <c r="D376" s="4"/>
      <c r="E376" s="97">
        <f>F376+G376</f>
        <v>0.9299999999999999</v>
      </c>
      <c r="F376" s="97"/>
      <c r="G376" s="88">
        <f aca="true" t="shared" si="119" ref="G376:G383">SUM(H376:BG376)-M376-Q376-U376</f>
        <v>0.9299999999999999</v>
      </c>
      <c r="H376" s="46">
        <v>0.03</v>
      </c>
      <c r="I376" s="97"/>
      <c r="J376" s="46"/>
      <c r="K376" s="88">
        <v>0.08</v>
      </c>
      <c r="L376" s="97">
        <v>0.12</v>
      </c>
      <c r="M376" s="46"/>
      <c r="N376" s="46"/>
      <c r="O376" s="46"/>
      <c r="P376" s="46"/>
      <c r="Q376" s="46"/>
      <c r="R376" s="46"/>
      <c r="S376" s="46"/>
      <c r="T376" s="46"/>
      <c r="U376" s="46"/>
      <c r="V376" s="84"/>
      <c r="W376" s="46"/>
      <c r="X376" s="46"/>
      <c r="Y376" s="46"/>
      <c r="Z376" s="46"/>
      <c r="AA376" s="46"/>
      <c r="AB376" s="46"/>
      <c r="AC376" s="46"/>
      <c r="AD376" s="46"/>
      <c r="AE376" s="46"/>
      <c r="AF376" s="46">
        <v>0.7</v>
      </c>
      <c r="AG376" s="46"/>
      <c r="AH376" s="46"/>
      <c r="AI376" s="46"/>
      <c r="AJ376" s="46"/>
      <c r="AK376" s="46"/>
      <c r="AL376" s="46"/>
      <c r="AM376" s="46"/>
      <c r="AN376" s="46"/>
      <c r="AO376" s="46"/>
      <c r="AP376" s="46"/>
      <c r="AQ376" s="46"/>
      <c r="AR376" s="46"/>
      <c r="AS376" s="46"/>
      <c r="AT376" s="84"/>
      <c r="AU376" s="46"/>
      <c r="AV376" s="46"/>
      <c r="AW376" s="46"/>
      <c r="AX376" s="46"/>
      <c r="AY376" s="46"/>
      <c r="AZ376" s="46"/>
      <c r="BA376" s="46"/>
      <c r="BB376" s="46"/>
      <c r="BC376" s="46"/>
      <c r="BD376" s="46"/>
      <c r="BE376" s="46"/>
      <c r="BF376" s="46"/>
      <c r="BG376" s="46"/>
      <c r="BH376" s="290" t="s">
        <v>296</v>
      </c>
      <c r="BI376" s="290" t="s">
        <v>65</v>
      </c>
      <c r="BJ376" s="290" t="s">
        <v>1000</v>
      </c>
      <c r="BK376" s="291" t="s">
        <v>120</v>
      </c>
      <c r="BL376" s="301" t="s">
        <v>746</v>
      </c>
      <c r="BM376" s="309" t="s">
        <v>194</v>
      </c>
      <c r="BN376" s="13" t="s">
        <v>1025</v>
      </c>
      <c r="BO376" s="15" t="s">
        <v>1147</v>
      </c>
      <c r="BQ376" s="17"/>
    </row>
    <row r="377" spans="1:69" ht="15">
      <c r="A377" s="284"/>
      <c r="B377" s="118" t="s">
        <v>49</v>
      </c>
      <c r="C377" s="290"/>
      <c r="D377" s="4" t="s">
        <v>49</v>
      </c>
      <c r="E377" s="97">
        <f>F377+G377</f>
        <v>0.37</v>
      </c>
      <c r="F377" s="97"/>
      <c r="G377" s="88">
        <f t="shared" si="119"/>
        <v>0.37</v>
      </c>
      <c r="H377" s="46">
        <v>0.01</v>
      </c>
      <c r="I377" s="46"/>
      <c r="J377" s="46"/>
      <c r="K377" s="46">
        <v>0.04</v>
      </c>
      <c r="L377" s="46">
        <v>0.04</v>
      </c>
      <c r="M377" s="46"/>
      <c r="N377" s="46"/>
      <c r="O377" s="46"/>
      <c r="P377" s="46"/>
      <c r="Q377" s="46"/>
      <c r="R377" s="46"/>
      <c r="S377" s="46"/>
      <c r="T377" s="46"/>
      <c r="U377" s="46"/>
      <c r="V377" s="46"/>
      <c r="W377" s="46"/>
      <c r="X377" s="46"/>
      <c r="Y377" s="46"/>
      <c r="Z377" s="46"/>
      <c r="AA377" s="46"/>
      <c r="AB377" s="46"/>
      <c r="AC377" s="46"/>
      <c r="AD377" s="46"/>
      <c r="AE377" s="46"/>
      <c r="AF377" s="46">
        <v>0.28</v>
      </c>
      <c r="AG377" s="46">
        <f aca="true" t="shared" si="120" ref="AG377:BG377">AG376*40%</f>
        <v>0</v>
      </c>
      <c r="AH377" s="46">
        <f t="shared" si="120"/>
        <v>0</v>
      </c>
      <c r="AI377" s="46">
        <f t="shared" si="120"/>
        <v>0</v>
      </c>
      <c r="AJ377" s="46">
        <f t="shared" si="120"/>
        <v>0</v>
      </c>
      <c r="AK377" s="46">
        <f t="shared" si="120"/>
        <v>0</v>
      </c>
      <c r="AL377" s="46">
        <f t="shared" si="120"/>
        <v>0</v>
      </c>
      <c r="AM377" s="46">
        <f t="shared" si="120"/>
        <v>0</v>
      </c>
      <c r="AN377" s="46">
        <f t="shared" si="120"/>
        <v>0</v>
      </c>
      <c r="AO377" s="46">
        <f t="shared" si="120"/>
        <v>0</v>
      </c>
      <c r="AP377" s="46">
        <f t="shared" si="120"/>
        <v>0</v>
      </c>
      <c r="AQ377" s="46">
        <f t="shared" si="120"/>
        <v>0</v>
      </c>
      <c r="AR377" s="46">
        <f t="shared" si="120"/>
        <v>0</v>
      </c>
      <c r="AS377" s="46">
        <f t="shared" si="120"/>
        <v>0</v>
      </c>
      <c r="AT377" s="46">
        <f t="shared" si="120"/>
        <v>0</v>
      </c>
      <c r="AU377" s="46">
        <f t="shared" si="120"/>
        <v>0</v>
      </c>
      <c r="AV377" s="46">
        <f t="shared" si="120"/>
        <v>0</v>
      </c>
      <c r="AW377" s="46">
        <f t="shared" si="120"/>
        <v>0</v>
      </c>
      <c r="AX377" s="46">
        <f t="shared" si="120"/>
        <v>0</v>
      </c>
      <c r="AY377" s="46">
        <f t="shared" si="120"/>
        <v>0</v>
      </c>
      <c r="AZ377" s="46">
        <f t="shared" si="120"/>
        <v>0</v>
      </c>
      <c r="BA377" s="46">
        <f t="shared" si="120"/>
        <v>0</v>
      </c>
      <c r="BB377" s="46">
        <f t="shared" si="120"/>
        <v>0</v>
      </c>
      <c r="BC377" s="46">
        <f t="shared" si="120"/>
        <v>0</v>
      </c>
      <c r="BD377" s="46">
        <f t="shared" si="120"/>
        <v>0</v>
      </c>
      <c r="BE377" s="46">
        <f t="shared" si="120"/>
        <v>0</v>
      </c>
      <c r="BF377" s="46">
        <f t="shared" si="120"/>
        <v>0</v>
      </c>
      <c r="BG377" s="46">
        <f t="shared" si="120"/>
        <v>0</v>
      </c>
      <c r="BH377" s="290"/>
      <c r="BI377" s="290"/>
      <c r="BJ377" s="290"/>
      <c r="BK377" s="291"/>
      <c r="BL377" s="301"/>
      <c r="BM377" s="309"/>
      <c r="BN377" s="13"/>
      <c r="BO377" s="15"/>
      <c r="BQ377" s="17"/>
    </row>
    <row r="378" spans="1:69" ht="15">
      <c r="A378" s="284"/>
      <c r="B378" s="118" t="s">
        <v>34</v>
      </c>
      <c r="C378" s="290"/>
      <c r="D378" s="4" t="s">
        <v>34</v>
      </c>
      <c r="E378" s="97">
        <f>F378+G378</f>
        <v>0.28</v>
      </c>
      <c r="F378" s="97"/>
      <c r="G378" s="88">
        <f t="shared" si="119"/>
        <v>0.28</v>
      </c>
      <c r="H378" s="46">
        <v>0.01</v>
      </c>
      <c r="I378" s="46"/>
      <c r="J378" s="46"/>
      <c r="K378" s="46">
        <v>0.02</v>
      </c>
      <c r="L378" s="46">
        <v>0.04</v>
      </c>
      <c r="M378" s="46"/>
      <c r="N378" s="46"/>
      <c r="O378" s="46"/>
      <c r="P378" s="46"/>
      <c r="Q378" s="46"/>
      <c r="R378" s="46"/>
      <c r="S378" s="46"/>
      <c r="T378" s="46"/>
      <c r="U378" s="6"/>
      <c r="V378" s="46"/>
      <c r="W378" s="46"/>
      <c r="X378" s="46"/>
      <c r="Y378" s="46"/>
      <c r="Z378" s="46"/>
      <c r="AA378" s="46"/>
      <c r="AB378" s="46"/>
      <c r="AC378" s="46"/>
      <c r="AD378" s="46"/>
      <c r="AE378" s="46"/>
      <c r="AF378" s="46">
        <v>0.21</v>
      </c>
      <c r="AG378" s="46">
        <f aca="true" t="shared" si="121" ref="AG378:BG378">ROUND(AG376*30%,2)</f>
        <v>0</v>
      </c>
      <c r="AH378" s="46">
        <f t="shared" si="121"/>
        <v>0</v>
      </c>
      <c r="AI378" s="46">
        <f t="shared" si="121"/>
        <v>0</v>
      </c>
      <c r="AJ378" s="46">
        <f t="shared" si="121"/>
        <v>0</v>
      </c>
      <c r="AK378" s="46">
        <f t="shared" si="121"/>
        <v>0</v>
      </c>
      <c r="AL378" s="46">
        <f t="shared" si="121"/>
        <v>0</v>
      </c>
      <c r="AM378" s="46">
        <f t="shared" si="121"/>
        <v>0</v>
      </c>
      <c r="AN378" s="46">
        <f t="shared" si="121"/>
        <v>0</v>
      </c>
      <c r="AO378" s="46">
        <f t="shared" si="121"/>
        <v>0</v>
      </c>
      <c r="AP378" s="46">
        <f t="shared" si="121"/>
        <v>0</v>
      </c>
      <c r="AQ378" s="46">
        <f t="shared" si="121"/>
        <v>0</v>
      </c>
      <c r="AR378" s="46">
        <f t="shared" si="121"/>
        <v>0</v>
      </c>
      <c r="AS378" s="46">
        <f t="shared" si="121"/>
        <v>0</v>
      </c>
      <c r="AT378" s="46">
        <f t="shared" si="121"/>
        <v>0</v>
      </c>
      <c r="AU378" s="46">
        <f t="shared" si="121"/>
        <v>0</v>
      </c>
      <c r="AV378" s="46">
        <f t="shared" si="121"/>
        <v>0</v>
      </c>
      <c r="AW378" s="46">
        <f t="shared" si="121"/>
        <v>0</v>
      </c>
      <c r="AX378" s="46">
        <f t="shared" si="121"/>
        <v>0</v>
      </c>
      <c r="AY378" s="46">
        <f t="shared" si="121"/>
        <v>0</v>
      </c>
      <c r="AZ378" s="46">
        <f t="shared" si="121"/>
        <v>0</v>
      </c>
      <c r="BA378" s="46">
        <f t="shared" si="121"/>
        <v>0</v>
      </c>
      <c r="BB378" s="46">
        <f t="shared" si="121"/>
        <v>0</v>
      </c>
      <c r="BC378" s="46">
        <f t="shared" si="121"/>
        <v>0</v>
      </c>
      <c r="BD378" s="46">
        <f t="shared" si="121"/>
        <v>0</v>
      </c>
      <c r="BE378" s="46">
        <f t="shared" si="121"/>
        <v>0</v>
      </c>
      <c r="BF378" s="46">
        <f t="shared" si="121"/>
        <v>0</v>
      </c>
      <c r="BG378" s="46">
        <f t="shared" si="121"/>
        <v>0</v>
      </c>
      <c r="BH378" s="290"/>
      <c r="BI378" s="290"/>
      <c r="BJ378" s="290"/>
      <c r="BK378" s="291"/>
      <c r="BL378" s="301"/>
      <c r="BM378" s="309"/>
      <c r="BN378" s="13"/>
      <c r="BO378" s="15"/>
      <c r="BQ378" s="17"/>
    </row>
    <row r="379" spans="1:69" ht="15">
      <c r="A379" s="284"/>
      <c r="B379" s="118" t="s">
        <v>31</v>
      </c>
      <c r="C379" s="290"/>
      <c r="D379" s="4" t="s">
        <v>31</v>
      </c>
      <c r="E379" s="97">
        <f>F379+G379</f>
        <v>0.28</v>
      </c>
      <c r="F379" s="97"/>
      <c r="G379" s="88">
        <f t="shared" si="119"/>
        <v>0.28</v>
      </c>
      <c r="H379" s="46">
        <v>0.01</v>
      </c>
      <c r="I379" s="46"/>
      <c r="J379" s="46"/>
      <c r="K379" s="46">
        <v>0.02</v>
      </c>
      <c r="L379" s="46">
        <v>0.04</v>
      </c>
      <c r="M379" s="46"/>
      <c r="N379" s="46"/>
      <c r="O379" s="46"/>
      <c r="P379" s="46"/>
      <c r="Q379" s="46"/>
      <c r="R379" s="46"/>
      <c r="S379" s="46"/>
      <c r="T379" s="46"/>
      <c r="U379" s="46"/>
      <c r="V379" s="46"/>
      <c r="W379" s="46"/>
      <c r="X379" s="46"/>
      <c r="Y379" s="46"/>
      <c r="Z379" s="46"/>
      <c r="AA379" s="46"/>
      <c r="AB379" s="46"/>
      <c r="AC379" s="46"/>
      <c r="AD379" s="46"/>
      <c r="AE379" s="46"/>
      <c r="AF379" s="46">
        <v>0.21</v>
      </c>
      <c r="AG379" s="46">
        <f aca="true" t="shared" si="122" ref="AG379:BG379">AG376*30%</f>
        <v>0</v>
      </c>
      <c r="AH379" s="46">
        <f t="shared" si="122"/>
        <v>0</v>
      </c>
      <c r="AI379" s="46">
        <f t="shared" si="122"/>
        <v>0</v>
      </c>
      <c r="AJ379" s="46">
        <f t="shared" si="122"/>
        <v>0</v>
      </c>
      <c r="AK379" s="46">
        <f t="shared" si="122"/>
        <v>0</v>
      </c>
      <c r="AL379" s="46">
        <f t="shared" si="122"/>
        <v>0</v>
      </c>
      <c r="AM379" s="46">
        <f t="shared" si="122"/>
        <v>0</v>
      </c>
      <c r="AN379" s="46">
        <f t="shared" si="122"/>
        <v>0</v>
      </c>
      <c r="AO379" s="46">
        <f t="shared" si="122"/>
        <v>0</v>
      </c>
      <c r="AP379" s="46">
        <f t="shared" si="122"/>
        <v>0</v>
      </c>
      <c r="AQ379" s="46">
        <f t="shared" si="122"/>
        <v>0</v>
      </c>
      <c r="AR379" s="46">
        <f t="shared" si="122"/>
        <v>0</v>
      </c>
      <c r="AS379" s="46">
        <f t="shared" si="122"/>
        <v>0</v>
      </c>
      <c r="AT379" s="46">
        <f t="shared" si="122"/>
        <v>0</v>
      </c>
      <c r="AU379" s="46">
        <f t="shared" si="122"/>
        <v>0</v>
      </c>
      <c r="AV379" s="46">
        <f t="shared" si="122"/>
        <v>0</v>
      </c>
      <c r="AW379" s="46">
        <f t="shared" si="122"/>
        <v>0</v>
      </c>
      <c r="AX379" s="46">
        <f t="shared" si="122"/>
        <v>0</v>
      </c>
      <c r="AY379" s="46">
        <f t="shared" si="122"/>
        <v>0</v>
      </c>
      <c r="AZ379" s="46">
        <f t="shared" si="122"/>
        <v>0</v>
      </c>
      <c r="BA379" s="46">
        <f t="shared" si="122"/>
        <v>0</v>
      </c>
      <c r="BB379" s="46">
        <f t="shared" si="122"/>
        <v>0</v>
      </c>
      <c r="BC379" s="46">
        <f t="shared" si="122"/>
        <v>0</v>
      </c>
      <c r="BD379" s="46">
        <f t="shared" si="122"/>
        <v>0</v>
      </c>
      <c r="BE379" s="46">
        <f t="shared" si="122"/>
        <v>0</v>
      </c>
      <c r="BF379" s="46">
        <f t="shared" si="122"/>
        <v>0</v>
      </c>
      <c r="BG379" s="46">
        <f t="shared" si="122"/>
        <v>0</v>
      </c>
      <c r="BH379" s="290"/>
      <c r="BI379" s="290"/>
      <c r="BJ379" s="290"/>
      <c r="BK379" s="291"/>
      <c r="BL379" s="301"/>
      <c r="BM379" s="309"/>
      <c r="BN379" s="13"/>
      <c r="BO379" s="15"/>
      <c r="BQ379" s="17"/>
    </row>
    <row r="380" spans="1:67" ht="41.25" customHeight="1">
      <c r="A380" s="305">
        <f>A376+1</f>
        <v>241</v>
      </c>
      <c r="B380" s="2" t="s">
        <v>747</v>
      </c>
      <c r="C380" s="290" t="s">
        <v>988</v>
      </c>
      <c r="D380" s="4"/>
      <c r="E380" s="45">
        <v>4.5</v>
      </c>
      <c r="F380" s="5"/>
      <c r="G380" s="88">
        <f t="shared" si="119"/>
        <v>4.499999999999999</v>
      </c>
      <c r="H380" s="97">
        <f>SUM(H381:H383)</f>
        <v>0.45999999999999996</v>
      </c>
      <c r="I380" s="97">
        <f aca="true" t="shared" si="123" ref="I380:BG380">SUM(I381:I383)</f>
        <v>0</v>
      </c>
      <c r="J380" s="97">
        <f t="shared" si="123"/>
        <v>0</v>
      </c>
      <c r="K380" s="97">
        <f t="shared" si="123"/>
        <v>2.3</v>
      </c>
      <c r="L380" s="97">
        <f t="shared" si="123"/>
        <v>0.57</v>
      </c>
      <c r="M380" s="97">
        <f t="shared" si="123"/>
        <v>0</v>
      </c>
      <c r="N380" s="97">
        <f t="shared" si="123"/>
        <v>0</v>
      </c>
      <c r="O380" s="97">
        <f t="shared" si="123"/>
        <v>0</v>
      </c>
      <c r="P380" s="97">
        <f t="shared" si="123"/>
        <v>0</v>
      </c>
      <c r="Q380" s="97">
        <f t="shared" si="123"/>
        <v>0</v>
      </c>
      <c r="R380" s="97">
        <f t="shared" si="123"/>
        <v>0</v>
      </c>
      <c r="S380" s="97">
        <f t="shared" si="123"/>
        <v>0</v>
      </c>
      <c r="T380" s="97">
        <f t="shared" si="123"/>
        <v>0</v>
      </c>
      <c r="U380" s="97">
        <f t="shared" si="123"/>
        <v>0</v>
      </c>
      <c r="V380" s="97">
        <f t="shared" si="123"/>
        <v>0</v>
      </c>
      <c r="W380" s="97">
        <f t="shared" si="123"/>
        <v>0</v>
      </c>
      <c r="X380" s="97">
        <f t="shared" si="123"/>
        <v>0</v>
      </c>
      <c r="Y380" s="97">
        <f t="shared" si="123"/>
        <v>0</v>
      </c>
      <c r="Z380" s="97">
        <f t="shared" si="123"/>
        <v>0</v>
      </c>
      <c r="AA380" s="97">
        <f t="shared" si="123"/>
        <v>0</v>
      </c>
      <c r="AB380" s="97">
        <f t="shared" si="123"/>
        <v>0</v>
      </c>
      <c r="AC380" s="97">
        <f t="shared" si="123"/>
        <v>0</v>
      </c>
      <c r="AD380" s="97">
        <f t="shared" si="123"/>
        <v>0</v>
      </c>
      <c r="AE380" s="97">
        <f t="shared" si="123"/>
        <v>0</v>
      </c>
      <c r="AF380" s="97">
        <f t="shared" si="123"/>
        <v>0.32</v>
      </c>
      <c r="AG380" s="97">
        <f t="shared" si="123"/>
        <v>0</v>
      </c>
      <c r="AH380" s="97">
        <f t="shared" si="123"/>
        <v>0</v>
      </c>
      <c r="AI380" s="97">
        <f t="shared" si="123"/>
        <v>0</v>
      </c>
      <c r="AJ380" s="97">
        <f t="shared" si="123"/>
        <v>0</v>
      </c>
      <c r="AK380" s="97">
        <f t="shared" si="123"/>
        <v>0</v>
      </c>
      <c r="AL380" s="97">
        <f t="shared" si="123"/>
        <v>0</v>
      </c>
      <c r="AM380" s="97">
        <f t="shared" si="123"/>
        <v>0</v>
      </c>
      <c r="AN380" s="97">
        <f t="shared" si="123"/>
        <v>0</v>
      </c>
      <c r="AO380" s="97">
        <f t="shared" si="123"/>
        <v>0</v>
      </c>
      <c r="AP380" s="97">
        <f t="shared" si="123"/>
        <v>0</v>
      </c>
      <c r="AQ380" s="97">
        <f t="shared" si="123"/>
        <v>0</v>
      </c>
      <c r="AR380" s="97">
        <f t="shared" si="123"/>
        <v>0</v>
      </c>
      <c r="AS380" s="97">
        <f t="shared" si="123"/>
        <v>0</v>
      </c>
      <c r="AT380" s="97">
        <f t="shared" si="123"/>
        <v>0.85</v>
      </c>
      <c r="AU380" s="97">
        <f t="shared" si="123"/>
        <v>0</v>
      </c>
      <c r="AV380" s="97">
        <f t="shared" si="123"/>
        <v>0</v>
      </c>
      <c r="AW380" s="97">
        <f t="shared" si="123"/>
        <v>0</v>
      </c>
      <c r="AX380" s="97">
        <f t="shared" si="123"/>
        <v>0</v>
      </c>
      <c r="AY380" s="97">
        <f t="shared" si="123"/>
        <v>0</v>
      </c>
      <c r="AZ380" s="97">
        <f t="shared" si="123"/>
        <v>0</v>
      </c>
      <c r="BA380" s="97">
        <f t="shared" si="123"/>
        <v>0</v>
      </c>
      <c r="BB380" s="97">
        <f t="shared" si="123"/>
        <v>0</v>
      </c>
      <c r="BC380" s="97">
        <f t="shared" si="123"/>
        <v>0</v>
      </c>
      <c r="BD380" s="97">
        <f t="shared" si="123"/>
        <v>0</v>
      </c>
      <c r="BE380" s="97">
        <f t="shared" si="123"/>
        <v>0</v>
      </c>
      <c r="BF380" s="97">
        <f t="shared" si="123"/>
        <v>0</v>
      </c>
      <c r="BG380" s="97">
        <f t="shared" si="123"/>
        <v>0</v>
      </c>
      <c r="BH380" s="290" t="s">
        <v>66</v>
      </c>
      <c r="BI380" s="290" t="s">
        <v>988</v>
      </c>
      <c r="BJ380" s="290" t="s">
        <v>748</v>
      </c>
      <c r="BK380" s="291" t="s">
        <v>120</v>
      </c>
      <c r="BL380" s="301" t="s">
        <v>746</v>
      </c>
      <c r="BM380" s="309" t="s">
        <v>194</v>
      </c>
      <c r="BN380" s="13" t="s">
        <v>1025</v>
      </c>
      <c r="BO380" s="15" t="s">
        <v>1147</v>
      </c>
    </row>
    <row r="381" spans="1:69" ht="21.75" customHeight="1">
      <c r="A381" s="305"/>
      <c r="B381" s="118" t="s">
        <v>49</v>
      </c>
      <c r="C381" s="290"/>
      <c r="D381" s="4" t="s">
        <v>49</v>
      </c>
      <c r="E381" s="97">
        <f aca="true" t="shared" si="124" ref="E381:E442">F381+G381</f>
        <v>1.8</v>
      </c>
      <c r="F381" s="97"/>
      <c r="G381" s="88">
        <f t="shared" si="119"/>
        <v>1.8</v>
      </c>
      <c r="H381" s="46">
        <v>0.18</v>
      </c>
      <c r="I381" s="46"/>
      <c r="J381" s="46"/>
      <c r="K381" s="46">
        <v>0.6200000000000001</v>
      </c>
      <c r="L381" s="46">
        <v>0.23</v>
      </c>
      <c r="M381" s="46"/>
      <c r="N381" s="46"/>
      <c r="O381" s="46"/>
      <c r="P381" s="46"/>
      <c r="Q381" s="46"/>
      <c r="R381" s="46"/>
      <c r="S381" s="46"/>
      <c r="T381" s="46"/>
      <c r="U381" s="46">
        <v>0</v>
      </c>
      <c r="V381" s="46"/>
      <c r="W381" s="46"/>
      <c r="X381" s="46"/>
      <c r="Y381" s="46">
        <v>0</v>
      </c>
      <c r="Z381" s="46">
        <v>0</v>
      </c>
      <c r="AA381" s="46">
        <v>0</v>
      </c>
      <c r="AB381" s="46">
        <v>0</v>
      </c>
      <c r="AC381" s="46">
        <v>0</v>
      </c>
      <c r="AD381" s="46">
        <v>0</v>
      </c>
      <c r="AE381" s="46">
        <v>0</v>
      </c>
      <c r="AF381" s="46">
        <v>0.02</v>
      </c>
      <c r="AG381" s="46">
        <v>0</v>
      </c>
      <c r="AH381" s="46">
        <v>0</v>
      </c>
      <c r="AI381" s="46">
        <v>0</v>
      </c>
      <c r="AJ381" s="46">
        <v>0</v>
      </c>
      <c r="AK381" s="46">
        <v>0</v>
      </c>
      <c r="AL381" s="46">
        <v>0</v>
      </c>
      <c r="AM381" s="46">
        <v>0</v>
      </c>
      <c r="AN381" s="46">
        <v>0</v>
      </c>
      <c r="AO381" s="46">
        <v>0</v>
      </c>
      <c r="AP381" s="46">
        <v>0</v>
      </c>
      <c r="AQ381" s="46">
        <v>0</v>
      </c>
      <c r="AR381" s="46">
        <v>0</v>
      </c>
      <c r="AS381" s="46">
        <v>0</v>
      </c>
      <c r="AT381" s="46">
        <v>0.75</v>
      </c>
      <c r="AU381" s="46">
        <v>0</v>
      </c>
      <c r="AV381" s="46">
        <v>0</v>
      </c>
      <c r="AW381" s="46">
        <v>0</v>
      </c>
      <c r="AX381" s="46">
        <v>0</v>
      </c>
      <c r="AY381" s="46">
        <v>0</v>
      </c>
      <c r="AZ381" s="46">
        <v>0</v>
      </c>
      <c r="BA381" s="46">
        <v>0</v>
      </c>
      <c r="BB381" s="46">
        <v>0</v>
      </c>
      <c r="BC381" s="46">
        <v>0</v>
      </c>
      <c r="BD381" s="46">
        <v>0</v>
      </c>
      <c r="BE381" s="46">
        <v>0</v>
      </c>
      <c r="BF381" s="46">
        <v>0</v>
      </c>
      <c r="BG381" s="46">
        <v>0</v>
      </c>
      <c r="BH381" s="290"/>
      <c r="BI381" s="290"/>
      <c r="BJ381" s="290"/>
      <c r="BK381" s="291"/>
      <c r="BL381" s="301"/>
      <c r="BM381" s="309"/>
      <c r="BN381" s="13"/>
      <c r="BO381" s="15"/>
      <c r="BQ381" s="17"/>
    </row>
    <row r="382" spans="1:69" ht="21.75" customHeight="1">
      <c r="A382" s="305"/>
      <c r="B382" s="118" t="s">
        <v>34</v>
      </c>
      <c r="C382" s="290"/>
      <c r="D382" s="4" t="s">
        <v>34</v>
      </c>
      <c r="E382" s="97">
        <f t="shared" si="124"/>
        <v>1.35</v>
      </c>
      <c r="F382" s="97"/>
      <c r="G382" s="88">
        <f t="shared" si="119"/>
        <v>1.35</v>
      </c>
      <c r="H382" s="46">
        <v>0.15</v>
      </c>
      <c r="I382" s="46"/>
      <c r="J382" s="46"/>
      <c r="K382" s="46">
        <v>0.63</v>
      </c>
      <c r="L382" s="46">
        <v>0.17</v>
      </c>
      <c r="M382" s="46"/>
      <c r="N382" s="46"/>
      <c r="O382" s="46"/>
      <c r="P382" s="46"/>
      <c r="Q382" s="46"/>
      <c r="R382" s="46"/>
      <c r="S382" s="46"/>
      <c r="T382" s="46"/>
      <c r="U382" s="48">
        <v>0</v>
      </c>
      <c r="V382" s="46"/>
      <c r="W382" s="46"/>
      <c r="X382" s="46"/>
      <c r="Y382" s="46">
        <v>0</v>
      </c>
      <c r="Z382" s="46">
        <v>0</v>
      </c>
      <c r="AA382" s="46">
        <v>0</v>
      </c>
      <c r="AB382" s="46">
        <v>0</v>
      </c>
      <c r="AC382" s="46">
        <v>0</v>
      </c>
      <c r="AD382" s="46">
        <v>0</v>
      </c>
      <c r="AE382" s="46">
        <v>0</v>
      </c>
      <c r="AF382" s="46">
        <v>0.3</v>
      </c>
      <c r="AG382" s="46">
        <v>0</v>
      </c>
      <c r="AH382" s="46">
        <v>0</v>
      </c>
      <c r="AI382" s="46">
        <v>0</v>
      </c>
      <c r="AJ382" s="46">
        <v>0</v>
      </c>
      <c r="AK382" s="46">
        <v>0</v>
      </c>
      <c r="AL382" s="46">
        <v>0</v>
      </c>
      <c r="AM382" s="46">
        <v>0</v>
      </c>
      <c r="AN382" s="46">
        <v>0</v>
      </c>
      <c r="AO382" s="46">
        <v>0</v>
      </c>
      <c r="AP382" s="46">
        <v>0</v>
      </c>
      <c r="AQ382" s="46">
        <v>0</v>
      </c>
      <c r="AR382" s="46">
        <v>0</v>
      </c>
      <c r="AS382" s="46">
        <v>0</v>
      </c>
      <c r="AT382" s="46">
        <v>0.1</v>
      </c>
      <c r="AU382" s="46">
        <v>0</v>
      </c>
      <c r="AV382" s="46">
        <v>0</v>
      </c>
      <c r="AW382" s="46">
        <v>0</v>
      </c>
      <c r="AX382" s="46">
        <v>0</v>
      </c>
      <c r="AY382" s="46">
        <v>0</v>
      </c>
      <c r="AZ382" s="46">
        <v>0</v>
      </c>
      <c r="BA382" s="46">
        <v>0</v>
      </c>
      <c r="BB382" s="46">
        <v>0</v>
      </c>
      <c r="BC382" s="46">
        <v>0</v>
      </c>
      <c r="BD382" s="46">
        <v>0</v>
      </c>
      <c r="BE382" s="46">
        <v>0</v>
      </c>
      <c r="BF382" s="46">
        <v>0</v>
      </c>
      <c r="BG382" s="46">
        <v>0</v>
      </c>
      <c r="BH382" s="290"/>
      <c r="BI382" s="290"/>
      <c r="BJ382" s="290"/>
      <c r="BK382" s="291"/>
      <c r="BL382" s="301"/>
      <c r="BM382" s="309"/>
      <c r="BN382" s="13"/>
      <c r="BO382" s="15"/>
      <c r="BQ382" s="17"/>
    </row>
    <row r="383" spans="1:69" ht="21.75" customHeight="1">
      <c r="A383" s="305"/>
      <c r="B383" s="118" t="s">
        <v>31</v>
      </c>
      <c r="C383" s="290"/>
      <c r="D383" s="4" t="s">
        <v>31</v>
      </c>
      <c r="E383" s="97">
        <f t="shared" si="124"/>
        <v>1.35</v>
      </c>
      <c r="F383" s="97"/>
      <c r="G383" s="88">
        <f t="shared" si="119"/>
        <v>1.35</v>
      </c>
      <c r="H383" s="46">
        <v>0.13</v>
      </c>
      <c r="I383" s="46"/>
      <c r="J383" s="46"/>
      <c r="K383" s="46">
        <f>1.11-0.06</f>
        <v>1.05</v>
      </c>
      <c r="L383" s="46">
        <v>0.16999999999999996</v>
      </c>
      <c r="M383" s="46"/>
      <c r="N383" s="46"/>
      <c r="O383" s="46"/>
      <c r="P383" s="46"/>
      <c r="Q383" s="46"/>
      <c r="R383" s="46"/>
      <c r="S383" s="46"/>
      <c r="T383" s="46"/>
      <c r="U383" s="46">
        <v>0</v>
      </c>
      <c r="V383" s="46"/>
      <c r="W383" s="46"/>
      <c r="X383" s="46"/>
      <c r="Y383" s="46">
        <v>0</v>
      </c>
      <c r="Z383" s="46">
        <v>0</v>
      </c>
      <c r="AA383" s="46">
        <v>0</v>
      </c>
      <c r="AB383" s="46">
        <v>0</v>
      </c>
      <c r="AC383" s="46">
        <v>0</v>
      </c>
      <c r="AD383" s="46">
        <v>0</v>
      </c>
      <c r="AE383" s="46">
        <v>0</v>
      </c>
      <c r="AF383" s="46"/>
      <c r="AG383" s="46">
        <v>0</v>
      </c>
      <c r="AH383" s="46">
        <v>0</v>
      </c>
      <c r="AI383" s="46">
        <v>0</v>
      </c>
      <c r="AJ383" s="46">
        <v>0</v>
      </c>
      <c r="AK383" s="46">
        <v>0</v>
      </c>
      <c r="AL383" s="46">
        <v>0</v>
      </c>
      <c r="AM383" s="46">
        <v>0</v>
      </c>
      <c r="AN383" s="46">
        <v>0</v>
      </c>
      <c r="AO383" s="46">
        <v>0</v>
      </c>
      <c r="AP383" s="46">
        <v>0</v>
      </c>
      <c r="AQ383" s="46">
        <v>0</v>
      </c>
      <c r="AR383" s="46">
        <v>0</v>
      </c>
      <c r="AS383" s="46">
        <v>0</v>
      </c>
      <c r="AT383" s="46"/>
      <c r="AU383" s="46">
        <v>0</v>
      </c>
      <c r="AV383" s="46">
        <v>0</v>
      </c>
      <c r="AW383" s="46">
        <v>0</v>
      </c>
      <c r="AX383" s="46">
        <v>0</v>
      </c>
      <c r="AY383" s="46">
        <v>0</v>
      </c>
      <c r="AZ383" s="46">
        <v>0</v>
      </c>
      <c r="BA383" s="46">
        <v>0</v>
      </c>
      <c r="BB383" s="46">
        <v>0</v>
      </c>
      <c r="BC383" s="46">
        <v>0</v>
      </c>
      <c r="BD383" s="46">
        <v>0</v>
      </c>
      <c r="BE383" s="46">
        <v>0</v>
      </c>
      <c r="BF383" s="46">
        <v>0</v>
      </c>
      <c r="BG383" s="46">
        <v>0</v>
      </c>
      <c r="BH383" s="290"/>
      <c r="BI383" s="290"/>
      <c r="BJ383" s="290"/>
      <c r="BK383" s="291"/>
      <c r="BL383" s="301"/>
      <c r="BM383" s="309"/>
      <c r="BN383" s="13"/>
      <c r="BO383" s="15"/>
      <c r="BQ383" s="17"/>
    </row>
    <row r="384" spans="1:71" s="93" customFormat="1" ht="38.25" customHeight="1">
      <c r="A384" s="305">
        <f>A380+1</f>
        <v>242</v>
      </c>
      <c r="B384" s="47" t="s">
        <v>749</v>
      </c>
      <c r="C384" s="305" t="s">
        <v>65</v>
      </c>
      <c r="D384" s="4"/>
      <c r="E384" s="45">
        <f t="shared" si="124"/>
        <v>4.999999999999999</v>
      </c>
      <c r="F384" s="45"/>
      <c r="G384" s="5">
        <f>SUM(H384:M384,Q384,U384,Y384:BG384)</f>
        <v>4.999999999999999</v>
      </c>
      <c r="H384" s="46">
        <v>0.23</v>
      </c>
      <c r="I384" s="46"/>
      <c r="J384" s="46"/>
      <c r="K384" s="46">
        <v>0.34</v>
      </c>
      <c r="L384" s="46">
        <v>3.67</v>
      </c>
      <c r="M384" s="46"/>
      <c r="N384" s="46"/>
      <c r="O384" s="46"/>
      <c r="P384" s="46"/>
      <c r="Q384" s="46"/>
      <c r="R384" s="46"/>
      <c r="S384" s="46"/>
      <c r="T384" s="46"/>
      <c r="U384" s="48">
        <f aca="true" t="shared" si="125" ref="U384:U392">SUM(V384:X384)</f>
        <v>0</v>
      </c>
      <c r="V384" s="46"/>
      <c r="W384" s="46"/>
      <c r="X384" s="46"/>
      <c r="Y384" s="46">
        <v>0.1</v>
      </c>
      <c r="Z384" s="46"/>
      <c r="AA384" s="46"/>
      <c r="AB384" s="46"/>
      <c r="AC384" s="46">
        <v>0.06</v>
      </c>
      <c r="AD384" s="46">
        <v>0.09</v>
      </c>
      <c r="AE384" s="46"/>
      <c r="AF384" s="46"/>
      <c r="AG384" s="46"/>
      <c r="AH384" s="46"/>
      <c r="AI384" s="46">
        <v>0.16</v>
      </c>
      <c r="AJ384" s="46"/>
      <c r="AK384" s="46"/>
      <c r="AL384" s="46"/>
      <c r="AM384" s="46"/>
      <c r="AN384" s="46"/>
      <c r="AO384" s="46"/>
      <c r="AP384" s="46"/>
      <c r="AQ384" s="46"/>
      <c r="AR384" s="46"/>
      <c r="AS384" s="46"/>
      <c r="AT384" s="84"/>
      <c r="AU384" s="46">
        <v>0.35</v>
      </c>
      <c r="AV384" s="46"/>
      <c r="AW384" s="46"/>
      <c r="AX384" s="46"/>
      <c r="AY384" s="46"/>
      <c r="AZ384" s="46"/>
      <c r="BA384" s="46"/>
      <c r="BB384" s="46"/>
      <c r="BC384" s="46"/>
      <c r="BD384" s="46"/>
      <c r="BE384" s="46"/>
      <c r="BF384" s="46"/>
      <c r="BG384" s="46"/>
      <c r="BH384" s="306" t="s">
        <v>185</v>
      </c>
      <c r="BI384" s="305" t="s">
        <v>65</v>
      </c>
      <c r="BJ384" s="302" t="s">
        <v>750</v>
      </c>
      <c r="BK384" s="291" t="s">
        <v>374</v>
      </c>
      <c r="BL384" s="304" t="s">
        <v>341</v>
      </c>
      <c r="BM384" s="293" t="s">
        <v>935</v>
      </c>
      <c r="BN384" s="46" t="s">
        <v>1024</v>
      </c>
      <c r="BO384" s="179" t="s">
        <v>1147</v>
      </c>
      <c r="BP384" s="92"/>
      <c r="BS384" s="94"/>
    </row>
    <row r="385" spans="1:71" s="114" customFormat="1" ht="15">
      <c r="A385" s="305"/>
      <c r="B385" s="234" t="s">
        <v>49</v>
      </c>
      <c r="C385" s="305"/>
      <c r="D385" s="103" t="s">
        <v>49</v>
      </c>
      <c r="E385" s="148">
        <f t="shared" si="124"/>
        <v>2.59</v>
      </c>
      <c r="F385" s="148"/>
      <c r="G385" s="89">
        <f>SUM(H385:BG385)-M385-Q385-U385</f>
        <v>2.59</v>
      </c>
      <c r="H385" s="224">
        <v>0.09</v>
      </c>
      <c r="I385" s="224"/>
      <c r="J385" s="224"/>
      <c r="K385" s="224">
        <v>0.14</v>
      </c>
      <c r="L385" s="46">
        <v>1.96</v>
      </c>
      <c r="M385" s="224"/>
      <c r="N385" s="224"/>
      <c r="O385" s="224"/>
      <c r="P385" s="224"/>
      <c r="Q385" s="224"/>
      <c r="R385" s="224"/>
      <c r="S385" s="224"/>
      <c r="T385" s="224"/>
      <c r="U385" s="48">
        <f t="shared" si="125"/>
        <v>0</v>
      </c>
      <c r="V385" s="224"/>
      <c r="W385" s="224"/>
      <c r="X385" s="224"/>
      <c r="Y385" s="224">
        <v>0.04</v>
      </c>
      <c r="Z385" s="224"/>
      <c r="AA385" s="224"/>
      <c r="AB385" s="224"/>
      <c r="AC385" s="224">
        <v>0.02</v>
      </c>
      <c r="AD385" s="224">
        <v>0.04</v>
      </c>
      <c r="AE385" s="224"/>
      <c r="AF385" s="224"/>
      <c r="AG385" s="224"/>
      <c r="AH385" s="224"/>
      <c r="AI385" s="224">
        <v>0.06</v>
      </c>
      <c r="AJ385" s="224"/>
      <c r="AK385" s="224"/>
      <c r="AL385" s="224"/>
      <c r="AM385" s="224"/>
      <c r="AN385" s="224"/>
      <c r="AO385" s="224"/>
      <c r="AP385" s="224"/>
      <c r="AQ385" s="224"/>
      <c r="AR385" s="224"/>
      <c r="AS385" s="224"/>
      <c r="AT385" s="224"/>
      <c r="AU385" s="224">
        <v>0.24</v>
      </c>
      <c r="AV385" s="224"/>
      <c r="AW385" s="224"/>
      <c r="AX385" s="224"/>
      <c r="AY385" s="224"/>
      <c r="AZ385" s="224"/>
      <c r="BA385" s="224"/>
      <c r="BB385" s="224"/>
      <c r="BC385" s="224"/>
      <c r="BD385" s="224"/>
      <c r="BE385" s="224"/>
      <c r="BF385" s="224"/>
      <c r="BG385" s="224"/>
      <c r="BH385" s="306"/>
      <c r="BI385" s="305"/>
      <c r="BJ385" s="302"/>
      <c r="BK385" s="291"/>
      <c r="BL385" s="304"/>
      <c r="BM385" s="293"/>
      <c r="BN385" s="111"/>
      <c r="BO385" s="112"/>
      <c r="BP385" s="113"/>
      <c r="BS385" s="115"/>
    </row>
    <row r="386" spans="1:71" s="114" customFormat="1" ht="15">
      <c r="A386" s="305"/>
      <c r="B386" s="234" t="s">
        <v>34</v>
      </c>
      <c r="C386" s="305"/>
      <c r="D386" s="103" t="s">
        <v>34</v>
      </c>
      <c r="E386" s="148">
        <f t="shared" si="124"/>
        <v>1.41</v>
      </c>
      <c r="F386" s="148"/>
      <c r="G386" s="89">
        <f>SUM(H386:BG386)-M386-Q386-U386</f>
        <v>1.41</v>
      </c>
      <c r="H386" s="224">
        <v>0.07</v>
      </c>
      <c r="I386" s="224"/>
      <c r="J386" s="224"/>
      <c r="K386" s="224">
        <v>0.1</v>
      </c>
      <c r="L386" s="46">
        <v>1.1099999999999999</v>
      </c>
      <c r="M386" s="224"/>
      <c r="N386" s="224"/>
      <c r="O386" s="224"/>
      <c r="P386" s="224"/>
      <c r="Q386" s="224"/>
      <c r="R386" s="224"/>
      <c r="S386" s="224"/>
      <c r="T386" s="224"/>
      <c r="U386" s="48">
        <f>SUM(V386:X386)</f>
        <v>0</v>
      </c>
      <c r="V386" s="224"/>
      <c r="W386" s="224"/>
      <c r="X386" s="224"/>
      <c r="Y386" s="224">
        <v>0.03</v>
      </c>
      <c r="Z386" s="224"/>
      <c r="AA386" s="224"/>
      <c r="AB386" s="224"/>
      <c r="AC386" s="224">
        <v>0.02</v>
      </c>
      <c r="AD386" s="224">
        <v>0.03</v>
      </c>
      <c r="AE386" s="224"/>
      <c r="AF386" s="224"/>
      <c r="AG386" s="224"/>
      <c r="AH386" s="224"/>
      <c r="AI386" s="224">
        <v>0.05</v>
      </c>
      <c r="AJ386" s="224"/>
      <c r="AK386" s="224"/>
      <c r="AL386" s="224"/>
      <c r="AM386" s="224"/>
      <c r="AN386" s="224"/>
      <c r="AO386" s="224"/>
      <c r="AP386" s="224"/>
      <c r="AQ386" s="224"/>
      <c r="AR386" s="224"/>
      <c r="AS386" s="224"/>
      <c r="AT386" s="224"/>
      <c r="AU386" s="224"/>
      <c r="AV386" s="224"/>
      <c r="AW386" s="224"/>
      <c r="AX386" s="224"/>
      <c r="AY386" s="224"/>
      <c r="AZ386" s="224"/>
      <c r="BA386" s="224"/>
      <c r="BB386" s="224"/>
      <c r="BC386" s="224"/>
      <c r="BD386" s="224"/>
      <c r="BE386" s="224"/>
      <c r="BF386" s="224"/>
      <c r="BG386" s="224"/>
      <c r="BH386" s="306"/>
      <c r="BI386" s="305"/>
      <c r="BJ386" s="302"/>
      <c r="BK386" s="291"/>
      <c r="BL386" s="304"/>
      <c r="BM386" s="293"/>
      <c r="BN386" s="111"/>
      <c r="BO386" s="112"/>
      <c r="BP386" s="113"/>
      <c r="BS386" s="115"/>
    </row>
    <row r="387" spans="1:71" s="114" customFormat="1" ht="15">
      <c r="A387" s="305"/>
      <c r="B387" s="234" t="s">
        <v>31</v>
      </c>
      <c r="C387" s="305"/>
      <c r="D387" s="103" t="s">
        <v>31</v>
      </c>
      <c r="E387" s="148">
        <f t="shared" si="124"/>
        <v>1.0000000000000002</v>
      </c>
      <c r="F387" s="148"/>
      <c r="G387" s="89">
        <f>SUM(H387:BG387)-M387-Q387-U387</f>
        <v>1.0000000000000002</v>
      </c>
      <c r="H387" s="224">
        <v>0.07</v>
      </c>
      <c r="I387" s="224"/>
      <c r="J387" s="224"/>
      <c r="K387" s="224">
        <v>0.1</v>
      </c>
      <c r="L387" s="46">
        <v>0.6</v>
      </c>
      <c r="M387" s="224"/>
      <c r="N387" s="224"/>
      <c r="O387" s="224"/>
      <c r="P387" s="224"/>
      <c r="Q387" s="224"/>
      <c r="R387" s="224"/>
      <c r="S387" s="224"/>
      <c r="T387" s="224"/>
      <c r="U387" s="48">
        <f t="shared" si="125"/>
        <v>0</v>
      </c>
      <c r="V387" s="224"/>
      <c r="W387" s="224"/>
      <c r="X387" s="224"/>
      <c r="Y387" s="224">
        <v>0.03</v>
      </c>
      <c r="Z387" s="224"/>
      <c r="AA387" s="224"/>
      <c r="AB387" s="224"/>
      <c r="AC387" s="224">
        <v>0.02</v>
      </c>
      <c r="AD387" s="224">
        <v>0.02</v>
      </c>
      <c r="AE387" s="224"/>
      <c r="AF387" s="224"/>
      <c r="AG387" s="224"/>
      <c r="AH387" s="224"/>
      <c r="AI387" s="224">
        <v>0.05</v>
      </c>
      <c r="AJ387" s="224"/>
      <c r="AK387" s="224"/>
      <c r="AL387" s="224"/>
      <c r="AM387" s="224"/>
      <c r="AN387" s="224"/>
      <c r="AO387" s="224"/>
      <c r="AP387" s="224"/>
      <c r="AQ387" s="224"/>
      <c r="AR387" s="224"/>
      <c r="AS387" s="224"/>
      <c r="AT387" s="224"/>
      <c r="AU387" s="224">
        <v>0.11</v>
      </c>
      <c r="AV387" s="224"/>
      <c r="AW387" s="224"/>
      <c r="AX387" s="224"/>
      <c r="AY387" s="224"/>
      <c r="AZ387" s="224"/>
      <c r="BA387" s="224"/>
      <c r="BB387" s="224"/>
      <c r="BC387" s="224"/>
      <c r="BD387" s="224"/>
      <c r="BE387" s="224"/>
      <c r="BF387" s="224"/>
      <c r="BG387" s="224"/>
      <c r="BH387" s="306"/>
      <c r="BI387" s="305"/>
      <c r="BJ387" s="302"/>
      <c r="BK387" s="291"/>
      <c r="BL387" s="304"/>
      <c r="BM387" s="293"/>
      <c r="BN387" s="111"/>
      <c r="BO387" s="112"/>
      <c r="BP387" s="113"/>
      <c r="BS387" s="115"/>
    </row>
    <row r="388" spans="1:67" ht="46.5">
      <c r="A388" s="305">
        <f>A384+1</f>
        <v>243</v>
      </c>
      <c r="B388" s="47" t="s">
        <v>751</v>
      </c>
      <c r="C388" s="311" t="s">
        <v>752</v>
      </c>
      <c r="D388" s="4"/>
      <c r="E388" s="45">
        <f t="shared" si="124"/>
        <v>40.07000000000001</v>
      </c>
      <c r="F388" s="45"/>
      <c r="G388" s="5">
        <f>SUM(H388:M388,Q388,U388,Y388:BG388)</f>
        <v>40.07000000000001</v>
      </c>
      <c r="H388" s="46">
        <f>SUM(H389:H392)</f>
        <v>1.7</v>
      </c>
      <c r="I388" s="46">
        <f aca="true" t="shared" si="126" ref="I388:BG388">SUM(I389:I392)</f>
        <v>1.67</v>
      </c>
      <c r="J388" s="46">
        <f t="shared" si="126"/>
        <v>0</v>
      </c>
      <c r="K388" s="46">
        <f t="shared" si="126"/>
        <v>0.8300000000000001</v>
      </c>
      <c r="L388" s="46">
        <f t="shared" si="126"/>
        <v>5.05</v>
      </c>
      <c r="M388" s="46">
        <f t="shared" si="126"/>
        <v>0</v>
      </c>
      <c r="N388" s="46">
        <f t="shared" si="126"/>
        <v>0</v>
      </c>
      <c r="O388" s="46">
        <f t="shared" si="126"/>
        <v>0</v>
      </c>
      <c r="P388" s="46">
        <f t="shared" si="126"/>
        <v>0</v>
      </c>
      <c r="Q388" s="46">
        <f t="shared" si="126"/>
        <v>0</v>
      </c>
      <c r="R388" s="46">
        <f t="shared" si="126"/>
        <v>0</v>
      </c>
      <c r="S388" s="46">
        <f t="shared" si="126"/>
        <v>0</v>
      </c>
      <c r="T388" s="46">
        <f t="shared" si="126"/>
        <v>0</v>
      </c>
      <c r="U388" s="46">
        <f t="shared" si="126"/>
        <v>24.45</v>
      </c>
      <c r="V388" s="46">
        <f t="shared" si="126"/>
        <v>19.78</v>
      </c>
      <c r="W388" s="46">
        <f t="shared" si="126"/>
        <v>3.37</v>
      </c>
      <c r="X388" s="46">
        <f t="shared" si="126"/>
        <v>1.3</v>
      </c>
      <c r="Y388" s="46">
        <f t="shared" si="126"/>
        <v>0.08</v>
      </c>
      <c r="Z388" s="46">
        <f t="shared" si="126"/>
        <v>0</v>
      </c>
      <c r="AA388" s="46">
        <f t="shared" si="126"/>
        <v>0</v>
      </c>
      <c r="AB388" s="46">
        <f t="shared" si="126"/>
        <v>0</v>
      </c>
      <c r="AC388" s="46">
        <f t="shared" si="126"/>
        <v>0</v>
      </c>
      <c r="AD388" s="46">
        <f t="shared" si="126"/>
        <v>0</v>
      </c>
      <c r="AE388" s="46">
        <f t="shared" si="126"/>
        <v>0</v>
      </c>
      <c r="AF388" s="46">
        <f t="shared" si="126"/>
        <v>0.2</v>
      </c>
      <c r="AG388" s="46">
        <f t="shared" si="126"/>
        <v>0</v>
      </c>
      <c r="AH388" s="46">
        <f t="shared" si="126"/>
        <v>0</v>
      </c>
      <c r="AI388" s="46">
        <f t="shared" si="126"/>
        <v>0</v>
      </c>
      <c r="AJ388" s="46">
        <f t="shared" si="126"/>
        <v>0</v>
      </c>
      <c r="AK388" s="46">
        <f t="shared" si="126"/>
        <v>0</v>
      </c>
      <c r="AL388" s="46">
        <f t="shared" si="126"/>
        <v>0</v>
      </c>
      <c r="AM388" s="46">
        <f t="shared" si="126"/>
        <v>0</v>
      </c>
      <c r="AN388" s="46">
        <f t="shared" si="126"/>
        <v>0</v>
      </c>
      <c r="AO388" s="46">
        <f t="shared" si="126"/>
        <v>0</v>
      </c>
      <c r="AP388" s="46">
        <f t="shared" si="126"/>
        <v>0</v>
      </c>
      <c r="AQ388" s="46">
        <f t="shared" si="126"/>
        <v>0</v>
      </c>
      <c r="AR388" s="46">
        <f t="shared" si="126"/>
        <v>0</v>
      </c>
      <c r="AS388" s="46">
        <f t="shared" si="126"/>
        <v>0</v>
      </c>
      <c r="AT388" s="46">
        <f t="shared" si="126"/>
        <v>0</v>
      </c>
      <c r="AU388" s="46">
        <f t="shared" si="126"/>
        <v>0.56</v>
      </c>
      <c r="AV388" s="46">
        <f t="shared" si="126"/>
        <v>0</v>
      </c>
      <c r="AW388" s="46">
        <f t="shared" si="126"/>
        <v>0</v>
      </c>
      <c r="AX388" s="46">
        <f t="shared" si="126"/>
        <v>0</v>
      </c>
      <c r="AY388" s="46">
        <f t="shared" si="126"/>
        <v>0</v>
      </c>
      <c r="AZ388" s="46">
        <f t="shared" si="126"/>
        <v>0</v>
      </c>
      <c r="BA388" s="46">
        <f t="shared" si="126"/>
        <v>0</v>
      </c>
      <c r="BB388" s="46">
        <f t="shared" si="126"/>
        <v>0</v>
      </c>
      <c r="BC388" s="46">
        <f t="shared" si="126"/>
        <v>0</v>
      </c>
      <c r="BD388" s="46">
        <f t="shared" si="126"/>
        <v>2.08</v>
      </c>
      <c r="BE388" s="46">
        <f t="shared" si="126"/>
        <v>0</v>
      </c>
      <c r="BF388" s="46">
        <f t="shared" si="126"/>
        <v>0</v>
      </c>
      <c r="BG388" s="46">
        <f t="shared" si="126"/>
        <v>3.45</v>
      </c>
      <c r="BH388" s="306" t="s">
        <v>753</v>
      </c>
      <c r="BI388" s="311" t="s">
        <v>752</v>
      </c>
      <c r="BJ388" s="302" t="s">
        <v>754</v>
      </c>
      <c r="BK388" s="291" t="s">
        <v>374</v>
      </c>
      <c r="BL388" s="304" t="s">
        <v>341</v>
      </c>
      <c r="BM388" s="309" t="s">
        <v>194</v>
      </c>
      <c r="BN388" s="13" t="s">
        <v>1025</v>
      </c>
      <c r="BO388" s="15" t="s">
        <v>1147</v>
      </c>
    </row>
    <row r="389" spans="1:71" s="114" customFormat="1" ht="15">
      <c r="A389" s="305"/>
      <c r="B389" s="234" t="s">
        <v>49</v>
      </c>
      <c r="C389" s="311"/>
      <c r="D389" s="103" t="s">
        <v>49</v>
      </c>
      <c r="E389" s="148">
        <f t="shared" si="124"/>
        <v>18.380000000000003</v>
      </c>
      <c r="F389" s="148"/>
      <c r="G389" s="89">
        <f>SUM(H389:BG389)-M389-Q389-U389</f>
        <v>18.380000000000003</v>
      </c>
      <c r="H389" s="224">
        <v>0.72</v>
      </c>
      <c r="I389" s="224">
        <v>0.59</v>
      </c>
      <c r="J389" s="224"/>
      <c r="K389" s="224">
        <v>0.29</v>
      </c>
      <c r="L389" s="224">
        <v>2.05</v>
      </c>
      <c r="M389" s="224"/>
      <c r="N389" s="224"/>
      <c r="O389" s="224"/>
      <c r="P389" s="224"/>
      <c r="Q389" s="224"/>
      <c r="R389" s="224"/>
      <c r="S389" s="224"/>
      <c r="T389" s="224"/>
      <c r="U389" s="46">
        <f t="shared" si="125"/>
        <v>13.049999999999999</v>
      </c>
      <c r="V389" s="224">
        <v>11.31</v>
      </c>
      <c r="W389" s="224">
        <v>1.37</v>
      </c>
      <c r="X389" s="224">
        <v>0.37</v>
      </c>
      <c r="Y389" s="224">
        <v>0.02</v>
      </c>
      <c r="Z389" s="224"/>
      <c r="AA389" s="224"/>
      <c r="AB389" s="224"/>
      <c r="AC389" s="224"/>
      <c r="AD389" s="224"/>
      <c r="AE389" s="224"/>
      <c r="AF389" s="224">
        <v>0.1</v>
      </c>
      <c r="AG389" s="224"/>
      <c r="AH389" s="224"/>
      <c r="AI389" s="224"/>
      <c r="AJ389" s="224"/>
      <c r="AK389" s="224"/>
      <c r="AL389" s="224"/>
      <c r="AM389" s="224"/>
      <c r="AN389" s="224"/>
      <c r="AO389" s="224"/>
      <c r="AP389" s="224"/>
      <c r="AQ389" s="224"/>
      <c r="AR389" s="224"/>
      <c r="AS389" s="224"/>
      <c r="AT389" s="224"/>
      <c r="AU389" s="224">
        <v>0.56</v>
      </c>
      <c r="AV389" s="224"/>
      <c r="AW389" s="224"/>
      <c r="AX389" s="224"/>
      <c r="AY389" s="224"/>
      <c r="AZ389" s="224"/>
      <c r="BA389" s="224"/>
      <c r="BB389" s="224"/>
      <c r="BC389" s="224"/>
      <c r="BD389" s="224"/>
      <c r="BE389" s="224"/>
      <c r="BF389" s="224"/>
      <c r="BG389" s="224">
        <v>1</v>
      </c>
      <c r="BH389" s="306"/>
      <c r="BI389" s="311"/>
      <c r="BJ389" s="302"/>
      <c r="BK389" s="291"/>
      <c r="BL389" s="304"/>
      <c r="BM389" s="309"/>
      <c r="BN389" s="111"/>
      <c r="BO389" s="112"/>
      <c r="BP389" s="113"/>
      <c r="BS389" s="115"/>
    </row>
    <row r="390" spans="1:71" s="114" customFormat="1" ht="15">
      <c r="A390" s="305"/>
      <c r="B390" s="234" t="s">
        <v>48</v>
      </c>
      <c r="C390" s="311"/>
      <c r="D390" s="103" t="s">
        <v>48</v>
      </c>
      <c r="E390" s="148">
        <f t="shared" si="124"/>
        <v>10.09</v>
      </c>
      <c r="F390" s="148"/>
      <c r="G390" s="89">
        <f>SUM(H390:BG390)-M390-Q390-U390</f>
        <v>10.09</v>
      </c>
      <c r="H390" s="224">
        <v>0.52</v>
      </c>
      <c r="I390" s="224">
        <v>0.48</v>
      </c>
      <c r="J390" s="224"/>
      <c r="K390" s="224">
        <v>0.23</v>
      </c>
      <c r="L390" s="224">
        <v>1.5</v>
      </c>
      <c r="M390" s="224"/>
      <c r="N390" s="224"/>
      <c r="O390" s="224"/>
      <c r="P390" s="224"/>
      <c r="Q390" s="224"/>
      <c r="R390" s="224"/>
      <c r="S390" s="224"/>
      <c r="T390" s="224"/>
      <c r="U390" s="46">
        <f t="shared" si="125"/>
        <v>6.66</v>
      </c>
      <c r="V390" s="224">
        <f>5.14+0.19</f>
        <v>5.33</v>
      </c>
      <c r="W390" s="224">
        <v>1</v>
      </c>
      <c r="X390" s="224">
        <v>0.33</v>
      </c>
      <c r="Y390" s="224">
        <v>0.02</v>
      </c>
      <c r="Z390" s="224"/>
      <c r="AA390" s="224"/>
      <c r="AB390" s="224"/>
      <c r="AC390" s="224"/>
      <c r="AD390" s="224"/>
      <c r="AE390" s="224"/>
      <c r="AF390" s="224">
        <v>0.1</v>
      </c>
      <c r="AG390" s="224"/>
      <c r="AH390" s="224"/>
      <c r="AI390" s="224"/>
      <c r="AJ390" s="224"/>
      <c r="AK390" s="224"/>
      <c r="AL390" s="224"/>
      <c r="AM390" s="224"/>
      <c r="AN390" s="224"/>
      <c r="AO390" s="224"/>
      <c r="AP390" s="224"/>
      <c r="AQ390" s="224"/>
      <c r="AR390" s="224"/>
      <c r="AS390" s="224"/>
      <c r="AT390" s="224"/>
      <c r="AU390" s="224"/>
      <c r="AV390" s="224"/>
      <c r="AW390" s="224"/>
      <c r="AX390" s="224"/>
      <c r="AY390" s="224"/>
      <c r="AZ390" s="224"/>
      <c r="BA390" s="224"/>
      <c r="BB390" s="224"/>
      <c r="BC390" s="224"/>
      <c r="BD390" s="224"/>
      <c r="BE390" s="224"/>
      <c r="BF390" s="224"/>
      <c r="BG390" s="224">
        <f>0.77-0.19</f>
        <v>0.5800000000000001</v>
      </c>
      <c r="BH390" s="306"/>
      <c r="BI390" s="311"/>
      <c r="BJ390" s="302"/>
      <c r="BK390" s="291"/>
      <c r="BL390" s="304"/>
      <c r="BM390" s="309"/>
      <c r="BN390" s="111"/>
      <c r="BO390" s="112"/>
      <c r="BP390" s="113"/>
      <c r="BS390" s="115"/>
    </row>
    <row r="391" spans="1:71" s="114" customFormat="1" ht="15">
      <c r="A391" s="305"/>
      <c r="B391" s="234" t="s">
        <v>34</v>
      </c>
      <c r="C391" s="311"/>
      <c r="D391" s="103" t="s">
        <v>34</v>
      </c>
      <c r="E391" s="148">
        <f t="shared" si="124"/>
        <v>6.039999999999999</v>
      </c>
      <c r="F391" s="148"/>
      <c r="G391" s="89">
        <f>SUM(H391:BG391)-M391-Q391-U391</f>
        <v>6.039999999999999</v>
      </c>
      <c r="H391" s="224">
        <v>0.26</v>
      </c>
      <c r="I391" s="224">
        <v>0.37</v>
      </c>
      <c r="J391" s="224"/>
      <c r="K391" s="224">
        <v>0.17</v>
      </c>
      <c r="L391" s="224">
        <v>0.5</v>
      </c>
      <c r="M391" s="224"/>
      <c r="N391" s="224"/>
      <c r="O391" s="224"/>
      <c r="P391" s="224"/>
      <c r="Q391" s="224"/>
      <c r="R391" s="224"/>
      <c r="S391" s="224"/>
      <c r="T391" s="224"/>
      <c r="U391" s="46">
        <f t="shared" si="125"/>
        <v>3.09</v>
      </c>
      <c r="V391" s="224">
        <v>2.29</v>
      </c>
      <c r="W391" s="224">
        <v>0.5</v>
      </c>
      <c r="X391" s="224">
        <v>0.3</v>
      </c>
      <c r="Y391" s="224">
        <v>0.02</v>
      </c>
      <c r="Z391" s="224"/>
      <c r="AA391" s="224"/>
      <c r="AB391" s="224"/>
      <c r="AC391" s="224"/>
      <c r="AD391" s="224"/>
      <c r="AE391" s="224"/>
      <c r="AF391" s="224"/>
      <c r="AG391" s="224"/>
      <c r="AH391" s="224"/>
      <c r="AI391" s="224"/>
      <c r="AJ391" s="224"/>
      <c r="AK391" s="224"/>
      <c r="AL391" s="224"/>
      <c r="AM391" s="224"/>
      <c r="AN391" s="224"/>
      <c r="AO391" s="224"/>
      <c r="AP391" s="224"/>
      <c r="AQ391" s="224"/>
      <c r="AR391" s="224"/>
      <c r="AS391" s="224"/>
      <c r="AT391" s="224"/>
      <c r="AU391" s="224"/>
      <c r="AV391" s="224"/>
      <c r="AW391" s="224"/>
      <c r="AX391" s="224"/>
      <c r="AY391" s="224"/>
      <c r="AZ391" s="224"/>
      <c r="BA391" s="224"/>
      <c r="BB391" s="224"/>
      <c r="BC391" s="224"/>
      <c r="BD391" s="224">
        <v>1.08</v>
      </c>
      <c r="BE391" s="224"/>
      <c r="BF391" s="224"/>
      <c r="BG391" s="224">
        <v>0.55</v>
      </c>
      <c r="BH391" s="306"/>
      <c r="BI391" s="311"/>
      <c r="BJ391" s="302"/>
      <c r="BK391" s="291"/>
      <c r="BL391" s="304"/>
      <c r="BM391" s="309"/>
      <c r="BN391" s="111"/>
      <c r="BO391" s="112"/>
      <c r="BP391" s="113"/>
      <c r="BS391" s="115"/>
    </row>
    <row r="392" spans="1:71" s="114" customFormat="1" ht="15">
      <c r="A392" s="305"/>
      <c r="B392" s="234" t="s">
        <v>31</v>
      </c>
      <c r="C392" s="311"/>
      <c r="D392" s="103" t="s">
        <v>31</v>
      </c>
      <c r="E392" s="148">
        <f t="shared" si="124"/>
        <v>5.56</v>
      </c>
      <c r="F392" s="148"/>
      <c r="G392" s="89">
        <f>SUM(H392:BG392)-M392-Q392-U392</f>
        <v>5.56</v>
      </c>
      <c r="H392" s="224">
        <v>0.2</v>
      </c>
      <c r="I392" s="224">
        <v>0.23</v>
      </c>
      <c r="J392" s="224"/>
      <c r="K392" s="224">
        <v>0.14</v>
      </c>
      <c r="L392" s="224">
        <v>1</v>
      </c>
      <c r="M392" s="224"/>
      <c r="N392" s="224"/>
      <c r="O392" s="224"/>
      <c r="P392" s="224"/>
      <c r="Q392" s="224"/>
      <c r="R392" s="224"/>
      <c r="S392" s="224"/>
      <c r="T392" s="224"/>
      <c r="U392" s="46">
        <f t="shared" si="125"/>
        <v>1.6500000000000001</v>
      </c>
      <c r="V392" s="224">
        <f>1.72-0.85-0.02</f>
        <v>0.85</v>
      </c>
      <c r="W392" s="224">
        <v>0.5</v>
      </c>
      <c r="X392" s="224">
        <v>0.3</v>
      </c>
      <c r="Y392" s="224">
        <v>0.02</v>
      </c>
      <c r="Z392" s="224"/>
      <c r="AA392" s="224"/>
      <c r="AB392" s="224"/>
      <c r="AC392" s="224"/>
      <c r="AD392" s="224"/>
      <c r="AE392" s="224"/>
      <c r="AF392" s="224"/>
      <c r="AG392" s="224"/>
      <c r="AH392" s="224"/>
      <c r="AI392" s="224"/>
      <c r="AJ392" s="224"/>
      <c r="AK392" s="224"/>
      <c r="AL392" s="224"/>
      <c r="AM392" s="224"/>
      <c r="AN392" s="224"/>
      <c r="AO392" s="224"/>
      <c r="AP392" s="224"/>
      <c r="AQ392" s="224"/>
      <c r="AR392" s="224"/>
      <c r="AS392" s="224"/>
      <c r="AT392" s="224"/>
      <c r="AU392" s="224"/>
      <c r="AV392" s="224"/>
      <c r="AW392" s="224"/>
      <c r="AX392" s="224"/>
      <c r="AY392" s="224"/>
      <c r="AZ392" s="224"/>
      <c r="BA392" s="224"/>
      <c r="BB392" s="224"/>
      <c r="BC392" s="224"/>
      <c r="BD392" s="224">
        <v>1</v>
      </c>
      <c r="BE392" s="224"/>
      <c r="BF392" s="224"/>
      <c r="BG392" s="224">
        <f>0.45+0.85+0.02</f>
        <v>1.32</v>
      </c>
      <c r="BH392" s="306"/>
      <c r="BI392" s="311"/>
      <c r="BJ392" s="302"/>
      <c r="BK392" s="291"/>
      <c r="BL392" s="304"/>
      <c r="BM392" s="309"/>
      <c r="BN392" s="111"/>
      <c r="BO392" s="112"/>
      <c r="BP392" s="113"/>
      <c r="BS392" s="115"/>
    </row>
    <row r="393" spans="1:71" s="114" customFormat="1" ht="46.5">
      <c r="A393" s="305">
        <f>A388+1</f>
        <v>244</v>
      </c>
      <c r="B393" s="47" t="s">
        <v>755</v>
      </c>
      <c r="C393" s="305" t="s">
        <v>65</v>
      </c>
      <c r="D393" s="103"/>
      <c r="E393" s="45">
        <f t="shared" si="124"/>
        <v>4.640000000000001</v>
      </c>
      <c r="F393" s="45"/>
      <c r="G393" s="5">
        <f>SUM(H393:M393,Q393,U393,Y393:BG393)</f>
        <v>4.640000000000001</v>
      </c>
      <c r="H393" s="224">
        <f>SUM(H394:H400)</f>
        <v>2.9400000000000004</v>
      </c>
      <c r="I393" s="224">
        <f aca="true" t="shared" si="127" ref="I393:BG393">SUM(I394:I400)</f>
        <v>0.48000000000000004</v>
      </c>
      <c r="J393" s="224">
        <f t="shared" si="127"/>
        <v>0</v>
      </c>
      <c r="K393" s="224">
        <f t="shared" si="127"/>
        <v>0.59</v>
      </c>
      <c r="L393" s="224">
        <f t="shared" si="127"/>
        <v>0.27</v>
      </c>
      <c r="M393" s="224">
        <f t="shared" si="127"/>
        <v>0</v>
      </c>
      <c r="N393" s="224">
        <f t="shared" si="127"/>
        <v>0</v>
      </c>
      <c r="O393" s="224">
        <f t="shared" si="127"/>
        <v>0</v>
      </c>
      <c r="P393" s="224">
        <f t="shared" si="127"/>
        <v>0</v>
      </c>
      <c r="Q393" s="224">
        <f t="shared" si="127"/>
        <v>0</v>
      </c>
      <c r="R393" s="224">
        <f t="shared" si="127"/>
        <v>0</v>
      </c>
      <c r="S393" s="224">
        <f t="shared" si="127"/>
        <v>0</v>
      </c>
      <c r="T393" s="224">
        <f t="shared" si="127"/>
        <v>0</v>
      </c>
      <c r="U393" s="224">
        <f t="shared" si="127"/>
        <v>0</v>
      </c>
      <c r="V393" s="224"/>
      <c r="W393" s="224">
        <f t="shared" si="127"/>
        <v>0</v>
      </c>
      <c r="X393" s="224">
        <f t="shared" si="127"/>
        <v>0</v>
      </c>
      <c r="Y393" s="224">
        <f t="shared" si="127"/>
        <v>0.12</v>
      </c>
      <c r="Z393" s="224">
        <f t="shared" si="127"/>
        <v>0</v>
      </c>
      <c r="AA393" s="224">
        <f t="shared" si="127"/>
        <v>0</v>
      </c>
      <c r="AB393" s="224">
        <f t="shared" si="127"/>
        <v>0</v>
      </c>
      <c r="AC393" s="224">
        <f t="shared" si="127"/>
        <v>0</v>
      </c>
      <c r="AD393" s="224">
        <f t="shared" si="127"/>
        <v>0</v>
      </c>
      <c r="AE393" s="224">
        <f t="shared" si="127"/>
        <v>0</v>
      </c>
      <c r="AF393" s="224">
        <f t="shared" si="127"/>
        <v>0.09</v>
      </c>
      <c r="AG393" s="224">
        <f t="shared" si="127"/>
        <v>0.02</v>
      </c>
      <c r="AH393" s="224">
        <f t="shared" si="127"/>
        <v>0</v>
      </c>
      <c r="AI393" s="224">
        <f t="shared" si="127"/>
        <v>0</v>
      </c>
      <c r="AJ393" s="224">
        <f t="shared" si="127"/>
        <v>0</v>
      </c>
      <c r="AK393" s="224">
        <f t="shared" si="127"/>
        <v>0</v>
      </c>
      <c r="AL393" s="224">
        <f t="shared" si="127"/>
        <v>0</v>
      </c>
      <c r="AM393" s="224">
        <f t="shared" si="127"/>
        <v>0</v>
      </c>
      <c r="AN393" s="224">
        <f t="shared" si="127"/>
        <v>0</v>
      </c>
      <c r="AO393" s="224">
        <f t="shared" si="127"/>
        <v>0</v>
      </c>
      <c r="AP393" s="224">
        <f t="shared" si="127"/>
        <v>0</v>
      </c>
      <c r="AQ393" s="224">
        <f t="shared" si="127"/>
        <v>0</v>
      </c>
      <c r="AR393" s="224">
        <f t="shared" si="127"/>
        <v>0</v>
      </c>
      <c r="AS393" s="224">
        <f t="shared" si="127"/>
        <v>0</v>
      </c>
      <c r="AT393" s="224">
        <f t="shared" si="127"/>
        <v>0</v>
      </c>
      <c r="AU393" s="224">
        <f t="shared" si="127"/>
        <v>0.13</v>
      </c>
      <c r="AV393" s="224">
        <f t="shared" si="127"/>
        <v>0</v>
      </c>
      <c r="AW393" s="224">
        <f t="shared" si="127"/>
        <v>0</v>
      </c>
      <c r="AX393" s="224">
        <f t="shared" si="127"/>
        <v>0</v>
      </c>
      <c r="AY393" s="224">
        <f t="shared" si="127"/>
        <v>0</v>
      </c>
      <c r="AZ393" s="224">
        <f t="shared" si="127"/>
        <v>0</v>
      </c>
      <c r="BA393" s="224">
        <f t="shared" si="127"/>
        <v>0</v>
      </c>
      <c r="BB393" s="224">
        <f t="shared" si="127"/>
        <v>0</v>
      </c>
      <c r="BC393" s="224">
        <f t="shared" si="127"/>
        <v>0</v>
      </c>
      <c r="BD393" s="224">
        <f t="shared" si="127"/>
        <v>0</v>
      </c>
      <c r="BE393" s="224">
        <f t="shared" si="127"/>
        <v>0</v>
      </c>
      <c r="BF393" s="224">
        <f t="shared" si="127"/>
        <v>0</v>
      </c>
      <c r="BG393" s="224">
        <f t="shared" si="127"/>
        <v>0</v>
      </c>
      <c r="BH393" s="290" t="s">
        <v>756</v>
      </c>
      <c r="BI393" s="305" t="s">
        <v>65</v>
      </c>
      <c r="BJ393" s="302" t="s">
        <v>757</v>
      </c>
      <c r="BK393" s="291" t="s">
        <v>120</v>
      </c>
      <c r="BL393" s="304" t="s">
        <v>341</v>
      </c>
      <c r="BM393" s="309" t="s">
        <v>194</v>
      </c>
      <c r="BN393" s="111" t="s">
        <v>1025</v>
      </c>
      <c r="BO393" s="112" t="s">
        <v>1147</v>
      </c>
      <c r="BP393" s="113"/>
      <c r="BS393" s="115"/>
    </row>
    <row r="394" spans="1:71" s="114" customFormat="1" ht="18" customHeight="1">
      <c r="A394" s="305"/>
      <c r="B394" s="118" t="s">
        <v>758</v>
      </c>
      <c r="C394" s="305"/>
      <c r="D394" s="4" t="s">
        <v>31</v>
      </c>
      <c r="E394" s="148">
        <f t="shared" si="124"/>
        <v>0.53</v>
      </c>
      <c r="F394" s="148"/>
      <c r="G394" s="89">
        <f aca="true" t="shared" si="128" ref="G394:G400">SUM(H394:BG394)-M394-Q394-U394</f>
        <v>0.53</v>
      </c>
      <c r="H394" s="224">
        <v>0.28</v>
      </c>
      <c r="I394" s="224"/>
      <c r="J394" s="224"/>
      <c r="K394" s="224">
        <v>0.14</v>
      </c>
      <c r="L394" s="224"/>
      <c r="M394" s="224"/>
      <c r="N394" s="224"/>
      <c r="O394" s="224"/>
      <c r="P394" s="224"/>
      <c r="Q394" s="224"/>
      <c r="R394" s="224"/>
      <c r="S394" s="224"/>
      <c r="T394" s="224"/>
      <c r="U394" s="224">
        <f>SUM(V394:X394)</f>
        <v>0</v>
      </c>
      <c r="V394" s="224"/>
      <c r="W394" s="224"/>
      <c r="X394" s="224"/>
      <c r="Y394" s="224">
        <v>0.08</v>
      </c>
      <c r="Z394" s="224"/>
      <c r="AA394" s="224"/>
      <c r="AB394" s="224"/>
      <c r="AC394" s="224"/>
      <c r="AD394" s="224"/>
      <c r="AE394" s="224"/>
      <c r="AF394" s="224">
        <v>0.01</v>
      </c>
      <c r="AG394" s="224"/>
      <c r="AH394" s="224"/>
      <c r="AI394" s="224"/>
      <c r="AJ394" s="224"/>
      <c r="AK394" s="224"/>
      <c r="AL394" s="224"/>
      <c r="AM394" s="224"/>
      <c r="AN394" s="224"/>
      <c r="AO394" s="224"/>
      <c r="AP394" s="224"/>
      <c r="AQ394" s="224"/>
      <c r="AR394" s="224"/>
      <c r="AS394" s="224"/>
      <c r="AT394" s="224"/>
      <c r="AU394" s="224">
        <v>0.02</v>
      </c>
      <c r="AV394" s="224"/>
      <c r="AW394" s="224"/>
      <c r="AX394" s="224"/>
      <c r="AY394" s="224"/>
      <c r="AZ394" s="224"/>
      <c r="BA394" s="224"/>
      <c r="BB394" s="224"/>
      <c r="BC394" s="224"/>
      <c r="BD394" s="224"/>
      <c r="BE394" s="224"/>
      <c r="BF394" s="224"/>
      <c r="BG394" s="224"/>
      <c r="BH394" s="290"/>
      <c r="BI394" s="305"/>
      <c r="BJ394" s="302"/>
      <c r="BK394" s="291"/>
      <c r="BL394" s="304"/>
      <c r="BM394" s="309"/>
      <c r="BN394" s="111"/>
      <c r="BO394" s="112"/>
      <c r="BP394" s="113"/>
      <c r="BS394" s="115"/>
    </row>
    <row r="395" spans="1:71" s="114" customFormat="1" ht="18" customHeight="1">
      <c r="A395" s="305"/>
      <c r="B395" s="118" t="s">
        <v>759</v>
      </c>
      <c r="C395" s="305"/>
      <c r="D395" s="4" t="s">
        <v>44</v>
      </c>
      <c r="E395" s="148">
        <f t="shared" si="124"/>
        <v>0.8</v>
      </c>
      <c r="F395" s="148"/>
      <c r="G395" s="89">
        <f t="shared" si="128"/>
        <v>0.8</v>
      </c>
      <c r="H395" s="224">
        <v>0.67</v>
      </c>
      <c r="I395" s="224"/>
      <c r="J395" s="224"/>
      <c r="K395" s="224">
        <v>0.06</v>
      </c>
      <c r="L395" s="224"/>
      <c r="M395" s="224"/>
      <c r="N395" s="224"/>
      <c r="O395" s="224"/>
      <c r="P395" s="224"/>
      <c r="Q395" s="224"/>
      <c r="R395" s="224"/>
      <c r="S395" s="224"/>
      <c r="T395" s="224"/>
      <c r="U395" s="224">
        <f aca="true" t="shared" si="129" ref="U395:U401">SUM(V395:X395)</f>
        <v>0</v>
      </c>
      <c r="V395" s="224"/>
      <c r="W395" s="224"/>
      <c r="X395" s="224"/>
      <c r="Y395" s="224"/>
      <c r="Z395" s="224"/>
      <c r="AA395" s="224"/>
      <c r="AB395" s="224"/>
      <c r="AC395" s="224"/>
      <c r="AD395" s="224"/>
      <c r="AE395" s="224"/>
      <c r="AF395" s="224">
        <v>0.04</v>
      </c>
      <c r="AG395" s="224"/>
      <c r="AH395" s="224"/>
      <c r="AI395" s="224"/>
      <c r="AJ395" s="224"/>
      <c r="AK395" s="224"/>
      <c r="AL395" s="224"/>
      <c r="AM395" s="224"/>
      <c r="AN395" s="224"/>
      <c r="AO395" s="224"/>
      <c r="AP395" s="224"/>
      <c r="AQ395" s="224"/>
      <c r="AR395" s="224"/>
      <c r="AS395" s="224"/>
      <c r="AT395" s="224"/>
      <c r="AU395" s="224">
        <v>0.03</v>
      </c>
      <c r="AV395" s="224"/>
      <c r="AW395" s="224"/>
      <c r="AX395" s="224"/>
      <c r="AY395" s="224"/>
      <c r="AZ395" s="224"/>
      <c r="BA395" s="224"/>
      <c r="BB395" s="224"/>
      <c r="BC395" s="224"/>
      <c r="BD395" s="224"/>
      <c r="BE395" s="224"/>
      <c r="BF395" s="224"/>
      <c r="BG395" s="224"/>
      <c r="BH395" s="290"/>
      <c r="BI395" s="305"/>
      <c r="BJ395" s="302"/>
      <c r="BK395" s="291"/>
      <c r="BL395" s="304"/>
      <c r="BM395" s="309"/>
      <c r="BN395" s="111"/>
      <c r="BO395" s="112"/>
      <c r="BP395" s="113"/>
      <c r="BS395" s="115"/>
    </row>
    <row r="396" spans="1:71" s="114" customFormat="1" ht="18" customHeight="1">
      <c r="A396" s="305"/>
      <c r="B396" s="118" t="s">
        <v>760</v>
      </c>
      <c r="C396" s="305"/>
      <c r="D396" s="4" t="s">
        <v>54</v>
      </c>
      <c r="E396" s="148">
        <f t="shared" si="124"/>
        <v>0.07</v>
      </c>
      <c r="F396" s="148"/>
      <c r="G396" s="89">
        <f t="shared" si="128"/>
        <v>0.07</v>
      </c>
      <c r="H396" s="224"/>
      <c r="I396" s="224">
        <v>0.04</v>
      </c>
      <c r="J396" s="224"/>
      <c r="K396" s="224"/>
      <c r="L396" s="224">
        <v>0.03</v>
      </c>
      <c r="M396" s="224"/>
      <c r="N396" s="224"/>
      <c r="O396" s="224"/>
      <c r="P396" s="224"/>
      <c r="Q396" s="224"/>
      <c r="R396" s="224"/>
      <c r="S396" s="224"/>
      <c r="T396" s="224"/>
      <c r="U396" s="224">
        <f t="shared" si="129"/>
        <v>0</v>
      </c>
      <c r="V396" s="224"/>
      <c r="W396" s="224"/>
      <c r="X396" s="224"/>
      <c r="Y396" s="224"/>
      <c r="Z396" s="224"/>
      <c r="AA396" s="224"/>
      <c r="AB396" s="224"/>
      <c r="AC396" s="224"/>
      <c r="AD396" s="224"/>
      <c r="AE396" s="224"/>
      <c r="AF396" s="224"/>
      <c r="AG396" s="224"/>
      <c r="AH396" s="224"/>
      <c r="AI396" s="224"/>
      <c r="AJ396" s="224"/>
      <c r="AK396" s="224"/>
      <c r="AL396" s="224"/>
      <c r="AM396" s="224"/>
      <c r="AN396" s="224"/>
      <c r="AO396" s="224"/>
      <c r="AP396" s="224"/>
      <c r="AQ396" s="224"/>
      <c r="AR396" s="224"/>
      <c r="AS396" s="224"/>
      <c r="AT396" s="224"/>
      <c r="AU396" s="224"/>
      <c r="AV396" s="224"/>
      <c r="AW396" s="224"/>
      <c r="AX396" s="224"/>
      <c r="AY396" s="224"/>
      <c r="AZ396" s="224"/>
      <c r="BA396" s="224"/>
      <c r="BB396" s="224"/>
      <c r="BC396" s="224"/>
      <c r="BD396" s="224"/>
      <c r="BE396" s="224"/>
      <c r="BF396" s="224"/>
      <c r="BG396" s="224"/>
      <c r="BH396" s="290"/>
      <c r="BI396" s="305"/>
      <c r="BJ396" s="302"/>
      <c r="BK396" s="291"/>
      <c r="BL396" s="304"/>
      <c r="BM396" s="309"/>
      <c r="BN396" s="111"/>
      <c r="BO396" s="112"/>
      <c r="BP396" s="113"/>
      <c r="BS396" s="115"/>
    </row>
    <row r="397" spans="1:71" s="114" customFormat="1" ht="18" customHeight="1">
      <c r="A397" s="305"/>
      <c r="B397" s="118" t="s">
        <v>737</v>
      </c>
      <c r="C397" s="305"/>
      <c r="D397" s="4" t="s">
        <v>49</v>
      </c>
      <c r="E397" s="148">
        <f t="shared" si="124"/>
        <v>1.3</v>
      </c>
      <c r="F397" s="148"/>
      <c r="G397" s="89">
        <f t="shared" si="128"/>
        <v>1.3</v>
      </c>
      <c r="H397" s="224">
        <v>1</v>
      </c>
      <c r="I397" s="224">
        <v>0.05</v>
      </c>
      <c r="J397" s="224"/>
      <c r="K397" s="224">
        <v>0.18</v>
      </c>
      <c r="L397" s="224"/>
      <c r="M397" s="224"/>
      <c r="N397" s="224"/>
      <c r="O397" s="224"/>
      <c r="P397" s="224"/>
      <c r="Q397" s="224"/>
      <c r="R397" s="224"/>
      <c r="S397" s="224"/>
      <c r="T397" s="224"/>
      <c r="U397" s="224">
        <f t="shared" si="129"/>
        <v>0</v>
      </c>
      <c r="V397" s="224"/>
      <c r="W397" s="224"/>
      <c r="X397" s="224"/>
      <c r="Y397" s="224">
        <v>0.01</v>
      </c>
      <c r="Z397" s="224"/>
      <c r="AA397" s="224"/>
      <c r="AB397" s="224"/>
      <c r="AC397" s="224"/>
      <c r="AD397" s="224"/>
      <c r="AE397" s="224"/>
      <c r="AF397" s="224"/>
      <c r="AG397" s="224">
        <v>0.02</v>
      </c>
      <c r="AH397" s="224"/>
      <c r="AI397" s="224"/>
      <c r="AJ397" s="224"/>
      <c r="AK397" s="224"/>
      <c r="AL397" s="224"/>
      <c r="AM397" s="224"/>
      <c r="AN397" s="224"/>
      <c r="AO397" s="224"/>
      <c r="AP397" s="224"/>
      <c r="AQ397" s="224"/>
      <c r="AR397" s="224"/>
      <c r="AS397" s="224"/>
      <c r="AT397" s="224"/>
      <c r="AU397" s="224">
        <v>0.04</v>
      </c>
      <c r="AV397" s="224"/>
      <c r="AW397" s="224"/>
      <c r="AX397" s="224"/>
      <c r="AY397" s="224"/>
      <c r="AZ397" s="224"/>
      <c r="BA397" s="224"/>
      <c r="BB397" s="224"/>
      <c r="BC397" s="224"/>
      <c r="BD397" s="224"/>
      <c r="BE397" s="224"/>
      <c r="BF397" s="224"/>
      <c r="BG397" s="224"/>
      <c r="BH397" s="290"/>
      <c r="BI397" s="305"/>
      <c r="BJ397" s="302"/>
      <c r="BK397" s="291"/>
      <c r="BL397" s="304"/>
      <c r="BM397" s="309"/>
      <c r="BN397" s="111"/>
      <c r="BO397" s="112"/>
      <c r="BP397" s="113"/>
      <c r="BS397" s="115"/>
    </row>
    <row r="398" spans="1:71" s="114" customFormat="1" ht="18" customHeight="1">
      <c r="A398" s="305"/>
      <c r="B398" s="118" t="s">
        <v>213</v>
      </c>
      <c r="C398" s="305"/>
      <c r="D398" s="4" t="s">
        <v>34</v>
      </c>
      <c r="E398" s="148">
        <f t="shared" si="124"/>
        <v>1.61</v>
      </c>
      <c r="F398" s="148"/>
      <c r="G398" s="89">
        <f>SUM(H398:BG398)-M398-Q398-U398</f>
        <v>1.61</v>
      </c>
      <c r="H398" s="224">
        <v>0.89</v>
      </c>
      <c r="I398" s="224">
        <v>0.33</v>
      </c>
      <c r="J398" s="224"/>
      <c r="K398" s="224">
        <v>0.21</v>
      </c>
      <c r="L398" s="224">
        <v>0.11</v>
      </c>
      <c r="M398" s="224"/>
      <c r="N398" s="224"/>
      <c r="O398" s="224"/>
      <c r="P398" s="224"/>
      <c r="Q398" s="224"/>
      <c r="R398" s="224"/>
      <c r="S398" s="224"/>
      <c r="T398" s="224"/>
      <c r="U398" s="48">
        <f>SUM(V398:X398)</f>
        <v>0</v>
      </c>
      <c r="V398" s="224"/>
      <c r="W398" s="224"/>
      <c r="X398" s="224"/>
      <c r="Y398" s="224"/>
      <c r="Z398" s="224"/>
      <c r="AA398" s="224"/>
      <c r="AB398" s="224"/>
      <c r="AC398" s="224"/>
      <c r="AD398" s="224"/>
      <c r="AE398" s="224"/>
      <c r="AF398" s="224">
        <v>0.04</v>
      </c>
      <c r="AG398" s="224"/>
      <c r="AH398" s="224"/>
      <c r="AI398" s="224"/>
      <c r="AJ398" s="224"/>
      <c r="AK398" s="224"/>
      <c r="AL398" s="224"/>
      <c r="AM398" s="224"/>
      <c r="AN398" s="224"/>
      <c r="AO398" s="224"/>
      <c r="AP398" s="224"/>
      <c r="AQ398" s="224"/>
      <c r="AR398" s="224"/>
      <c r="AS398" s="224"/>
      <c r="AT398" s="224"/>
      <c r="AU398" s="224">
        <v>0.03</v>
      </c>
      <c r="AV398" s="224"/>
      <c r="AW398" s="224"/>
      <c r="AX398" s="224"/>
      <c r="AY398" s="224"/>
      <c r="AZ398" s="224"/>
      <c r="BA398" s="224"/>
      <c r="BB398" s="224"/>
      <c r="BC398" s="224"/>
      <c r="BD398" s="224"/>
      <c r="BE398" s="224"/>
      <c r="BF398" s="224"/>
      <c r="BG398" s="224"/>
      <c r="BH398" s="290"/>
      <c r="BI398" s="305"/>
      <c r="BJ398" s="302"/>
      <c r="BK398" s="291"/>
      <c r="BL398" s="304"/>
      <c r="BM398" s="309"/>
      <c r="BN398" s="111"/>
      <c r="BO398" s="112"/>
      <c r="BP398" s="113"/>
      <c r="BS398" s="115"/>
    </row>
    <row r="399" spans="1:71" s="114" customFormat="1" ht="18" customHeight="1">
      <c r="A399" s="305"/>
      <c r="B399" s="118" t="s">
        <v>217</v>
      </c>
      <c r="C399" s="305"/>
      <c r="D399" s="4" t="s">
        <v>55</v>
      </c>
      <c r="E399" s="148">
        <f t="shared" si="124"/>
        <v>0.25</v>
      </c>
      <c r="F399" s="148"/>
      <c r="G399" s="89">
        <f t="shared" si="128"/>
        <v>0.25</v>
      </c>
      <c r="H399" s="224">
        <v>0.1</v>
      </c>
      <c r="I399" s="224">
        <v>0.06</v>
      </c>
      <c r="J399" s="224"/>
      <c r="K399" s="224"/>
      <c r="L399" s="224">
        <v>0.06</v>
      </c>
      <c r="M399" s="224"/>
      <c r="N399" s="224"/>
      <c r="O399" s="224"/>
      <c r="P399" s="224"/>
      <c r="Q399" s="224"/>
      <c r="R399" s="224"/>
      <c r="S399" s="224"/>
      <c r="T399" s="224"/>
      <c r="U399" s="224">
        <f t="shared" si="129"/>
        <v>0</v>
      </c>
      <c r="V399" s="224"/>
      <c r="W399" s="224"/>
      <c r="X399" s="224"/>
      <c r="Y399" s="224">
        <v>0.03</v>
      </c>
      <c r="Z399" s="224"/>
      <c r="AA399" s="224"/>
      <c r="AB399" s="224"/>
      <c r="AC399" s="224"/>
      <c r="AD399" s="224"/>
      <c r="AE399" s="224"/>
      <c r="AF399" s="224"/>
      <c r="AG399" s="224"/>
      <c r="AH399" s="224"/>
      <c r="AI399" s="224"/>
      <c r="AJ399" s="224"/>
      <c r="AK399" s="224"/>
      <c r="AL399" s="224"/>
      <c r="AM399" s="224"/>
      <c r="AN399" s="224"/>
      <c r="AO399" s="224"/>
      <c r="AP399" s="224"/>
      <c r="AQ399" s="224"/>
      <c r="AR399" s="224"/>
      <c r="AS399" s="224"/>
      <c r="AT399" s="224"/>
      <c r="AU399" s="224"/>
      <c r="AV399" s="224"/>
      <c r="AW399" s="224"/>
      <c r="AX399" s="224"/>
      <c r="AY399" s="224"/>
      <c r="AZ399" s="224"/>
      <c r="BA399" s="224"/>
      <c r="BB399" s="224"/>
      <c r="BC399" s="224"/>
      <c r="BD399" s="224"/>
      <c r="BE399" s="224"/>
      <c r="BF399" s="224"/>
      <c r="BG399" s="224"/>
      <c r="BH399" s="290"/>
      <c r="BI399" s="305"/>
      <c r="BJ399" s="302"/>
      <c r="BK399" s="291"/>
      <c r="BL399" s="304"/>
      <c r="BM399" s="309"/>
      <c r="BN399" s="111"/>
      <c r="BO399" s="112"/>
      <c r="BP399" s="113"/>
      <c r="BS399" s="115"/>
    </row>
    <row r="400" spans="1:71" s="114" customFormat="1" ht="18" customHeight="1">
      <c r="A400" s="305"/>
      <c r="B400" s="118" t="s">
        <v>761</v>
      </c>
      <c r="C400" s="305"/>
      <c r="D400" s="4" t="s">
        <v>216</v>
      </c>
      <c r="E400" s="148">
        <f t="shared" si="124"/>
        <v>0.08</v>
      </c>
      <c r="F400" s="148"/>
      <c r="G400" s="89">
        <f t="shared" si="128"/>
        <v>0.08</v>
      </c>
      <c r="H400" s="224"/>
      <c r="I400" s="224"/>
      <c r="J400" s="224"/>
      <c r="K400" s="224"/>
      <c r="L400" s="224">
        <v>0.07</v>
      </c>
      <c r="M400" s="224"/>
      <c r="N400" s="224"/>
      <c r="O400" s="224"/>
      <c r="P400" s="224"/>
      <c r="Q400" s="224"/>
      <c r="R400" s="224"/>
      <c r="S400" s="224"/>
      <c r="T400" s="224"/>
      <c r="U400" s="224">
        <f t="shared" si="129"/>
        <v>0</v>
      </c>
      <c r="V400" s="224"/>
      <c r="W400" s="224"/>
      <c r="X400" s="224"/>
      <c r="Y400" s="224"/>
      <c r="Z400" s="224"/>
      <c r="AA400" s="224"/>
      <c r="AB400" s="224"/>
      <c r="AC400" s="224"/>
      <c r="AD400" s="224"/>
      <c r="AE400" s="224"/>
      <c r="AF400" s="224"/>
      <c r="AG400" s="224"/>
      <c r="AH400" s="224"/>
      <c r="AI400" s="224"/>
      <c r="AJ400" s="224"/>
      <c r="AK400" s="224"/>
      <c r="AL400" s="224"/>
      <c r="AM400" s="224"/>
      <c r="AN400" s="224"/>
      <c r="AO400" s="224"/>
      <c r="AP400" s="224"/>
      <c r="AQ400" s="224"/>
      <c r="AR400" s="224"/>
      <c r="AS400" s="224"/>
      <c r="AT400" s="224"/>
      <c r="AU400" s="224">
        <v>0.01</v>
      </c>
      <c r="AV400" s="224"/>
      <c r="AW400" s="224"/>
      <c r="AX400" s="224"/>
      <c r="AY400" s="224"/>
      <c r="AZ400" s="224"/>
      <c r="BA400" s="224"/>
      <c r="BB400" s="224"/>
      <c r="BC400" s="224"/>
      <c r="BD400" s="224"/>
      <c r="BE400" s="224"/>
      <c r="BF400" s="224"/>
      <c r="BG400" s="224"/>
      <c r="BH400" s="290"/>
      <c r="BI400" s="305"/>
      <c r="BJ400" s="302"/>
      <c r="BK400" s="291"/>
      <c r="BL400" s="304"/>
      <c r="BM400" s="309"/>
      <c r="BN400" s="111"/>
      <c r="BO400" s="112"/>
      <c r="BP400" s="113"/>
      <c r="BS400" s="115"/>
    </row>
    <row r="401" spans="1:69" ht="46.5">
      <c r="A401" s="305">
        <f>A393+1</f>
        <v>245</v>
      </c>
      <c r="B401" s="2" t="s">
        <v>762</v>
      </c>
      <c r="C401" s="290" t="s">
        <v>71</v>
      </c>
      <c r="D401" s="4"/>
      <c r="E401" s="148">
        <f t="shared" si="124"/>
        <v>10.370000000000001</v>
      </c>
      <c r="F401" s="176"/>
      <c r="G401" s="5">
        <f>SUM(H401:M401,Q401,U401,Y401:BG401)</f>
        <v>10.370000000000001</v>
      </c>
      <c r="H401" s="48">
        <v>3.51</v>
      </c>
      <c r="I401" s="48"/>
      <c r="J401" s="48"/>
      <c r="K401" s="48">
        <v>1</v>
      </c>
      <c r="L401" s="48">
        <v>1.46</v>
      </c>
      <c r="M401" s="48"/>
      <c r="N401" s="48"/>
      <c r="O401" s="48"/>
      <c r="P401" s="48"/>
      <c r="Q401" s="48"/>
      <c r="R401" s="48"/>
      <c r="S401" s="48"/>
      <c r="T401" s="48"/>
      <c r="U401" s="224">
        <f t="shared" si="129"/>
        <v>1.1</v>
      </c>
      <c r="V401" s="48"/>
      <c r="W401" s="48">
        <v>1.1</v>
      </c>
      <c r="X401" s="48"/>
      <c r="Y401" s="48">
        <v>0.62</v>
      </c>
      <c r="Z401" s="48"/>
      <c r="AA401" s="48"/>
      <c r="AB401" s="48"/>
      <c r="AC401" s="48"/>
      <c r="AD401" s="48"/>
      <c r="AE401" s="48"/>
      <c r="AF401" s="48">
        <v>1</v>
      </c>
      <c r="AG401" s="48">
        <v>0.38</v>
      </c>
      <c r="AH401" s="48"/>
      <c r="AI401" s="48"/>
      <c r="AJ401" s="48"/>
      <c r="AK401" s="48">
        <v>0.03</v>
      </c>
      <c r="AL401" s="48"/>
      <c r="AM401" s="48"/>
      <c r="AN401" s="48"/>
      <c r="AO401" s="48"/>
      <c r="AP401" s="48"/>
      <c r="AQ401" s="48"/>
      <c r="AR401" s="48"/>
      <c r="AS401" s="48"/>
      <c r="AT401" s="48">
        <v>0.2</v>
      </c>
      <c r="AU401" s="48"/>
      <c r="AV401" s="48"/>
      <c r="AW401" s="48"/>
      <c r="AX401" s="48"/>
      <c r="AY401" s="48"/>
      <c r="AZ401" s="48"/>
      <c r="BA401" s="48"/>
      <c r="BB401" s="48"/>
      <c r="BC401" s="48"/>
      <c r="BD401" s="48">
        <v>0.05</v>
      </c>
      <c r="BE401" s="48"/>
      <c r="BF401" s="48">
        <v>0.02</v>
      </c>
      <c r="BG401" s="48">
        <v>1</v>
      </c>
      <c r="BH401" s="306" t="s">
        <v>76</v>
      </c>
      <c r="BI401" s="290" t="s">
        <v>71</v>
      </c>
      <c r="BJ401" s="290" t="s">
        <v>1001</v>
      </c>
      <c r="BK401" s="291" t="s">
        <v>120</v>
      </c>
      <c r="BL401" s="310" t="s">
        <v>163</v>
      </c>
      <c r="BM401" s="293" t="s">
        <v>935</v>
      </c>
      <c r="BN401" s="13" t="s">
        <v>1025</v>
      </c>
      <c r="BO401" s="15" t="s">
        <v>1147</v>
      </c>
      <c r="BQ401" s="17"/>
    </row>
    <row r="402" spans="1:71" s="114" customFormat="1" ht="18.75" customHeight="1">
      <c r="A402" s="305"/>
      <c r="B402" s="234" t="s">
        <v>48</v>
      </c>
      <c r="C402" s="290"/>
      <c r="D402" s="103" t="s">
        <v>48</v>
      </c>
      <c r="E402" s="148">
        <f t="shared" si="124"/>
        <v>5.709999999999999</v>
      </c>
      <c r="F402" s="148"/>
      <c r="G402" s="239">
        <f>SUM(H402:BG402)-M402-Q402-U402</f>
        <v>5.709999999999999</v>
      </c>
      <c r="H402" s="223">
        <v>1.83</v>
      </c>
      <c r="I402" s="223">
        <v>0</v>
      </c>
      <c r="J402" s="223">
        <v>0</v>
      </c>
      <c r="K402" s="223">
        <v>0.55</v>
      </c>
      <c r="L402" s="223">
        <v>0.7999999999999999</v>
      </c>
      <c r="M402" s="223">
        <v>0</v>
      </c>
      <c r="N402" s="223">
        <v>0</v>
      </c>
      <c r="O402" s="223">
        <v>0</v>
      </c>
      <c r="P402" s="223">
        <v>0</v>
      </c>
      <c r="Q402" s="223">
        <v>0</v>
      </c>
      <c r="R402" s="223">
        <v>0</v>
      </c>
      <c r="S402" s="223">
        <v>0</v>
      </c>
      <c r="T402" s="223">
        <v>0</v>
      </c>
      <c r="U402" s="224">
        <v>0.6100000000000001</v>
      </c>
      <c r="V402" s="223">
        <v>0</v>
      </c>
      <c r="W402" s="223">
        <v>0.61</v>
      </c>
      <c r="X402" s="223">
        <v>0</v>
      </c>
      <c r="Y402" s="223">
        <v>0.33999999999999997</v>
      </c>
      <c r="Z402" s="223">
        <v>0</v>
      </c>
      <c r="AA402" s="223">
        <v>0</v>
      </c>
      <c r="AB402" s="223">
        <v>0</v>
      </c>
      <c r="AC402" s="223">
        <v>0</v>
      </c>
      <c r="AD402" s="223">
        <v>0</v>
      </c>
      <c r="AE402" s="223">
        <v>0</v>
      </c>
      <c r="AF402" s="223">
        <v>0.55</v>
      </c>
      <c r="AG402" s="223">
        <v>0.21</v>
      </c>
      <c r="AH402" s="223">
        <v>0</v>
      </c>
      <c r="AI402" s="223">
        <v>0</v>
      </c>
      <c r="AJ402" s="223">
        <v>0</v>
      </c>
      <c r="AK402" s="223">
        <v>0.02</v>
      </c>
      <c r="AL402" s="223">
        <v>0</v>
      </c>
      <c r="AM402" s="223">
        <v>0</v>
      </c>
      <c r="AN402" s="223">
        <v>0</v>
      </c>
      <c r="AO402" s="223">
        <v>0</v>
      </c>
      <c r="AP402" s="223">
        <v>0</v>
      </c>
      <c r="AQ402" s="223">
        <v>0</v>
      </c>
      <c r="AR402" s="223">
        <v>0</v>
      </c>
      <c r="AS402" s="223">
        <v>0</v>
      </c>
      <c r="AT402" s="223">
        <v>0.2</v>
      </c>
      <c r="AU402" s="223">
        <v>0</v>
      </c>
      <c r="AV402" s="223">
        <v>0</v>
      </c>
      <c r="AW402" s="223">
        <v>0</v>
      </c>
      <c r="AX402" s="223">
        <v>0</v>
      </c>
      <c r="AY402" s="223">
        <v>0</v>
      </c>
      <c r="AZ402" s="223">
        <v>0</v>
      </c>
      <c r="BA402" s="223">
        <v>0</v>
      </c>
      <c r="BB402" s="223">
        <v>0</v>
      </c>
      <c r="BC402" s="223">
        <v>0</v>
      </c>
      <c r="BD402" s="223">
        <v>0.030000000000000006</v>
      </c>
      <c r="BE402" s="223">
        <v>0</v>
      </c>
      <c r="BF402" s="223">
        <v>0.02</v>
      </c>
      <c r="BG402" s="223">
        <v>0.55</v>
      </c>
      <c r="BH402" s="306"/>
      <c r="BI402" s="290"/>
      <c r="BJ402" s="290"/>
      <c r="BK402" s="291"/>
      <c r="BL402" s="310"/>
      <c r="BM402" s="293"/>
      <c r="BN402" s="111"/>
      <c r="BO402" s="112"/>
      <c r="BP402" s="113"/>
      <c r="BS402" s="115"/>
    </row>
    <row r="403" spans="1:71" s="114" customFormat="1" ht="18.75" customHeight="1">
      <c r="A403" s="305"/>
      <c r="B403" s="234" t="s">
        <v>34</v>
      </c>
      <c r="C403" s="290"/>
      <c r="D403" s="103" t="s">
        <v>34</v>
      </c>
      <c r="E403" s="148">
        <f t="shared" si="124"/>
        <v>4.66</v>
      </c>
      <c r="F403" s="148"/>
      <c r="G403" s="89">
        <f>SUM(H403:BG403)-M403-Q403-U403</f>
        <v>4.66</v>
      </c>
      <c r="H403" s="223">
        <v>1.6799999999999997</v>
      </c>
      <c r="I403" s="223">
        <v>0</v>
      </c>
      <c r="J403" s="223">
        <v>0</v>
      </c>
      <c r="K403" s="223">
        <v>0.44999999999999996</v>
      </c>
      <c r="L403" s="223">
        <v>0.66</v>
      </c>
      <c r="M403" s="223">
        <v>0</v>
      </c>
      <c r="N403" s="223">
        <v>0</v>
      </c>
      <c r="O403" s="223">
        <v>0</v>
      </c>
      <c r="P403" s="223">
        <v>0</v>
      </c>
      <c r="Q403" s="223">
        <v>0</v>
      </c>
      <c r="R403" s="223">
        <v>0</v>
      </c>
      <c r="S403" s="223">
        <v>0</v>
      </c>
      <c r="T403" s="223">
        <v>0</v>
      </c>
      <c r="U403" s="223">
        <v>0.49</v>
      </c>
      <c r="V403" s="223">
        <v>0</v>
      </c>
      <c r="W403" s="223">
        <v>0.49</v>
      </c>
      <c r="X403" s="223">
        <v>0</v>
      </c>
      <c r="Y403" s="223">
        <v>0.28</v>
      </c>
      <c r="Z403" s="223">
        <v>0</v>
      </c>
      <c r="AA403" s="223">
        <v>0</v>
      </c>
      <c r="AB403" s="223">
        <v>0</v>
      </c>
      <c r="AC403" s="223">
        <v>0</v>
      </c>
      <c r="AD403" s="223">
        <v>0</v>
      </c>
      <c r="AE403" s="223">
        <v>0</v>
      </c>
      <c r="AF403" s="223">
        <v>0.44999999999999996</v>
      </c>
      <c r="AG403" s="223">
        <v>0.17</v>
      </c>
      <c r="AH403" s="223">
        <v>0</v>
      </c>
      <c r="AI403" s="223">
        <v>0</v>
      </c>
      <c r="AJ403" s="223">
        <v>0</v>
      </c>
      <c r="AK403" s="223">
        <v>0.009999999999999998</v>
      </c>
      <c r="AL403" s="223">
        <v>0</v>
      </c>
      <c r="AM403" s="223">
        <v>0</v>
      </c>
      <c r="AN403" s="223">
        <v>0</v>
      </c>
      <c r="AO403" s="223">
        <v>0</v>
      </c>
      <c r="AP403" s="223">
        <v>0</v>
      </c>
      <c r="AQ403" s="223">
        <v>0</v>
      </c>
      <c r="AR403" s="223">
        <v>0</v>
      </c>
      <c r="AS403" s="223">
        <v>0</v>
      </c>
      <c r="AT403" s="223">
        <v>0</v>
      </c>
      <c r="AU403" s="223">
        <v>0</v>
      </c>
      <c r="AV403" s="223">
        <v>0</v>
      </c>
      <c r="AW403" s="223">
        <v>0</v>
      </c>
      <c r="AX403" s="223">
        <v>0</v>
      </c>
      <c r="AY403" s="223">
        <v>0</v>
      </c>
      <c r="AZ403" s="223">
        <v>0</v>
      </c>
      <c r="BA403" s="223">
        <v>0</v>
      </c>
      <c r="BB403" s="223">
        <v>0</v>
      </c>
      <c r="BC403" s="223">
        <v>0</v>
      </c>
      <c r="BD403" s="223">
        <v>0.019999999999999997</v>
      </c>
      <c r="BE403" s="223">
        <v>0</v>
      </c>
      <c r="BF403" s="223"/>
      <c r="BG403" s="223">
        <v>0.44999999999999996</v>
      </c>
      <c r="BH403" s="306"/>
      <c r="BI403" s="290"/>
      <c r="BJ403" s="290"/>
      <c r="BK403" s="291"/>
      <c r="BL403" s="310"/>
      <c r="BM403" s="293"/>
      <c r="BN403" s="111"/>
      <c r="BO403" s="112"/>
      <c r="BP403" s="113"/>
      <c r="BS403" s="115"/>
    </row>
    <row r="404" spans="1:69" ht="46.5">
      <c r="A404" s="305">
        <f>A401+1</f>
        <v>246</v>
      </c>
      <c r="B404" s="213" t="s">
        <v>763</v>
      </c>
      <c r="C404" s="290" t="s">
        <v>71</v>
      </c>
      <c r="D404" s="4"/>
      <c r="E404" s="148">
        <f>F404+G404</f>
        <v>7.552</v>
      </c>
      <c r="F404" s="176"/>
      <c r="G404" s="5">
        <f>SUM(H404:M404,Q404,U404,Y404:BG404)</f>
        <v>7.552</v>
      </c>
      <c r="H404" s="48">
        <v>2</v>
      </c>
      <c r="I404" s="48"/>
      <c r="J404" s="48"/>
      <c r="K404" s="48">
        <v>1.53</v>
      </c>
      <c r="L404" s="48">
        <v>1</v>
      </c>
      <c r="M404" s="48"/>
      <c r="N404" s="48"/>
      <c r="O404" s="48"/>
      <c r="P404" s="48"/>
      <c r="Q404" s="48"/>
      <c r="R404" s="48"/>
      <c r="S404" s="48"/>
      <c r="T404" s="48"/>
      <c r="U404" s="6">
        <f>SUM(V404:X404)</f>
        <v>1.1320000000000001</v>
      </c>
      <c r="V404" s="223">
        <v>0.132</v>
      </c>
      <c r="W404" s="48">
        <v>1</v>
      </c>
      <c r="X404" s="48"/>
      <c r="Y404" s="48">
        <v>0.5</v>
      </c>
      <c r="Z404" s="48"/>
      <c r="AA404" s="48"/>
      <c r="AB404" s="48"/>
      <c r="AC404" s="48"/>
      <c r="AD404" s="48"/>
      <c r="AE404" s="48"/>
      <c r="AF404" s="48">
        <v>0.25</v>
      </c>
      <c r="AG404" s="48">
        <v>0.1</v>
      </c>
      <c r="AH404" s="48"/>
      <c r="AI404" s="48"/>
      <c r="AJ404" s="48"/>
      <c r="AK404" s="48">
        <v>0.02</v>
      </c>
      <c r="AL404" s="48"/>
      <c r="AM404" s="48"/>
      <c r="AN404" s="48"/>
      <c r="AO404" s="48"/>
      <c r="AP404" s="48"/>
      <c r="AQ404" s="48"/>
      <c r="AR404" s="48"/>
      <c r="AS404" s="48"/>
      <c r="AT404" s="48">
        <v>0.7</v>
      </c>
      <c r="AU404" s="48"/>
      <c r="AV404" s="48"/>
      <c r="AW404" s="48"/>
      <c r="AX404" s="48"/>
      <c r="AY404" s="48"/>
      <c r="AZ404" s="48"/>
      <c r="BA404" s="48"/>
      <c r="BB404" s="48"/>
      <c r="BC404" s="48"/>
      <c r="BD404" s="48">
        <v>0.05</v>
      </c>
      <c r="BE404" s="48"/>
      <c r="BF404" s="48">
        <v>0.02</v>
      </c>
      <c r="BG404" s="48">
        <v>0.25</v>
      </c>
      <c r="BH404" s="306" t="s">
        <v>76</v>
      </c>
      <c r="BI404" s="290" t="s">
        <v>71</v>
      </c>
      <c r="BJ404" s="290" t="s">
        <v>1002</v>
      </c>
      <c r="BK404" s="307" t="s">
        <v>120</v>
      </c>
      <c r="BL404" s="310" t="s">
        <v>163</v>
      </c>
      <c r="BM404" s="293" t="s">
        <v>935</v>
      </c>
      <c r="BN404" s="13" t="s">
        <v>1025</v>
      </c>
      <c r="BO404" s="15" t="s">
        <v>1147</v>
      </c>
      <c r="BQ404" s="17"/>
    </row>
    <row r="405" spans="1:71" s="114" customFormat="1" ht="21" customHeight="1">
      <c r="A405" s="305"/>
      <c r="B405" s="234" t="s">
        <v>48</v>
      </c>
      <c r="C405" s="290"/>
      <c r="D405" s="103" t="s">
        <v>48</v>
      </c>
      <c r="E405" s="148">
        <f t="shared" si="124"/>
        <v>4.79</v>
      </c>
      <c r="F405" s="148"/>
      <c r="G405" s="239">
        <f>SUM(H405:BG405)-M405-Q405-U405</f>
        <v>4.79</v>
      </c>
      <c r="H405" s="223">
        <v>1.4499999999999997</v>
      </c>
      <c r="I405" s="223">
        <v>0</v>
      </c>
      <c r="J405" s="223">
        <v>0</v>
      </c>
      <c r="K405" s="223">
        <v>0.8400000000000001</v>
      </c>
      <c r="L405" s="223">
        <v>0.55</v>
      </c>
      <c r="M405" s="223">
        <v>0</v>
      </c>
      <c r="N405" s="223">
        <v>0</v>
      </c>
      <c r="O405" s="223">
        <v>0</v>
      </c>
      <c r="P405" s="223">
        <v>0</v>
      </c>
      <c r="Q405" s="223">
        <v>0</v>
      </c>
      <c r="R405" s="223">
        <v>0</v>
      </c>
      <c r="S405" s="223">
        <v>0</v>
      </c>
      <c r="T405" s="223">
        <v>0</v>
      </c>
      <c r="U405" s="6">
        <v>0.62</v>
      </c>
      <c r="V405" s="223">
        <v>0.07</v>
      </c>
      <c r="W405" s="223">
        <v>0.55</v>
      </c>
      <c r="X405" s="223">
        <v>0</v>
      </c>
      <c r="Y405" s="223">
        <v>0.28</v>
      </c>
      <c r="Z405" s="223">
        <v>0</v>
      </c>
      <c r="AA405" s="223">
        <v>0</v>
      </c>
      <c r="AB405" s="223">
        <v>0</v>
      </c>
      <c r="AC405" s="223">
        <v>0</v>
      </c>
      <c r="AD405" s="223">
        <v>0</v>
      </c>
      <c r="AE405" s="223">
        <v>0</v>
      </c>
      <c r="AF405" s="223">
        <v>0.12</v>
      </c>
      <c r="AG405" s="223">
        <v>0.05</v>
      </c>
      <c r="AH405" s="223">
        <v>0</v>
      </c>
      <c r="AI405" s="223">
        <v>0</v>
      </c>
      <c r="AJ405" s="223">
        <v>0</v>
      </c>
      <c r="AK405" s="223">
        <v>0.01</v>
      </c>
      <c r="AL405" s="223">
        <v>0</v>
      </c>
      <c r="AM405" s="223">
        <v>0</v>
      </c>
      <c r="AN405" s="223">
        <v>0</v>
      </c>
      <c r="AO405" s="223">
        <v>0</v>
      </c>
      <c r="AP405" s="223">
        <v>0</v>
      </c>
      <c r="AQ405" s="223">
        <v>0</v>
      </c>
      <c r="AR405" s="223">
        <v>0</v>
      </c>
      <c r="AS405" s="223">
        <v>0</v>
      </c>
      <c r="AT405" s="223">
        <v>0.7</v>
      </c>
      <c r="AU405" s="223">
        <v>0</v>
      </c>
      <c r="AV405" s="223">
        <v>0</v>
      </c>
      <c r="AW405" s="223">
        <v>0</v>
      </c>
      <c r="AX405" s="223">
        <v>0</v>
      </c>
      <c r="AY405" s="223">
        <v>0</v>
      </c>
      <c r="AZ405" s="223">
        <v>0</v>
      </c>
      <c r="BA405" s="223">
        <v>0</v>
      </c>
      <c r="BB405" s="223">
        <v>0</v>
      </c>
      <c r="BC405" s="223">
        <v>0</v>
      </c>
      <c r="BD405" s="223">
        <v>0.030000000000000006</v>
      </c>
      <c r="BE405" s="223">
        <v>0</v>
      </c>
      <c r="BF405" s="223">
        <v>0.02</v>
      </c>
      <c r="BG405" s="223">
        <v>0.12</v>
      </c>
      <c r="BH405" s="306"/>
      <c r="BI405" s="290"/>
      <c r="BJ405" s="290"/>
      <c r="BK405" s="307"/>
      <c r="BL405" s="310"/>
      <c r="BM405" s="293"/>
      <c r="BN405" s="111"/>
      <c r="BO405" s="112"/>
      <c r="BP405" s="113"/>
      <c r="BS405" s="115"/>
    </row>
    <row r="406" spans="1:71" s="114" customFormat="1" ht="21" customHeight="1">
      <c r="A406" s="305"/>
      <c r="B406" s="234" t="s">
        <v>34</v>
      </c>
      <c r="C406" s="290"/>
      <c r="D406" s="103" t="s">
        <v>34</v>
      </c>
      <c r="E406" s="148">
        <f t="shared" si="124"/>
        <v>2.7619999999999996</v>
      </c>
      <c r="F406" s="148"/>
      <c r="G406" s="89">
        <f>SUM(H406:BG406)-M406-Q406-U406</f>
        <v>2.7619999999999996</v>
      </c>
      <c r="H406" s="223">
        <f>H404-H405</f>
        <v>0.5500000000000003</v>
      </c>
      <c r="I406" s="223">
        <f aca="true" t="shared" si="130" ref="I406:BG406">I404-I405</f>
        <v>0</v>
      </c>
      <c r="J406" s="223">
        <f t="shared" si="130"/>
        <v>0</v>
      </c>
      <c r="K406" s="223">
        <f t="shared" si="130"/>
        <v>0.69</v>
      </c>
      <c r="L406" s="223">
        <f t="shared" si="130"/>
        <v>0.44999999999999996</v>
      </c>
      <c r="M406" s="223">
        <f t="shared" si="130"/>
        <v>0</v>
      </c>
      <c r="N406" s="223">
        <f t="shared" si="130"/>
        <v>0</v>
      </c>
      <c r="O406" s="223">
        <f t="shared" si="130"/>
        <v>0</v>
      </c>
      <c r="P406" s="223">
        <f t="shared" si="130"/>
        <v>0</v>
      </c>
      <c r="Q406" s="223">
        <f t="shared" si="130"/>
        <v>0</v>
      </c>
      <c r="R406" s="223">
        <f t="shared" si="130"/>
        <v>0</v>
      </c>
      <c r="S406" s="223">
        <f t="shared" si="130"/>
        <v>0</v>
      </c>
      <c r="T406" s="223">
        <f t="shared" si="130"/>
        <v>0</v>
      </c>
      <c r="U406" s="223">
        <f t="shared" si="130"/>
        <v>0.5120000000000001</v>
      </c>
      <c r="V406" s="223">
        <f t="shared" si="130"/>
        <v>0.062</v>
      </c>
      <c r="W406" s="223">
        <f t="shared" si="130"/>
        <v>0.44999999999999996</v>
      </c>
      <c r="X406" s="223">
        <f t="shared" si="130"/>
        <v>0</v>
      </c>
      <c r="Y406" s="223">
        <f t="shared" si="130"/>
        <v>0.21999999999999997</v>
      </c>
      <c r="Z406" s="223">
        <f t="shared" si="130"/>
        <v>0</v>
      </c>
      <c r="AA406" s="223">
        <f t="shared" si="130"/>
        <v>0</v>
      </c>
      <c r="AB406" s="223">
        <f t="shared" si="130"/>
        <v>0</v>
      </c>
      <c r="AC406" s="223">
        <f t="shared" si="130"/>
        <v>0</v>
      </c>
      <c r="AD406" s="223">
        <f t="shared" si="130"/>
        <v>0</v>
      </c>
      <c r="AE406" s="223">
        <f t="shared" si="130"/>
        <v>0</v>
      </c>
      <c r="AF406" s="223">
        <f t="shared" si="130"/>
        <v>0.13</v>
      </c>
      <c r="AG406" s="223">
        <f t="shared" si="130"/>
        <v>0.05</v>
      </c>
      <c r="AH406" s="223">
        <f t="shared" si="130"/>
        <v>0</v>
      </c>
      <c r="AI406" s="223">
        <f t="shared" si="130"/>
        <v>0</v>
      </c>
      <c r="AJ406" s="223">
        <f t="shared" si="130"/>
        <v>0</v>
      </c>
      <c r="AK406" s="223">
        <f t="shared" si="130"/>
        <v>0.01</v>
      </c>
      <c r="AL406" s="223">
        <f t="shared" si="130"/>
        <v>0</v>
      </c>
      <c r="AM406" s="223">
        <f t="shared" si="130"/>
        <v>0</v>
      </c>
      <c r="AN406" s="223">
        <f t="shared" si="130"/>
        <v>0</v>
      </c>
      <c r="AO406" s="223">
        <f t="shared" si="130"/>
        <v>0</v>
      </c>
      <c r="AP406" s="223">
        <f t="shared" si="130"/>
        <v>0</v>
      </c>
      <c r="AQ406" s="223">
        <f t="shared" si="130"/>
        <v>0</v>
      </c>
      <c r="AR406" s="223">
        <f t="shared" si="130"/>
        <v>0</v>
      </c>
      <c r="AS406" s="223">
        <f t="shared" si="130"/>
        <v>0</v>
      </c>
      <c r="AT406" s="223">
        <f t="shared" si="130"/>
        <v>0</v>
      </c>
      <c r="AU406" s="223">
        <f t="shared" si="130"/>
        <v>0</v>
      </c>
      <c r="AV406" s="223">
        <f t="shared" si="130"/>
        <v>0</v>
      </c>
      <c r="AW406" s="223">
        <f t="shared" si="130"/>
        <v>0</v>
      </c>
      <c r="AX406" s="223">
        <f t="shared" si="130"/>
        <v>0</v>
      </c>
      <c r="AY406" s="223">
        <f t="shared" si="130"/>
        <v>0</v>
      </c>
      <c r="AZ406" s="223">
        <f t="shared" si="130"/>
        <v>0</v>
      </c>
      <c r="BA406" s="223">
        <f t="shared" si="130"/>
        <v>0</v>
      </c>
      <c r="BB406" s="223">
        <f t="shared" si="130"/>
        <v>0</v>
      </c>
      <c r="BC406" s="223">
        <f t="shared" si="130"/>
        <v>0</v>
      </c>
      <c r="BD406" s="223">
        <f t="shared" si="130"/>
        <v>0.019999999999999997</v>
      </c>
      <c r="BE406" s="223">
        <f t="shared" si="130"/>
        <v>0</v>
      </c>
      <c r="BF406" s="223"/>
      <c r="BG406" s="223">
        <f t="shared" si="130"/>
        <v>0.13</v>
      </c>
      <c r="BH406" s="306"/>
      <c r="BI406" s="290"/>
      <c r="BJ406" s="290"/>
      <c r="BK406" s="307"/>
      <c r="BL406" s="310"/>
      <c r="BM406" s="293"/>
      <c r="BN406" s="111"/>
      <c r="BO406" s="112"/>
      <c r="BP406" s="113"/>
      <c r="BS406" s="115"/>
    </row>
    <row r="407" spans="1:71" s="114" customFormat="1" ht="46.5">
      <c r="A407" s="305">
        <f>A404+1</f>
        <v>247</v>
      </c>
      <c r="B407" s="118" t="s">
        <v>764</v>
      </c>
      <c r="C407" s="290" t="s">
        <v>71</v>
      </c>
      <c r="D407" s="103"/>
      <c r="E407" s="97">
        <f t="shared" si="124"/>
        <v>6</v>
      </c>
      <c r="F407" s="97"/>
      <c r="G407" s="88">
        <f>SUM(H407:BG407)-M407-Q407-U407</f>
        <v>6</v>
      </c>
      <c r="H407" s="223">
        <v>0.26</v>
      </c>
      <c r="I407" s="223"/>
      <c r="J407" s="223"/>
      <c r="K407" s="223"/>
      <c r="L407" s="223"/>
      <c r="M407" s="223"/>
      <c r="N407" s="223"/>
      <c r="O407" s="223"/>
      <c r="P407" s="223"/>
      <c r="Q407" s="223"/>
      <c r="R407" s="223"/>
      <c r="S407" s="223"/>
      <c r="T407" s="223"/>
      <c r="U407" s="6">
        <f>SUM(V407:X407)</f>
        <v>5.67</v>
      </c>
      <c r="V407" s="223">
        <f>6-1.55</f>
        <v>4.45</v>
      </c>
      <c r="W407" s="240">
        <v>1.22</v>
      </c>
      <c r="X407" s="223"/>
      <c r="Y407" s="223"/>
      <c r="Z407" s="223"/>
      <c r="AA407" s="223"/>
      <c r="AB407" s="223"/>
      <c r="AC407" s="223"/>
      <c r="AD407" s="223"/>
      <c r="AE407" s="223"/>
      <c r="AF407" s="223">
        <v>0.07</v>
      </c>
      <c r="AG407" s="223"/>
      <c r="AH407" s="223"/>
      <c r="AI407" s="223"/>
      <c r="AJ407" s="223"/>
      <c r="AK407" s="223"/>
      <c r="AL407" s="223"/>
      <c r="AM407" s="223"/>
      <c r="AN407" s="223"/>
      <c r="AO407" s="223"/>
      <c r="AP407" s="223"/>
      <c r="AQ407" s="223"/>
      <c r="AR407" s="223"/>
      <c r="AS407" s="223"/>
      <c r="AT407" s="223"/>
      <c r="AU407" s="223"/>
      <c r="AV407" s="223"/>
      <c r="AW407" s="223"/>
      <c r="AX407" s="223"/>
      <c r="AY407" s="223"/>
      <c r="AZ407" s="223"/>
      <c r="BA407" s="223"/>
      <c r="BB407" s="223"/>
      <c r="BC407" s="223"/>
      <c r="BD407" s="223"/>
      <c r="BE407" s="223"/>
      <c r="BF407" s="223"/>
      <c r="BG407" s="223"/>
      <c r="BH407" s="306" t="s">
        <v>76</v>
      </c>
      <c r="BI407" s="290" t="s">
        <v>71</v>
      </c>
      <c r="BJ407" s="290" t="s">
        <v>765</v>
      </c>
      <c r="BK407" s="307" t="s">
        <v>374</v>
      </c>
      <c r="BL407" s="301" t="s">
        <v>341</v>
      </c>
      <c r="BM407" s="293" t="s">
        <v>935</v>
      </c>
      <c r="BN407" s="111" t="s">
        <v>1025</v>
      </c>
      <c r="BO407" s="112" t="s">
        <v>1147</v>
      </c>
      <c r="BP407" s="113"/>
      <c r="BS407" s="115"/>
    </row>
    <row r="408" spans="1:71" s="114" customFormat="1" ht="21" customHeight="1">
      <c r="A408" s="305"/>
      <c r="B408" s="234" t="s">
        <v>48</v>
      </c>
      <c r="C408" s="290"/>
      <c r="D408" s="103" t="s">
        <v>48</v>
      </c>
      <c r="E408" s="148">
        <f t="shared" si="124"/>
        <v>2.399999999999999</v>
      </c>
      <c r="F408" s="148"/>
      <c r="G408" s="239">
        <f>SUM(H408:BG408)-M408-Q408-U408</f>
        <v>2.399999999999999</v>
      </c>
      <c r="H408" s="223">
        <v>0.16</v>
      </c>
      <c r="I408" s="223"/>
      <c r="J408" s="223"/>
      <c r="K408" s="223"/>
      <c r="L408" s="223"/>
      <c r="M408" s="223"/>
      <c r="N408" s="223"/>
      <c r="O408" s="223"/>
      <c r="P408" s="223"/>
      <c r="Q408" s="223"/>
      <c r="R408" s="223"/>
      <c r="S408" s="223"/>
      <c r="T408" s="223"/>
      <c r="U408" s="6">
        <f>SUM(V408:X408)</f>
        <v>2.23</v>
      </c>
      <c r="V408" s="223">
        <v>1.63</v>
      </c>
      <c r="W408" s="240">
        <v>0.6</v>
      </c>
      <c r="X408" s="223"/>
      <c r="Y408" s="223"/>
      <c r="Z408" s="223"/>
      <c r="AA408" s="223"/>
      <c r="AB408" s="223"/>
      <c r="AC408" s="223"/>
      <c r="AD408" s="223"/>
      <c r="AE408" s="223"/>
      <c r="AF408" s="223">
        <v>0.01</v>
      </c>
      <c r="AG408" s="223"/>
      <c r="AH408" s="223"/>
      <c r="AI408" s="223"/>
      <c r="AJ408" s="223"/>
      <c r="AK408" s="223"/>
      <c r="AL408" s="223"/>
      <c r="AM408" s="223"/>
      <c r="AN408" s="223"/>
      <c r="AO408" s="223"/>
      <c r="AP408" s="223"/>
      <c r="AQ408" s="223"/>
      <c r="AR408" s="223"/>
      <c r="AS408" s="223"/>
      <c r="AT408" s="223"/>
      <c r="AU408" s="223"/>
      <c r="AV408" s="223"/>
      <c r="AW408" s="223"/>
      <c r="AX408" s="223"/>
      <c r="AY408" s="223"/>
      <c r="AZ408" s="223"/>
      <c r="BA408" s="223"/>
      <c r="BB408" s="223"/>
      <c r="BC408" s="223"/>
      <c r="BD408" s="223"/>
      <c r="BE408" s="223"/>
      <c r="BF408" s="223"/>
      <c r="BG408" s="223"/>
      <c r="BH408" s="306"/>
      <c r="BI408" s="290"/>
      <c r="BJ408" s="290"/>
      <c r="BK408" s="307"/>
      <c r="BL408" s="301"/>
      <c r="BM408" s="293"/>
      <c r="BN408" s="111"/>
      <c r="BO408" s="112"/>
      <c r="BP408" s="113"/>
      <c r="BS408" s="115"/>
    </row>
    <row r="409" spans="1:71" s="114" customFormat="1" ht="21" customHeight="1">
      <c r="A409" s="305"/>
      <c r="B409" s="234" t="s">
        <v>34</v>
      </c>
      <c r="C409" s="290"/>
      <c r="D409" s="103" t="s">
        <v>34</v>
      </c>
      <c r="E409" s="148">
        <f t="shared" si="124"/>
        <v>1.5</v>
      </c>
      <c r="F409" s="148"/>
      <c r="G409" s="239">
        <f>SUM(H409:BG409)-M409-Q409-U409</f>
        <v>1.5</v>
      </c>
      <c r="H409" s="223">
        <v>0.1</v>
      </c>
      <c r="I409" s="223"/>
      <c r="J409" s="223"/>
      <c r="K409" s="223"/>
      <c r="L409" s="223"/>
      <c r="M409" s="223"/>
      <c r="N409" s="223"/>
      <c r="O409" s="223"/>
      <c r="P409" s="223"/>
      <c r="Q409" s="223"/>
      <c r="R409" s="223"/>
      <c r="S409" s="223"/>
      <c r="T409" s="223"/>
      <c r="U409" s="6">
        <f>SUM(V409:X409)</f>
        <v>1.3399999999999999</v>
      </c>
      <c r="V409" s="223">
        <v>0.94</v>
      </c>
      <c r="W409" s="240">
        <v>0.4</v>
      </c>
      <c r="X409" s="223"/>
      <c r="Y409" s="223"/>
      <c r="Z409" s="223"/>
      <c r="AA409" s="223"/>
      <c r="AB409" s="223"/>
      <c r="AC409" s="223"/>
      <c r="AD409" s="223"/>
      <c r="AE409" s="223"/>
      <c r="AF409" s="223">
        <v>0.06</v>
      </c>
      <c r="AG409" s="223"/>
      <c r="AH409" s="223"/>
      <c r="AI409" s="223"/>
      <c r="AJ409" s="223"/>
      <c r="AK409" s="223"/>
      <c r="AL409" s="223"/>
      <c r="AM409" s="223"/>
      <c r="AN409" s="223"/>
      <c r="AO409" s="223"/>
      <c r="AP409" s="223"/>
      <c r="AQ409" s="223"/>
      <c r="AR409" s="223"/>
      <c r="AS409" s="223"/>
      <c r="AT409" s="223"/>
      <c r="AU409" s="223"/>
      <c r="AV409" s="223"/>
      <c r="AW409" s="223"/>
      <c r="AX409" s="223"/>
      <c r="AY409" s="223"/>
      <c r="AZ409" s="223"/>
      <c r="BA409" s="223"/>
      <c r="BB409" s="223"/>
      <c r="BC409" s="223"/>
      <c r="BD409" s="223"/>
      <c r="BE409" s="223"/>
      <c r="BF409" s="223"/>
      <c r="BG409" s="223"/>
      <c r="BH409" s="306"/>
      <c r="BI409" s="290"/>
      <c r="BJ409" s="290"/>
      <c r="BK409" s="307"/>
      <c r="BL409" s="301"/>
      <c r="BM409" s="293"/>
      <c r="BN409" s="111"/>
      <c r="BO409" s="112"/>
      <c r="BP409" s="113"/>
      <c r="BS409" s="115"/>
    </row>
    <row r="410" spans="1:71" s="114" customFormat="1" ht="18.75" customHeight="1">
      <c r="A410" s="305"/>
      <c r="B410" s="118" t="s">
        <v>217</v>
      </c>
      <c r="C410" s="290"/>
      <c r="D410" s="223"/>
      <c r="E410" s="223">
        <f>E407-E408-E409</f>
        <v>2.100000000000001</v>
      </c>
      <c r="F410" s="223"/>
      <c r="G410" s="223">
        <f>G407-G408-G409</f>
        <v>2.100000000000001</v>
      </c>
      <c r="H410" s="223">
        <v>0</v>
      </c>
      <c r="I410" s="223">
        <v>0</v>
      </c>
      <c r="J410" s="223">
        <v>0</v>
      </c>
      <c r="K410" s="223">
        <v>0</v>
      </c>
      <c r="L410" s="223">
        <v>0</v>
      </c>
      <c r="M410" s="223">
        <v>0</v>
      </c>
      <c r="N410" s="223">
        <v>0</v>
      </c>
      <c r="O410" s="223">
        <v>0</v>
      </c>
      <c r="P410" s="223">
        <v>0</v>
      </c>
      <c r="Q410" s="223">
        <v>0</v>
      </c>
      <c r="R410" s="223">
        <v>0</v>
      </c>
      <c r="S410" s="223">
        <v>0</v>
      </c>
      <c r="T410" s="223">
        <v>0</v>
      </c>
      <c r="U410" s="6">
        <f>SUM(V410:X410)</f>
        <v>2.1</v>
      </c>
      <c r="V410" s="223">
        <v>1.88</v>
      </c>
      <c r="W410" s="223">
        <v>0.22</v>
      </c>
      <c r="X410" s="223">
        <v>0</v>
      </c>
      <c r="Y410" s="223">
        <v>0</v>
      </c>
      <c r="Z410" s="223">
        <v>0</v>
      </c>
      <c r="AA410" s="223">
        <v>0</v>
      </c>
      <c r="AB410" s="223">
        <v>0</v>
      </c>
      <c r="AC410" s="223">
        <v>0</v>
      </c>
      <c r="AD410" s="223">
        <v>0</v>
      </c>
      <c r="AE410" s="223">
        <v>0</v>
      </c>
      <c r="AF410" s="223">
        <v>0</v>
      </c>
      <c r="AG410" s="223">
        <v>0</v>
      </c>
      <c r="AH410" s="223">
        <v>0</v>
      </c>
      <c r="AI410" s="223">
        <v>0</v>
      </c>
      <c r="AJ410" s="223">
        <v>0</v>
      </c>
      <c r="AK410" s="223">
        <v>0</v>
      </c>
      <c r="AL410" s="223">
        <v>0</v>
      </c>
      <c r="AM410" s="223">
        <v>0</v>
      </c>
      <c r="AN410" s="223">
        <v>0</v>
      </c>
      <c r="AO410" s="223">
        <v>0</v>
      </c>
      <c r="AP410" s="223">
        <v>0</v>
      </c>
      <c r="AQ410" s="223">
        <v>0</v>
      </c>
      <c r="AR410" s="223">
        <v>0</v>
      </c>
      <c r="AS410" s="223">
        <v>0</v>
      </c>
      <c r="AT410" s="223">
        <v>0</v>
      </c>
      <c r="AU410" s="223">
        <v>0</v>
      </c>
      <c r="AV410" s="223">
        <v>0</v>
      </c>
      <c r="AW410" s="223">
        <v>0</v>
      </c>
      <c r="AX410" s="223">
        <v>0</v>
      </c>
      <c r="AY410" s="223">
        <v>0</v>
      </c>
      <c r="AZ410" s="223">
        <v>0</v>
      </c>
      <c r="BA410" s="223">
        <v>0</v>
      </c>
      <c r="BB410" s="223">
        <v>0</v>
      </c>
      <c r="BC410" s="223">
        <v>0</v>
      </c>
      <c r="BD410" s="223">
        <v>0</v>
      </c>
      <c r="BE410" s="223">
        <v>0</v>
      </c>
      <c r="BF410" s="223">
        <v>0</v>
      </c>
      <c r="BG410" s="223">
        <v>0</v>
      </c>
      <c r="BH410" s="306"/>
      <c r="BI410" s="290"/>
      <c r="BJ410" s="290"/>
      <c r="BK410" s="307"/>
      <c r="BL410" s="301"/>
      <c r="BM410" s="293"/>
      <c r="BN410" s="111"/>
      <c r="BO410" s="112"/>
      <c r="BP410" s="113"/>
      <c r="BS410" s="115"/>
    </row>
    <row r="411" spans="1:69" ht="46.5">
      <c r="A411" s="284">
        <f>+A407+1</f>
        <v>248</v>
      </c>
      <c r="B411" s="2" t="s">
        <v>766</v>
      </c>
      <c r="C411" s="290" t="s">
        <v>82</v>
      </c>
      <c r="D411" s="4"/>
      <c r="E411" s="45">
        <f t="shared" si="124"/>
        <v>4.86</v>
      </c>
      <c r="F411" s="5"/>
      <c r="G411" s="5">
        <f>SUM(H411:M411,Q411,U411,Y411:BG411)</f>
        <v>4.86</v>
      </c>
      <c r="H411" s="46">
        <f>SUM(H412:H414)</f>
        <v>0.03</v>
      </c>
      <c r="I411" s="46">
        <f aca="true" t="shared" si="131" ref="I411:BG411">SUM(I412:I414)</f>
        <v>0.05</v>
      </c>
      <c r="J411" s="46">
        <f t="shared" si="131"/>
        <v>0</v>
      </c>
      <c r="K411" s="46">
        <f t="shared" si="131"/>
        <v>1.95</v>
      </c>
      <c r="L411" s="46">
        <f t="shared" si="131"/>
        <v>0.64</v>
      </c>
      <c r="M411" s="46">
        <f t="shared" si="131"/>
        <v>0</v>
      </c>
      <c r="N411" s="46">
        <f t="shared" si="131"/>
        <v>0</v>
      </c>
      <c r="O411" s="46">
        <f t="shared" si="131"/>
        <v>0</v>
      </c>
      <c r="P411" s="46">
        <f t="shared" si="131"/>
        <v>0</v>
      </c>
      <c r="Q411" s="46">
        <f t="shared" si="131"/>
        <v>0</v>
      </c>
      <c r="R411" s="46">
        <f t="shared" si="131"/>
        <v>0</v>
      </c>
      <c r="S411" s="46">
        <f t="shared" si="131"/>
        <v>0</v>
      </c>
      <c r="T411" s="46">
        <f t="shared" si="131"/>
        <v>0</v>
      </c>
      <c r="U411" s="46">
        <f t="shared" si="131"/>
        <v>2.0700000000000003</v>
      </c>
      <c r="V411" s="46">
        <f t="shared" si="131"/>
        <v>1.4300000000000002</v>
      </c>
      <c r="W411" s="46">
        <f t="shared" si="131"/>
        <v>0.6399999999999999</v>
      </c>
      <c r="X411" s="46">
        <f t="shared" si="131"/>
        <v>0</v>
      </c>
      <c r="Y411" s="46">
        <f t="shared" si="131"/>
        <v>0</v>
      </c>
      <c r="Z411" s="46">
        <f t="shared" si="131"/>
        <v>0</v>
      </c>
      <c r="AA411" s="46">
        <f t="shared" si="131"/>
        <v>0</v>
      </c>
      <c r="AB411" s="46">
        <f t="shared" si="131"/>
        <v>0</v>
      </c>
      <c r="AC411" s="46">
        <f t="shared" si="131"/>
        <v>0</v>
      </c>
      <c r="AD411" s="46">
        <f t="shared" si="131"/>
        <v>0</v>
      </c>
      <c r="AE411" s="46">
        <f t="shared" si="131"/>
        <v>0</v>
      </c>
      <c r="AF411" s="46">
        <f t="shared" si="131"/>
        <v>0.12000000000000001</v>
      </c>
      <c r="AG411" s="46">
        <f t="shared" si="131"/>
        <v>0</v>
      </c>
      <c r="AH411" s="46">
        <f t="shared" si="131"/>
        <v>0</v>
      </c>
      <c r="AI411" s="46">
        <f t="shared" si="131"/>
        <v>0</v>
      </c>
      <c r="AJ411" s="46">
        <f t="shared" si="131"/>
        <v>0</v>
      </c>
      <c r="AK411" s="46">
        <f t="shared" si="131"/>
        <v>0</v>
      </c>
      <c r="AL411" s="46">
        <f t="shared" si="131"/>
        <v>0</v>
      </c>
      <c r="AM411" s="46">
        <f t="shared" si="131"/>
        <v>0</v>
      </c>
      <c r="AN411" s="46">
        <f t="shared" si="131"/>
        <v>0</v>
      </c>
      <c r="AO411" s="46">
        <f t="shared" si="131"/>
        <v>0</v>
      </c>
      <c r="AP411" s="46">
        <f t="shared" si="131"/>
        <v>0</v>
      </c>
      <c r="AQ411" s="46">
        <f t="shared" si="131"/>
        <v>0</v>
      </c>
      <c r="AR411" s="46">
        <f t="shared" si="131"/>
        <v>0</v>
      </c>
      <c r="AS411" s="46">
        <f t="shared" si="131"/>
        <v>0</v>
      </c>
      <c r="AT411" s="46">
        <f t="shared" si="131"/>
        <v>0</v>
      </c>
      <c r="AU411" s="46">
        <f t="shared" si="131"/>
        <v>0</v>
      </c>
      <c r="AV411" s="46">
        <f t="shared" si="131"/>
        <v>0</v>
      </c>
      <c r="AW411" s="46">
        <f t="shared" si="131"/>
        <v>0</v>
      </c>
      <c r="AX411" s="46">
        <f t="shared" si="131"/>
        <v>0</v>
      </c>
      <c r="AY411" s="46">
        <f t="shared" si="131"/>
        <v>0</v>
      </c>
      <c r="AZ411" s="46">
        <f t="shared" si="131"/>
        <v>0</v>
      </c>
      <c r="BA411" s="46">
        <f t="shared" si="131"/>
        <v>0</v>
      </c>
      <c r="BB411" s="46">
        <f t="shared" si="131"/>
        <v>0</v>
      </c>
      <c r="BC411" s="46">
        <f t="shared" si="131"/>
        <v>0</v>
      </c>
      <c r="BD411" s="46">
        <f t="shared" si="131"/>
        <v>0</v>
      </c>
      <c r="BE411" s="46">
        <f t="shared" si="131"/>
        <v>0</v>
      </c>
      <c r="BF411" s="46">
        <f t="shared" si="131"/>
        <v>0</v>
      </c>
      <c r="BG411" s="46">
        <f t="shared" si="131"/>
        <v>0</v>
      </c>
      <c r="BH411" s="290" t="s">
        <v>630</v>
      </c>
      <c r="BI411" s="290" t="s">
        <v>82</v>
      </c>
      <c r="BJ411" s="302" t="s">
        <v>768</v>
      </c>
      <c r="BK411" s="291" t="s">
        <v>120</v>
      </c>
      <c r="BL411" s="301" t="s">
        <v>341</v>
      </c>
      <c r="BM411" s="293" t="s">
        <v>935</v>
      </c>
      <c r="BN411" s="13" t="s">
        <v>1025</v>
      </c>
      <c r="BO411" s="15" t="s">
        <v>1147</v>
      </c>
      <c r="BQ411" s="17"/>
    </row>
    <row r="412" spans="1:71" s="114" customFormat="1" ht="20.25" customHeight="1">
      <c r="A412" s="284"/>
      <c r="B412" s="234" t="s">
        <v>48</v>
      </c>
      <c r="C412" s="290"/>
      <c r="D412" s="103" t="s">
        <v>48</v>
      </c>
      <c r="E412" s="148">
        <f t="shared" si="124"/>
        <v>1.7800000000000002</v>
      </c>
      <c r="F412" s="148"/>
      <c r="G412" s="89">
        <f>SUM(H412:BG412)-M412-Q412-U412</f>
        <v>1.7800000000000002</v>
      </c>
      <c r="H412" s="224">
        <v>0.03</v>
      </c>
      <c r="I412" s="224">
        <v>0.05</v>
      </c>
      <c r="J412" s="224"/>
      <c r="K412" s="224">
        <v>0.57</v>
      </c>
      <c r="L412" s="224">
        <v>0.34</v>
      </c>
      <c r="M412" s="224"/>
      <c r="N412" s="224"/>
      <c r="O412" s="224"/>
      <c r="P412" s="224"/>
      <c r="Q412" s="224"/>
      <c r="R412" s="224"/>
      <c r="S412" s="224"/>
      <c r="T412" s="224"/>
      <c r="U412" s="224">
        <f>SUM(V412:X412)</f>
        <v>0.77</v>
      </c>
      <c r="V412" s="224">
        <v>0.42000000000000004</v>
      </c>
      <c r="W412" s="224">
        <v>0.35</v>
      </c>
      <c r="X412" s="224"/>
      <c r="Y412" s="224"/>
      <c r="Z412" s="224"/>
      <c r="AA412" s="224"/>
      <c r="AB412" s="224"/>
      <c r="AC412" s="224"/>
      <c r="AD412" s="224"/>
      <c r="AE412" s="224"/>
      <c r="AF412" s="224">
        <v>0.02</v>
      </c>
      <c r="AG412" s="224"/>
      <c r="AH412" s="224"/>
      <c r="AI412" s="224"/>
      <c r="AJ412" s="224"/>
      <c r="AK412" s="224"/>
      <c r="AL412" s="224"/>
      <c r="AM412" s="224"/>
      <c r="AN412" s="224"/>
      <c r="AO412" s="224"/>
      <c r="AP412" s="224"/>
      <c r="AQ412" s="224"/>
      <c r="AR412" s="224"/>
      <c r="AS412" s="224"/>
      <c r="AT412" s="224"/>
      <c r="AU412" s="224"/>
      <c r="AV412" s="224"/>
      <c r="AW412" s="224"/>
      <c r="AX412" s="224"/>
      <c r="AY412" s="224"/>
      <c r="AZ412" s="224"/>
      <c r="BA412" s="224"/>
      <c r="BB412" s="224"/>
      <c r="BC412" s="224"/>
      <c r="BD412" s="224"/>
      <c r="BE412" s="224"/>
      <c r="BF412" s="224"/>
      <c r="BG412" s="224"/>
      <c r="BH412" s="290"/>
      <c r="BI412" s="290"/>
      <c r="BJ412" s="302"/>
      <c r="BK412" s="291"/>
      <c r="BL412" s="301"/>
      <c r="BM412" s="293"/>
      <c r="BN412" s="111"/>
      <c r="BO412" s="112"/>
      <c r="BP412" s="113"/>
      <c r="BS412" s="115"/>
    </row>
    <row r="413" spans="1:71" s="114" customFormat="1" ht="20.25" customHeight="1">
      <c r="A413" s="284"/>
      <c r="B413" s="234" t="s">
        <v>34</v>
      </c>
      <c r="C413" s="290"/>
      <c r="D413" s="103" t="s">
        <v>34</v>
      </c>
      <c r="E413" s="148">
        <f t="shared" si="124"/>
        <v>1.33</v>
      </c>
      <c r="F413" s="148"/>
      <c r="G413" s="89">
        <f>SUM(H413:BG413)-M413-Q413-U413</f>
        <v>1.33</v>
      </c>
      <c r="H413" s="224"/>
      <c r="I413" s="224"/>
      <c r="J413" s="224"/>
      <c r="K413" s="224">
        <f>0.7-0.02</f>
        <v>0.6799999999999999</v>
      </c>
      <c r="L413" s="224">
        <v>0.2</v>
      </c>
      <c r="M413" s="224"/>
      <c r="N413" s="224"/>
      <c r="O413" s="224"/>
      <c r="P413" s="224"/>
      <c r="Q413" s="224"/>
      <c r="R413" s="224"/>
      <c r="S413" s="224"/>
      <c r="T413" s="224"/>
      <c r="U413" s="6">
        <f>SUM(V413:X413)</f>
        <v>0.35</v>
      </c>
      <c r="V413" s="84">
        <v>0.13</v>
      </c>
      <c r="W413" s="224">
        <v>0.21999999999999997</v>
      </c>
      <c r="X413" s="224"/>
      <c r="Y413" s="224"/>
      <c r="Z413" s="224"/>
      <c r="AA413" s="224"/>
      <c r="AB413" s="224"/>
      <c r="AC413" s="224"/>
      <c r="AD413" s="224"/>
      <c r="AE413" s="224"/>
      <c r="AF413" s="224">
        <v>0.1</v>
      </c>
      <c r="AG413" s="224"/>
      <c r="AH413" s="224"/>
      <c r="AI413" s="224"/>
      <c r="AJ413" s="224"/>
      <c r="AK413" s="224"/>
      <c r="AL413" s="224"/>
      <c r="AM413" s="224"/>
      <c r="AN413" s="224"/>
      <c r="AO413" s="224"/>
      <c r="AP413" s="224"/>
      <c r="AQ413" s="224"/>
      <c r="AR413" s="224"/>
      <c r="AS413" s="224"/>
      <c r="AT413" s="224"/>
      <c r="AU413" s="224"/>
      <c r="AV413" s="224"/>
      <c r="AW413" s="224"/>
      <c r="AX413" s="224"/>
      <c r="AY413" s="224"/>
      <c r="AZ413" s="224"/>
      <c r="BA413" s="224"/>
      <c r="BB413" s="224"/>
      <c r="BC413" s="224"/>
      <c r="BD413" s="224"/>
      <c r="BE413" s="224"/>
      <c r="BF413" s="224"/>
      <c r="BG413" s="224"/>
      <c r="BH413" s="290"/>
      <c r="BI413" s="290"/>
      <c r="BJ413" s="302"/>
      <c r="BK413" s="291"/>
      <c r="BL413" s="301"/>
      <c r="BM413" s="293"/>
      <c r="BN413" s="111"/>
      <c r="BO413" s="112"/>
      <c r="BP413" s="113"/>
      <c r="BS413" s="115"/>
    </row>
    <row r="414" spans="1:71" s="114" customFormat="1" ht="20.25" customHeight="1">
      <c r="A414" s="284"/>
      <c r="B414" s="234" t="s">
        <v>217</v>
      </c>
      <c r="C414" s="290"/>
      <c r="D414" s="103"/>
      <c r="E414" s="148">
        <f t="shared" si="124"/>
        <v>1.7499999999999998</v>
      </c>
      <c r="F414" s="148"/>
      <c r="G414" s="89">
        <f>SUM(H414:BG414)-M414-Q414-U414</f>
        <v>1.7499999999999998</v>
      </c>
      <c r="H414" s="224"/>
      <c r="I414" s="224"/>
      <c r="J414" s="224"/>
      <c r="K414" s="224">
        <f>0.5+0.2</f>
        <v>0.7</v>
      </c>
      <c r="L414" s="224">
        <v>0.1</v>
      </c>
      <c r="M414" s="224"/>
      <c r="N414" s="224"/>
      <c r="O414" s="224"/>
      <c r="P414" s="224"/>
      <c r="Q414" s="224"/>
      <c r="R414" s="224"/>
      <c r="S414" s="224"/>
      <c r="T414" s="224"/>
      <c r="U414" s="6">
        <f>SUM(V414:X414)</f>
        <v>0.95</v>
      </c>
      <c r="V414" s="84">
        <v>0.88</v>
      </c>
      <c r="W414" s="46">
        <v>0.07</v>
      </c>
      <c r="X414" s="224"/>
      <c r="Y414" s="224"/>
      <c r="Z414" s="224"/>
      <c r="AA414" s="224"/>
      <c r="AB414" s="224"/>
      <c r="AC414" s="224"/>
      <c r="AD414" s="224"/>
      <c r="AE414" s="224"/>
      <c r="AF414" s="224"/>
      <c r="AG414" s="224"/>
      <c r="AH414" s="224"/>
      <c r="AI414" s="224"/>
      <c r="AJ414" s="224"/>
      <c r="AK414" s="224"/>
      <c r="AL414" s="224"/>
      <c r="AM414" s="224"/>
      <c r="AN414" s="224"/>
      <c r="AO414" s="224"/>
      <c r="AP414" s="224"/>
      <c r="AQ414" s="224"/>
      <c r="AR414" s="224"/>
      <c r="AS414" s="224"/>
      <c r="AT414" s="224"/>
      <c r="AU414" s="224"/>
      <c r="AV414" s="224"/>
      <c r="AW414" s="224"/>
      <c r="AX414" s="224"/>
      <c r="AY414" s="224"/>
      <c r="AZ414" s="224"/>
      <c r="BA414" s="224"/>
      <c r="BB414" s="224"/>
      <c r="BC414" s="224"/>
      <c r="BD414" s="224"/>
      <c r="BE414" s="224"/>
      <c r="BF414" s="224"/>
      <c r="BG414" s="224"/>
      <c r="BH414" s="290"/>
      <c r="BI414" s="290"/>
      <c r="BJ414" s="302"/>
      <c r="BK414" s="291"/>
      <c r="BL414" s="301"/>
      <c r="BM414" s="293"/>
      <c r="BN414" s="111"/>
      <c r="BO414" s="112"/>
      <c r="BP414" s="113"/>
      <c r="BS414" s="115"/>
    </row>
    <row r="415" spans="1:69" ht="46.5">
      <c r="A415" s="284">
        <f>A411+1</f>
        <v>249</v>
      </c>
      <c r="B415" s="2" t="s">
        <v>769</v>
      </c>
      <c r="C415" s="290" t="s">
        <v>82</v>
      </c>
      <c r="D415" s="4"/>
      <c r="E415" s="45">
        <f t="shared" si="124"/>
        <v>2.2</v>
      </c>
      <c r="F415" s="5"/>
      <c r="G415" s="5">
        <f>SUM(H415:M415,Q415,U415,Y415:BG415)</f>
        <v>2.2</v>
      </c>
      <c r="H415" s="46">
        <v>2.2</v>
      </c>
      <c r="I415" s="84"/>
      <c r="J415" s="46"/>
      <c r="K415" s="46"/>
      <c r="L415" s="84"/>
      <c r="M415" s="46"/>
      <c r="N415" s="46"/>
      <c r="O415" s="46"/>
      <c r="P415" s="46"/>
      <c r="Q415" s="46"/>
      <c r="R415" s="46"/>
      <c r="S415" s="46"/>
      <c r="T415" s="46"/>
      <c r="U415" s="46"/>
      <c r="V415" s="84"/>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290" t="s">
        <v>770</v>
      </c>
      <c r="BI415" s="290" t="s">
        <v>82</v>
      </c>
      <c r="BJ415" s="302" t="s">
        <v>771</v>
      </c>
      <c r="BK415" s="291" t="s">
        <v>120</v>
      </c>
      <c r="BL415" s="301" t="s">
        <v>341</v>
      </c>
      <c r="BM415" s="293" t="s">
        <v>935</v>
      </c>
      <c r="BN415" s="13" t="s">
        <v>1025</v>
      </c>
      <c r="BO415" s="15" t="s">
        <v>1147</v>
      </c>
      <c r="BQ415" s="17"/>
    </row>
    <row r="416" spans="1:71" s="114" customFormat="1" ht="22.5" customHeight="1">
      <c r="A416" s="284"/>
      <c r="B416" s="234" t="s">
        <v>48</v>
      </c>
      <c r="C416" s="290"/>
      <c r="D416" s="103" t="s">
        <v>48</v>
      </c>
      <c r="E416" s="148">
        <f t="shared" si="124"/>
        <v>1.54</v>
      </c>
      <c r="F416" s="148"/>
      <c r="G416" s="89">
        <f>SUM(H416:BG416)-M416-Q416-U416</f>
        <v>1.54</v>
      </c>
      <c r="H416" s="224">
        <v>1.54</v>
      </c>
      <c r="I416" s="224"/>
      <c r="J416" s="224"/>
      <c r="K416" s="224"/>
      <c r="L416" s="224"/>
      <c r="M416" s="224"/>
      <c r="N416" s="224"/>
      <c r="O416" s="224"/>
      <c r="P416" s="224"/>
      <c r="Q416" s="224"/>
      <c r="R416" s="224"/>
      <c r="S416" s="224"/>
      <c r="T416" s="224"/>
      <c r="U416" s="224"/>
      <c r="V416" s="224"/>
      <c r="W416" s="224"/>
      <c r="X416" s="224"/>
      <c r="Y416" s="224"/>
      <c r="Z416" s="224"/>
      <c r="AA416" s="224"/>
      <c r="AB416" s="224"/>
      <c r="AC416" s="224"/>
      <c r="AD416" s="224"/>
      <c r="AE416" s="224"/>
      <c r="AF416" s="224"/>
      <c r="AG416" s="224"/>
      <c r="AH416" s="224"/>
      <c r="AI416" s="224"/>
      <c r="AJ416" s="224"/>
      <c r="AK416" s="224"/>
      <c r="AL416" s="224"/>
      <c r="AM416" s="224"/>
      <c r="AN416" s="224"/>
      <c r="AO416" s="224"/>
      <c r="AP416" s="224"/>
      <c r="AQ416" s="224"/>
      <c r="AR416" s="224"/>
      <c r="AS416" s="224"/>
      <c r="AT416" s="224"/>
      <c r="AU416" s="224"/>
      <c r="AV416" s="224"/>
      <c r="AW416" s="224"/>
      <c r="AX416" s="224"/>
      <c r="AY416" s="224"/>
      <c r="AZ416" s="224"/>
      <c r="BA416" s="224"/>
      <c r="BB416" s="224"/>
      <c r="BC416" s="224"/>
      <c r="BD416" s="224"/>
      <c r="BE416" s="224"/>
      <c r="BF416" s="224"/>
      <c r="BG416" s="224"/>
      <c r="BH416" s="290"/>
      <c r="BI416" s="290"/>
      <c r="BJ416" s="302"/>
      <c r="BK416" s="291"/>
      <c r="BL416" s="301"/>
      <c r="BM416" s="293"/>
      <c r="BN416" s="111"/>
      <c r="BO416" s="112"/>
      <c r="BP416" s="113"/>
      <c r="BS416" s="115"/>
    </row>
    <row r="417" spans="1:71" s="114" customFormat="1" ht="22.5" customHeight="1">
      <c r="A417" s="284"/>
      <c r="B417" s="234" t="s">
        <v>34</v>
      </c>
      <c r="C417" s="290"/>
      <c r="D417" s="103" t="s">
        <v>34</v>
      </c>
      <c r="E417" s="148">
        <f t="shared" si="124"/>
        <v>0.66</v>
      </c>
      <c r="F417" s="148"/>
      <c r="G417" s="89">
        <f>SUM(H417:BG417)-M417-Q417-U417</f>
        <v>0.66</v>
      </c>
      <c r="H417" s="224">
        <v>0.66</v>
      </c>
      <c r="I417" s="224"/>
      <c r="J417" s="224"/>
      <c r="K417" s="224"/>
      <c r="L417" s="224"/>
      <c r="M417" s="224"/>
      <c r="N417" s="224"/>
      <c r="O417" s="224"/>
      <c r="P417" s="224"/>
      <c r="Q417" s="224"/>
      <c r="R417" s="224"/>
      <c r="S417" s="224"/>
      <c r="T417" s="224"/>
      <c r="U417" s="6">
        <f>SUM(V417:X417)</f>
        <v>0</v>
      </c>
      <c r="V417" s="224"/>
      <c r="W417" s="224"/>
      <c r="X417" s="224"/>
      <c r="Y417" s="224"/>
      <c r="Z417" s="224"/>
      <c r="AA417" s="224"/>
      <c r="AB417" s="224"/>
      <c r="AC417" s="224"/>
      <c r="AD417" s="224"/>
      <c r="AE417" s="224"/>
      <c r="AF417" s="224"/>
      <c r="AG417" s="224"/>
      <c r="AH417" s="224"/>
      <c r="AI417" s="224"/>
      <c r="AJ417" s="224"/>
      <c r="AK417" s="224"/>
      <c r="AL417" s="224"/>
      <c r="AM417" s="224"/>
      <c r="AN417" s="224"/>
      <c r="AO417" s="224"/>
      <c r="AP417" s="224"/>
      <c r="AQ417" s="224"/>
      <c r="AR417" s="224"/>
      <c r="AS417" s="224"/>
      <c r="AT417" s="224"/>
      <c r="AU417" s="224"/>
      <c r="AV417" s="224"/>
      <c r="AW417" s="224"/>
      <c r="AX417" s="224"/>
      <c r="AY417" s="224"/>
      <c r="AZ417" s="224"/>
      <c r="BA417" s="224"/>
      <c r="BB417" s="224"/>
      <c r="BC417" s="224"/>
      <c r="BD417" s="224"/>
      <c r="BE417" s="224"/>
      <c r="BF417" s="224"/>
      <c r="BG417" s="224"/>
      <c r="BH417" s="290"/>
      <c r="BI417" s="290"/>
      <c r="BJ417" s="302"/>
      <c r="BK417" s="291"/>
      <c r="BL417" s="301"/>
      <c r="BM417" s="293"/>
      <c r="BN417" s="111"/>
      <c r="BO417" s="112"/>
      <c r="BP417" s="113"/>
      <c r="BS417" s="115"/>
    </row>
    <row r="418" spans="1:69" ht="46.5">
      <c r="A418" s="303">
        <f>+A415+1</f>
        <v>250</v>
      </c>
      <c r="B418" s="2" t="s">
        <v>772</v>
      </c>
      <c r="C418" s="290" t="s">
        <v>82</v>
      </c>
      <c r="D418" s="4"/>
      <c r="E418" s="45">
        <f t="shared" si="124"/>
        <v>5</v>
      </c>
      <c r="F418" s="5"/>
      <c r="G418" s="5">
        <f>SUM(H418:M418,Q418,U418,Y418:BG418)</f>
        <v>5</v>
      </c>
      <c r="H418" s="46">
        <v>1.22</v>
      </c>
      <c r="I418" s="84">
        <v>1.07</v>
      </c>
      <c r="J418" s="46"/>
      <c r="K418" s="46">
        <v>1.56</v>
      </c>
      <c r="L418" s="84">
        <v>0.8</v>
      </c>
      <c r="M418" s="46"/>
      <c r="N418" s="46"/>
      <c r="O418" s="46"/>
      <c r="P418" s="46"/>
      <c r="Q418" s="46"/>
      <c r="R418" s="46"/>
      <c r="S418" s="46"/>
      <c r="T418" s="46"/>
      <c r="U418" s="46"/>
      <c r="V418" s="84"/>
      <c r="W418" s="46"/>
      <c r="X418" s="46"/>
      <c r="Y418" s="46"/>
      <c r="Z418" s="46"/>
      <c r="AA418" s="46"/>
      <c r="AB418" s="46"/>
      <c r="AC418" s="46"/>
      <c r="AD418" s="46"/>
      <c r="AE418" s="46"/>
      <c r="AF418" s="46">
        <v>0.35</v>
      </c>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290" t="s">
        <v>773</v>
      </c>
      <c r="BI418" s="290" t="s">
        <v>82</v>
      </c>
      <c r="BJ418" s="302" t="s">
        <v>771</v>
      </c>
      <c r="BK418" s="291" t="s">
        <v>374</v>
      </c>
      <c r="BL418" s="301" t="s">
        <v>341</v>
      </c>
      <c r="BM418" s="293" t="s">
        <v>935</v>
      </c>
      <c r="BN418" s="13" t="s">
        <v>1025</v>
      </c>
      <c r="BO418" s="15" t="s">
        <v>1147</v>
      </c>
      <c r="BQ418" s="17"/>
    </row>
    <row r="419" spans="1:69" ht="19.5" customHeight="1">
      <c r="A419" s="303"/>
      <c r="B419" s="234" t="s">
        <v>48</v>
      </c>
      <c r="C419" s="290"/>
      <c r="D419" s="103" t="s">
        <v>48</v>
      </c>
      <c r="E419" s="148">
        <f t="shared" si="124"/>
        <v>2.88</v>
      </c>
      <c r="F419" s="148"/>
      <c r="G419" s="241">
        <f>SUM(H419:BG419)-M419-Q419-U419</f>
        <v>2.88</v>
      </c>
      <c r="H419" s="46">
        <v>0.7</v>
      </c>
      <c r="I419" s="46">
        <v>0.67</v>
      </c>
      <c r="J419" s="46">
        <v>0</v>
      </c>
      <c r="K419" s="46">
        <v>0.96</v>
      </c>
      <c r="L419" s="46">
        <v>0.5</v>
      </c>
      <c r="M419" s="46">
        <v>0</v>
      </c>
      <c r="N419" s="46">
        <v>0</v>
      </c>
      <c r="O419" s="46">
        <v>0</v>
      </c>
      <c r="P419" s="46">
        <v>0</v>
      </c>
      <c r="Q419" s="46">
        <v>0</v>
      </c>
      <c r="R419" s="46">
        <v>0</v>
      </c>
      <c r="S419" s="46">
        <v>0</v>
      </c>
      <c r="T419" s="46">
        <v>0</v>
      </c>
      <c r="U419" s="46"/>
      <c r="V419" s="46"/>
      <c r="W419" s="46">
        <v>0</v>
      </c>
      <c r="X419" s="46">
        <v>0</v>
      </c>
      <c r="Y419" s="46">
        <v>0</v>
      </c>
      <c r="Z419" s="46">
        <v>0</v>
      </c>
      <c r="AA419" s="46">
        <v>0</v>
      </c>
      <c r="AB419" s="46">
        <v>0</v>
      </c>
      <c r="AC419" s="46">
        <v>0</v>
      </c>
      <c r="AD419" s="46">
        <v>0</v>
      </c>
      <c r="AE419" s="46">
        <v>0</v>
      </c>
      <c r="AF419" s="46">
        <v>0.05</v>
      </c>
      <c r="AG419" s="46">
        <v>0</v>
      </c>
      <c r="AH419" s="46">
        <v>0</v>
      </c>
      <c r="AI419" s="46">
        <v>0</v>
      </c>
      <c r="AJ419" s="46">
        <v>0</v>
      </c>
      <c r="AK419" s="46">
        <v>0</v>
      </c>
      <c r="AL419" s="46">
        <v>0</v>
      </c>
      <c r="AM419" s="46">
        <v>0</v>
      </c>
      <c r="AN419" s="46">
        <v>0</v>
      </c>
      <c r="AO419" s="46">
        <v>0</v>
      </c>
      <c r="AP419" s="46">
        <v>0</v>
      </c>
      <c r="AQ419" s="46">
        <v>0</v>
      </c>
      <c r="AR419" s="46">
        <v>0</v>
      </c>
      <c r="AS419" s="46">
        <v>0</v>
      </c>
      <c r="AT419" s="46">
        <v>0</v>
      </c>
      <c r="AU419" s="46">
        <v>0</v>
      </c>
      <c r="AV419" s="46">
        <v>0</v>
      </c>
      <c r="AW419" s="46">
        <v>0</v>
      </c>
      <c r="AX419" s="46">
        <v>0</v>
      </c>
      <c r="AY419" s="46">
        <v>0</v>
      </c>
      <c r="AZ419" s="46">
        <v>0</v>
      </c>
      <c r="BA419" s="46">
        <v>0</v>
      </c>
      <c r="BB419" s="46">
        <v>0</v>
      </c>
      <c r="BC419" s="46">
        <v>0</v>
      </c>
      <c r="BD419" s="46">
        <v>0</v>
      </c>
      <c r="BE419" s="46">
        <v>0</v>
      </c>
      <c r="BF419" s="46">
        <v>0</v>
      </c>
      <c r="BG419" s="46">
        <v>0</v>
      </c>
      <c r="BH419" s="290"/>
      <c r="BI419" s="290"/>
      <c r="BJ419" s="302"/>
      <c r="BK419" s="291"/>
      <c r="BL419" s="301"/>
      <c r="BM419" s="293"/>
      <c r="BN419" s="13"/>
      <c r="BO419" s="15"/>
      <c r="BQ419" s="17"/>
    </row>
    <row r="420" spans="1:243" ht="19.5" customHeight="1">
      <c r="A420" s="303"/>
      <c r="B420" s="234" t="s">
        <v>34</v>
      </c>
      <c r="C420" s="290"/>
      <c r="D420" s="103" t="s">
        <v>34</v>
      </c>
      <c r="E420" s="148">
        <f t="shared" si="124"/>
        <v>2.12</v>
      </c>
      <c r="F420" s="148"/>
      <c r="G420" s="241">
        <f>SUM(H420:BG420)-M420-Q420-U420</f>
        <v>2.12</v>
      </c>
      <c r="H420" s="224">
        <v>0.52</v>
      </c>
      <c r="I420" s="224">
        <v>0.4</v>
      </c>
      <c r="J420" s="224"/>
      <c r="K420" s="224">
        <v>0.6</v>
      </c>
      <c r="L420" s="224">
        <v>0.3</v>
      </c>
      <c r="M420" s="224"/>
      <c r="N420" s="224"/>
      <c r="O420" s="224"/>
      <c r="P420" s="224"/>
      <c r="Q420" s="224"/>
      <c r="R420" s="224"/>
      <c r="S420" s="224"/>
      <c r="T420" s="224"/>
      <c r="U420" s="6"/>
      <c r="V420" s="224"/>
      <c r="W420" s="224"/>
      <c r="X420" s="224"/>
      <c r="Y420" s="224"/>
      <c r="Z420" s="224"/>
      <c r="AA420" s="224"/>
      <c r="AB420" s="224"/>
      <c r="AC420" s="224"/>
      <c r="AD420" s="224"/>
      <c r="AE420" s="224"/>
      <c r="AF420" s="224">
        <v>0.3</v>
      </c>
      <c r="AG420" s="224"/>
      <c r="AH420" s="224"/>
      <c r="AI420" s="224"/>
      <c r="AJ420" s="224"/>
      <c r="AK420" s="224"/>
      <c r="AL420" s="224"/>
      <c r="AM420" s="224"/>
      <c r="AN420" s="224"/>
      <c r="AO420" s="224"/>
      <c r="AP420" s="224"/>
      <c r="AQ420" s="224"/>
      <c r="AR420" s="224"/>
      <c r="AS420" s="224"/>
      <c r="AT420" s="224"/>
      <c r="AU420" s="224"/>
      <c r="AV420" s="224"/>
      <c r="AW420" s="224"/>
      <c r="AX420" s="224"/>
      <c r="AY420" s="224"/>
      <c r="AZ420" s="224"/>
      <c r="BA420" s="224"/>
      <c r="BB420" s="224"/>
      <c r="BC420" s="224"/>
      <c r="BD420" s="224"/>
      <c r="BE420" s="224"/>
      <c r="BF420" s="224"/>
      <c r="BG420" s="224"/>
      <c r="BH420" s="290"/>
      <c r="BI420" s="290"/>
      <c r="BJ420" s="302"/>
      <c r="BK420" s="291"/>
      <c r="BL420" s="301"/>
      <c r="BM420" s="293"/>
      <c r="BN420" s="111"/>
      <c r="BO420" s="112"/>
      <c r="BP420" s="113"/>
      <c r="BQ420" s="114"/>
      <c r="BR420" s="114"/>
      <c r="BS420" s="115"/>
      <c r="BT420" s="114"/>
      <c r="BU420" s="114"/>
      <c r="BV420" s="114"/>
      <c r="BW420" s="114"/>
      <c r="BX420" s="114"/>
      <c r="BY420" s="114"/>
      <c r="BZ420" s="114"/>
      <c r="CA420" s="114"/>
      <c r="CB420" s="114"/>
      <c r="CC420" s="114"/>
      <c r="CD420" s="114"/>
      <c r="CE420" s="114"/>
      <c r="CF420" s="114"/>
      <c r="CG420" s="114"/>
      <c r="CH420" s="114"/>
      <c r="CI420" s="114"/>
      <c r="CJ420" s="114"/>
      <c r="CK420" s="114"/>
      <c r="CL420" s="114"/>
      <c r="CM420" s="114"/>
      <c r="CN420" s="114"/>
      <c r="CO420" s="114"/>
      <c r="CP420" s="114"/>
      <c r="CQ420" s="114"/>
      <c r="CR420" s="114"/>
      <c r="CS420" s="114"/>
      <c r="CT420" s="114"/>
      <c r="CU420" s="114"/>
      <c r="CV420" s="114"/>
      <c r="CW420" s="114"/>
      <c r="CX420" s="114"/>
      <c r="CY420" s="114"/>
      <c r="CZ420" s="114"/>
      <c r="DA420" s="114"/>
      <c r="DB420" s="114"/>
      <c r="DC420" s="114"/>
      <c r="DD420" s="114"/>
      <c r="DE420" s="114"/>
      <c r="DF420" s="114"/>
      <c r="DG420" s="114"/>
      <c r="DH420" s="114"/>
      <c r="DI420" s="114"/>
      <c r="DJ420" s="114"/>
      <c r="DK420" s="114"/>
      <c r="DL420" s="114"/>
      <c r="DM420" s="114"/>
      <c r="DN420" s="114"/>
      <c r="DO420" s="114"/>
      <c r="DP420" s="114"/>
      <c r="DQ420" s="114"/>
      <c r="DR420" s="114"/>
      <c r="DS420" s="114"/>
      <c r="DT420" s="114"/>
      <c r="DU420" s="114"/>
      <c r="DV420" s="114"/>
      <c r="DW420" s="114"/>
      <c r="DX420" s="114"/>
      <c r="DY420" s="114"/>
      <c r="DZ420" s="114"/>
      <c r="EA420" s="114"/>
      <c r="EB420" s="114"/>
      <c r="EC420" s="114"/>
      <c r="ED420" s="114"/>
      <c r="EE420" s="114"/>
      <c r="EF420" s="114"/>
      <c r="EG420" s="114"/>
      <c r="EH420" s="114"/>
      <c r="EI420" s="114"/>
      <c r="EJ420" s="114"/>
      <c r="EK420" s="114"/>
      <c r="EL420" s="114"/>
      <c r="EM420" s="114"/>
      <c r="EN420" s="114"/>
      <c r="EO420" s="114"/>
      <c r="EP420" s="114"/>
      <c r="EQ420" s="114"/>
      <c r="ER420" s="114"/>
      <c r="ES420" s="114"/>
      <c r="ET420" s="114"/>
      <c r="EU420" s="114"/>
      <c r="EV420" s="114"/>
      <c r="EW420" s="114"/>
      <c r="EX420" s="114"/>
      <c r="EY420" s="114"/>
      <c r="EZ420" s="114"/>
      <c r="FA420" s="114"/>
      <c r="FB420" s="114"/>
      <c r="FC420" s="114"/>
      <c r="FD420" s="114"/>
      <c r="FE420" s="114"/>
      <c r="FF420" s="114"/>
      <c r="FG420" s="114"/>
      <c r="FH420" s="114"/>
      <c r="FI420" s="114"/>
      <c r="FJ420" s="114"/>
      <c r="FK420" s="114"/>
      <c r="FL420" s="114"/>
      <c r="FM420" s="114"/>
      <c r="FN420" s="114"/>
      <c r="FO420" s="114"/>
      <c r="FP420" s="114"/>
      <c r="FQ420" s="114"/>
      <c r="FR420" s="114"/>
      <c r="FS420" s="114"/>
      <c r="FT420" s="114"/>
      <c r="FU420" s="114"/>
      <c r="FV420" s="114"/>
      <c r="FW420" s="114"/>
      <c r="FX420" s="114"/>
      <c r="FY420" s="114"/>
      <c r="FZ420" s="114"/>
      <c r="GA420" s="114"/>
      <c r="GB420" s="114"/>
      <c r="GC420" s="114"/>
      <c r="GD420" s="114"/>
      <c r="GE420" s="114"/>
      <c r="GF420" s="114"/>
      <c r="GG420" s="114"/>
      <c r="GH420" s="114"/>
      <c r="GI420" s="114"/>
      <c r="GJ420" s="114"/>
      <c r="GK420" s="114"/>
      <c r="GL420" s="114"/>
      <c r="GM420" s="114"/>
      <c r="GN420" s="114"/>
      <c r="GO420" s="114"/>
      <c r="GP420" s="114"/>
      <c r="GQ420" s="114"/>
      <c r="GR420" s="114"/>
      <c r="GS420" s="114"/>
      <c r="GT420" s="114"/>
      <c r="GU420" s="114"/>
      <c r="GV420" s="114"/>
      <c r="GW420" s="114"/>
      <c r="GX420" s="114"/>
      <c r="GY420" s="114"/>
      <c r="GZ420" s="114"/>
      <c r="HA420" s="114"/>
      <c r="HB420" s="114"/>
      <c r="HC420" s="114"/>
      <c r="HD420" s="114"/>
      <c r="HE420" s="114"/>
      <c r="HF420" s="114"/>
      <c r="HG420" s="114"/>
      <c r="HH420" s="114"/>
      <c r="HI420" s="114"/>
      <c r="HJ420" s="114"/>
      <c r="HK420" s="114"/>
      <c r="HL420" s="114"/>
      <c r="HM420" s="114"/>
      <c r="HN420" s="114"/>
      <c r="HO420" s="114"/>
      <c r="HP420" s="114"/>
      <c r="HQ420" s="114"/>
      <c r="HR420" s="114"/>
      <c r="HS420" s="114"/>
      <c r="HT420" s="114"/>
      <c r="HU420" s="114"/>
      <c r="HV420" s="114"/>
      <c r="HW420" s="114"/>
      <c r="HX420" s="114"/>
      <c r="HY420" s="114"/>
      <c r="HZ420" s="114"/>
      <c r="IA420" s="114"/>
      <c r="IB420" s="114"/>
      <c r="IC420" s="114"/>
      <c r="ID420" s="114"/>
      <c r="IE420" s="114"/>
      <c r="IF420" s="114"/>
      <c r="IG420" s="114"/>
      <c r="IH420" s="114"/>
      <c r="II420" s="114"/>
    </row>
    <row r="421" spans="1:69" ht="46.5">
      <c r="A421" s="308">
        <f>A418+1</f>
        <v>251</v>
      </c>
      <c r="B421" s="2" t="s">
        <v>774</v>
      </c>
      <c r="C421" s="290" t="s">
        <v>134</v>
      </c>
      <c r="D421" s="4"/>
      <c r="E421" s="45">
        <f t="shared" si="124"/>
        <v>5</v>
      </c>
      <c r="F421" s="5"/>
      <c r="G421" s="5">
        <f>SUM(H421:M421,Q421,U421,Y421:BG421)</f>
        <v>5</v>
      </c>
      <c r="H421" s="46"/>
      <c r="I421" s="97">
        <v>0.8</v>
      </c>
      <c r="J421" s="46"/>
      <c r="K421" s="88">
        <v>4.15</v>
      </c>
      <c r="L421" s="97"/>
      <c r="M421" s="46"/>
      <c r="N421" s="46"/>
      <c r="O421" s="46"/>
      <c r="P421" s="46"/>
      <c r="Q421" s="46"/>
      <c r="R421" s="46"/>
      <c r="S421" s="46"/>
      <c r="T421" s="46"/>
      <c r="U421" s="46"/>
      <c r="V421" s="84"/>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v>0.05</v>
      </c>
      <c r="AU421" s="46"/>
      <c r="AV421" s="46"/>
      <c r="AW421" s="46"/>
      <c r="AX421" s="46"/>
      <c r="AY421" s="46"/>
      <c r="AZ421" s="46"/>
      <c r="BA421" s="46"/>
      <c r="BB421" s="46"/>
      <c r="BC421" s="46"/>
      <c r="BD421" s="46"/>
      <c r="BE421" s="46"/>
      <c r="BF421" s="46"/>
      <c r="BG421" s="46"/>
      <c r="BH421" s="290" t="s">
        <v>243</v>
      </c>
      <c r="BI421" s="290" t="s">
        <v>134</v>
      </c>
      <c r="BJ421" s="302" t="s">
        <v>775</v>
      </c>
      <c r="BK421" s="291" t="s">
        <v>374</v>
      </c>
      <c r="BL421" s="301" t="s">
        <v>341</v>
      </c>
      <c r="BM421" s="293" t="s">
        <v>935</v>
      </c>
      <c r="BN421" s="13" t="s">
        <v>1025</v>
      </c>
      <c r="BO421" s="15" t="s">
        <v>1147</v>
      </c>
      <c r="BQ421" s="17"/>
    </row>
    <row r="422" spans="1:69" ht="19.5" customHeight="1">
      <c r="A422" s="308"/>
      <c r="B422" s="234" t="s">
        <v>48</v>
      </c>
      <c r="C422" s="290"/>
      <c r="D422" s="103" t="s">
        <v>48</v>
      </c>
      <c r="E422" s="148">
        <f t="shared" si="124"/>
        <v>3</v>
      </c>
      <c r="F422" s="148"/>
      <c r="G422" s="89">
        <f aca="true" t="shared" si="132" ref="G422:G427">SUM(H422:BG422)-M422-Q422-U422</f>
        <v>3</v>
      </c>
      <c r="H422" s="46">
        <v>0</v>
      </c>
      <c r="I422" s="46">
        <f>0.56-0.1</f>
        <v>0.4600000000000001</v>
      </c>
      <c r="J422" s="46">
        <v>0</v>
      </c>
      <c r="K422" s="46">
        <f>2.94-0.4-0.05</f>
        <v>2.49</v>
      </c>
      <c r="L422" s="46">
        <v>0</v>
      </c>
      <c r="M422" s="46">
        <v>0</v>
      </c>
      <c r="N422" s="46">
        <v>0</v>
      </c>
      <c r="O422" s="46">
        <v>0</v>
      </c>
      <c r="P422" s="46">
        <v>0</v>
      </c>
      <c r="Q422" s="46">
        <v>0</v>
      </c>
      <c r="R422" s="46">
        <v>0</v>
      </c>
      <c r="S422" s="46">
        <v>0</v>
      </c>
      <c r="T422" s="46">
        <v>0</v>
      </c>
      <c r="U422" s="46">
        <v>0</v>
      </c>
      <c r="V422" s="46">
        <v>0</v>
      </c>
      <c r="W422" s="46">
        <v>0</v>
      </c>
      <c r="X422" s="46">
        <v>0</v>
      </c>
      <c r="Y422" s="46">
        <v>0</v>
      </c>
      <c r="Z422" s="46">
        <v>0</v>
      </c>
      <c r="AA422" s="46">
        <v>0</v>
      </c>
      <c r="AB422" s="46">
        <v>0</v>
      </c>
      <c r="AC422" s="46">
        <v>0</v>
      </c>
      <c r="AD422" s="46">
        <v>0</v>
      </c>
      <c r="AE422" s="46">
        <v>0</v>
      </c>
      <c r="AF422" s="46">
        <v>0</v>
      </c>
      <c r="AG422" s="46">
        <v>0</v>
      </c>
      <c r="AH422" s="46">
        <v>0</v>
      </c>
      <c r="AI422" s="46">
        <v>0</v>
      </c>
      <c r="AJ422" s="46">
        <v>0</v>
      </c>
      <c r="AK422" s="46">
        <v>0</v>
      </c>
      <c r="AL422" s="46">
        <v>0</v>
      </c>
      <c r="AM422" s="46">
        <v>0</v>
      </c>
      <c r="AN422" s="46">
        <v>0</v>
      </c>
      <c r="AO422" s="46">
        <v>0</v>
      </c>
      <c r="AP422" s="46">
        <v>0</v>
      </c>
      <c r="AQ422" s="46">
        <v>0</v>
      </c>
      <c r="AR422" s="46">
        <v>0</v>
      </c>
      <c r="AS422" s="46">
        <v>0</v>
      </c>
      <c r="AT422" s="46">
        <v>0.05</v>
      </c>
      <c r="AU422" s="46">
        <v>0</v>
      </c>
      <c r="AV422" s="46">
        <v>0</v>
      </c>
      <c r="AW422" s="46">
        <v>0</v>
      </c>
      <c r="AX422" s="46">
        <v>0</v>
      </c>
      <c r="AY422" s="46">
        <v>0</v>
      </c>
      <c r="AZ422" s="46">
        <v>0</v>
      </c>
      <c r="BA422" s="46">
        <v>0</v>
      </c>
      <c r="BB422" s="46">
        <v>0</v>
      </c>
      <c r="BC422" s="46">
        <v>0</v>
      </c>
      <c r="BD422" s="46">
        <v>0</v>
      </c>
      <c r="BE422" s="46">
        <v>0</v>
      </c>
      <c r="BF422" s="46">
        <v>0</v>
      </c>
      <c r="BG422" s="46">
        <v>0</v>
      </c>
      <c r="BH422" s="290"/>
      <c r="BI422" s="290"/>
      <c r="BJ422" s="302"/>
      <c r="BK422" s="291"/>
      <c r="BL422" s="301"/>
      <c r="BM422" s="293"/>
      <c r="BN422" s="13"/>
      <c r="BO422" s="15"/>
      <c r="BQ422" s="17"/>
    </row>
    <row r="423" spans="1:243" ht="19.5" customHeight="1">
      <c r="A423" s="308"/>
      <c r="B423" s="234" t="s">
        <v>34</v>
      </c>
      <c r="C423" s="290"/>
      <c r="D423" s="103" t="s">
        <v>34</v>
      </c>
      <c r="E423" s="148">
        <f t="shared" si="124"/>
        <v>2</v>
      </c>
      <c r="F423" s="148"/>
      <c r="G423" s="89">
        <f t="shared" si="132"/>
        <v>2</v>
      </c>
      <c r="H423" s="224"/>
      <c r="I423" s="224">
        <f>0.24+0.1</f>
        <v>0.33999999999999997</v>
      </c>
      <c r="J423" s="224"/>
      <c r="K423" s="224">
        <f>1.26+0.4</f>
        <v>1.6600000000000001</v>
      </c>
      <c r="L423" s="224"/>
      <c r="M423" s="224"/>
      <c r="N423" s="224"/>
      <c r="O423" s="224"/>
      <c r="P423" s="224"/>
      <c r="Q423" s="224"/>
      <c r="R423" s="224"/>
      <c r="S423" s="224"/>
      <c r="T423" s="224"/>
      <c r="U423" s="6"/>
      <c r="V423" s="224"/>
      <c r="W423" s="224"/>
      <c r="X423" s="224"/>
      <c r="Y423" s="224"/>
      <c r="Z423" s="224"/>
      <c r="AA423" s="224"/>
      <c r="AB423" s="224"/>
      <c r="AC423" s="224"/>
      <c r="AD423" s="224"/>
      <c r="AE423" s="224"/>
      <c r="AF423" s="224"/>
      <c r="AG423" s="224"/>
      <c r="AH423" s="224"/>
      <c r="AI423" s="224"/>
      <c r="AJ423" s="224"/>
      <c r="AK423" s="224"/>
      <c r="AL423" s="224"/>
      <c r="AM423" s="224"/>
      <c r="AN423" s="224"/>
      <c r="AO423" s="224"/>
      <c r="AP423" s="224"/>
      <c r="AQ423" s="224"/>
      <c r="AR423" s="224"/>
      <c r="AS423" s="224"/>
      <c r="AT423" s="224"/>
      <c r="AU423" s="224"/>
      <c r="AV423" s="224"/>
      <c r="AW423" s="224"/>
      <c r="AX423" s="224"/>
      <c r="AY423" s="224"/>
      <c r="AZ423" s="224"/>
      <c r="BA423" s="224"/>
      <c r="BB423" s="224"/>
      <c r="BC423" s="224"/>
      <c r="BD423" s="224"/>
      <c r="BE423" s="224"/>
      <c r="BF423" s="224"/>
      <c r="BG423" s="224"/>
      <c r="BH423" s="290"/>
      <c r="BI423" s="290"/>
      <c r="BJ423" s="302"/>
      <c r="BK423" s="291"/>
      <c r="BL423" s="301"/>
      <c r="BM423" s="293"/>
      <c r="BN423" s="111"/>
      <c r="BO423" s="112"/>
      <c r="BP423" s="113"/>
      <c r="BQ423" s="114"/>
      <c r="BR423" s="114"/>
      <c r="BS423" s="115"/>
      <c r="BT423" s="114"/>
      <c r="BU423" s="114"/>
      <c r="BV423" s="114"/>
      <c r="BW423" s="114"/>
      <c r="BX423" s="114"/>
      <c r="BY423" s="114"/>
      <c r="BZ423" s="114"/>
      <c r="CA423" s="114"/>
      <c r="CB423" s="114"/>
      <c r="CC423" s="114"/>
      <c r="CD423" s="114"/>
      <c r="CE423" s="114"/>
      <c r="CF423" s="114"/>
      <c r="CG423" s="114"/>
      <c r="CH423" s="114"/>
      <c r="CI423" s="114"/>
      <c r="CJ423" s="114"/>
      <c r="CK423" s="114"/>
      <c r="CL423" s="114"/>
      <c r="CM423" s="114"/>
      <c r="CN423" s="114"/>
      <c r="CO423" s="114"/>
      <c r="CP423" s="114"/>
      <c r="CQ423" s="114"/>
      <c r="CR423" s="114"/>
      <c r="CS423" s="114"/>
      <c r="CT423" s="114"/>
      <c r="CU423" s="114"/>
      <c r="CV423" s="114"/>
      <c r="CW423" s="114"/>
      <c r="CX423" s="114"/>
      <c r="CY423" s="114"/>
      <c r="CZ423" s="114"/>
      <c r="DA423" s="114"/>
      <c r="DB423" s="114"/>
      <c r="DC423" s="114"/>
      <c r="DD423" s="114"/>
      <c r="DE423" s="114"/>
      <c r="DF423" s="114"/>
      <c r="DG423" s="114"/>
      <c r="DH423" s="114"/>
      <c r="DI423" s="114"/>
      <c r="DJ423" s="114"/>
      <c r="DK423" s="114"/>
      <c r="DL423" s="114"/>
      <c r="DM423" s="114"/>
      <c r="DN423" s="114"/>
      <c r="DO423" s="114"/>
      <c r="DP423" s="114"/>
      <c r="DQ423" s="114"/>
      <c r="DR423" s="114"/>
      <c r="DS423" s="114"/>
      <c r="DT423" s="114"/>
      <c r="DU423" s="114"/>
      <c r="DV423" s="114"/>
      <c r="DW423" s="114"/>
      <c r="DX423" s="114"/>
      <c r="DY423" s="114"/>
      <c r="DZ423" s="114"/>
      <c r="EA423" s="114"/>
      <c r="EB423" s="114"/>
      <c r="EC423" s="114"/>
      <c r="ED423" s="114"/>
      <c r="EE423" s="114"/>
      <c r="EF423" s="114"/>
      <c r="EG423" s="114"/>
      <c r="EH423" s="114"/>
      <c r="EI423" s="114"/>
      <c r="EJ423" s="114"/>
      <c r="EK423" s="114"/>
      <c r="EL423" s="114"/>
      <c r="EM423" s="114"/>
      <c r="EN423" s="114"/>
      <c r="EO423" s="114"/>
      <c r="EP423" s="114"/>
      <c r="EQ423" s="114"/>
      <c r="ER423" s="114"/>
      <c r="ES423" s="114"/>
      <c r="ET423" s="114"/>
      <c r="EU423" s="114"/>
      <c r="EV423" s="114"/>
      <c r="EW423" s="114"/>
      <c r="EX423" s="114"/>
      <c r="EY423" s="114"/>
      <c r="EZ423" s="114"/>
      <c r="FA423" s="114"/>
      <c r="FB423" s="114"/>
      <c r="FC423" s="114"/>
      <c r="FD423" s="114"/>
      <c r="FE423" s="114"/>
      <c r="FF423" s="114"/>
      <c r="FG423" s="114"/>
      <c r="FH423" s="114"/>
      <c r="FI423" s="114"/>
      <c r="FJ423" s="114"/>
      <c r="FK423" s="114"/>
      <c r="FL423" s="114"/>
      <c r="FM423" s="114"/>
      <c r="FN423" s="114"/>
      <c r="FO423" s="114"/>
      <c r="FP423" s="114"/>
      <c r="FQ423" s="114"/>
      <c r="FR423" s="114"/>
      <c r="FS423" s="114"/>
      <c r="FT423" s="114"/>
      <c r="FU423" s="114"/>
      <c r="FV423" s="114"/>
      <c r="FW423" s="114"/>
      <c r="FX423" s="114"/>
      <c r="FY423" s="114"/>
      <c r="FZ423" s="114"/>
      <c r="GA423" s="114"/>
      <c r="GB423" s="114"/>
      <c r="GC423" s="114"/>
      <c r="GD423" s="114"/>
      <c r="GE423" s="114"/>
      <c r="GF423" s="114"/>
      <c r="GG423" s="114"/>
      <c r="GH423" s="114"/>
      <c r="GI423" s="114"/>
      <c r="GJ423" s="114"/>
      <c r="GK423" s="114"/>
      <c r="GL423" s="114"/>
      <c r="GM423" s="114"/>
      <c r="GN423" s="114"/>
      <c r="GO423" s="114"/>
      <c r="GP423" s="114"/>
      <c r="GQ423" s="114"/>
      <c r="GR423" s="114"/>
      <c r="GS423" s="114"/>
      <c r="GT423" s="114"/>
      <c r="GU423" s="114"/>
      <c r="GV423" s="114"/>
      <c r="GW423" s="114"/>
      <c r="GX423" s="114"/>
      <c r="GY423" s="114"/>
      <c r="GZ423" s="114"/>
      <c r="HA423" s="114"/>
      <c r="HB423" s="114"/>
      <c r="HC423" s="114"/>
      <c r="HD423" s="114"/>
      <c r="HE423" s="114"/>
      <c r="HF423" s="114"/>
      <c r="HG423" s="114"/>
      <c r="HH423" s="114"/>
      <c r="HI423" s="114"/>
      <c r="HJ423" s="114"/>
      <c r="HK423" s="114"/>
      <c r="HL423" s="114"/>
      <c r="HM423" s="114"/>
      <c r="HN423" s="114"/>
      <c r="HO423" s="114"/>
      <c r="HP423" s="114"/>
      <c r="HQ423" s="114"/>
      <c r="HR423" s="114"/>
      <c r="HS423" s="114"/>
      <c r="HT423" s="114"/>
      <c r="HU423" s="114"/>
      <c r="HV423" s="114"/>
      <c r="HW423" s="114"/>
      <c r="HX423" s="114"/>
      <c r="HY423" s="114"/>
      <c r="HZ423" s="114"/>
      <c r="IA423" s="114"/>
      <c r="IB423" s="114"/>
      <c r="IC423" s="114"/>
      <c r="ID423" s="114"/>
      <c r="IE423" s="114"/>
      <c r="IF423" s="114"/>
      <c r="IG423" s="114"/>
      <c r="IH423" s="114"/>
      <c r="II423" s="114"/>
    </row>
    <row r="424" spans="1:243" ht="20.25" customHeight="1">
      <c r="A424" s="128" t="s">
        <v>314</v>
      </c>
      <c r="B424" s="242" t="s">
        <v>778</v>
      </c>
      <c r="C424" s="56"/>
      <c r="D424" s="103"/>
      <c r="E424" s="148">
        <f t="shared" si="124"/>
        <v>2.6700000000000004</v>
      </c>
      <c r="F424" s="148"/>
      <c r="G424" s="89">
        <f t="shared" si="132"/>
        <v>2.6700000000000004</v>
      </c>
      <c r="H424" s="224">
        <f>H425</f>
        <v>0</v>
      </c>
      <c r="I424" s="224">
        <f aca="true" t="shared" si="133" ref="I424:BG424">I425</f>
        <v>0</v>
      </c>
      <c r="J424" s="224">
        <f t="shared" si="133"/>
        <v>0</v>
      </c>
      <c r="K424" s="224">
        <f t="shared" si="133"/>
        <v>0.05</v>
      </c>
      <c r="L424" s="224">
        <f t="shared" si="133"/>
        <v>0.86</v>
      </c>
      <c r="M424" s="224">
        <f t="shared" si="133"/>
        <v>0</v>
      </c>
      <c r="N424" s="224">
        <f t="shared" si="133"/>
        <v>0</v>
      </c>
      <c r="O424" s="224">
        <f t="shared" si="133"/>
        <v>0</v>
      </c>
      <c r="P424" s="224">
        <f t="shared" si="133"/>
        <v>0</v>
      </c>
      <c r="Q424" s="224">
        <f t="shared" si="133"/>
        <v>0</v>
      </c>
      <c r="R424" s="224">
        <f t="shared" si="133"/>
        <v>0</v>
      </c>
      <c r="S424" s="224">
        <f t="shared" si="133"/>
        <v>0</v>
      </c>
      <c r="T424" s="224">
        <f t="shared" si="133"/>
        <v>0</v>
      </c>
      <c r="U424" s="6">
        <f aca="true" t="shared" si="134" ref="U424:U431">SUM(V424:X424)</f>
        <v>1.48</v>
      </c>
      <c r="V424" s="224">
        <f t="shared" si="133"/>
        <v>1.09</v>
      </c>
      <c r="W424" s="224">
        <f t="shared" si="133"/>
        <v>0</v>
      </c>
      <c r="X424" s="224">
        <f t="shared" si="133"/>
        <v>0.39</v>
      </c>
      <c r="Y424" s="224">
        <f t="shared" si="133"/>
        <v>0</v>
      </c>
      <c r="Z424" s="224">
        <f t="shared" si="133"/>
        <v>0</v>
      </c>
      <c r="AA424" s="224">
        <f t="shared" si="133"/>
        <v>0</v>
      </c>
      <c r="AB424" s="224">
        <f t="shared" si="133"/>
        <v>0</v>
      </c>
      <c r="AC424" s="224">
        <f t="shared" si="133"/>
        <v>0</v>
      </c>
      <c r="AD424" s="224">
        <f t="shared" si="133"/>
        <v>0</v>
      </c>
      <c r="AE424" s="224">
        <f t="shared" si="133"/>
        <v>0</v>
      </c>
      <c r="AF424" s="224">
        <f t="shared" si="133"/>
        <v>0</v>
      </c>
      <c r="AG424" s="224">
        <f t="shared" si="133"/>
        <v>0.02</v>
      </c>
      <c r="AH424" s="224">
        <f t="shared" si="133"/>
        <v>0</v>
      </c>
      <c r="AI424" s="224">
        <f t="shared" si="133"/>
        <v>0</v>
      </c>
      <c r="AJ424" s="224">
        <f t="shared" si="133"/>
        <v>0</v>
      </c>
      <c r="AK424" s="224">
        <f t="shared" si="133"/>
        <v>0</v>
      </c>
      <c r="AL424" s="224">
        <f t="shared" si="133"/>
        <v>0</v>
      </c>
      <c r="AM424" s="224">
        <f t="shared" si="133"/>
        <v>0</v>
      </c>
      <c r="AN424" s="224">
        <f t="shared" si="133"/>
        <v>0</v>
      </c>
      <c r="AO424" s="224">
        <f t="shared" si="133"/>
        <v>0</v>
      </c>
      <c r="AP424" s="224">
        <f t="shared" si="133"/>
        <v>0</v>
      </c>
      <c r="AQ424" s="224">
        <f t="shared" si="133"/>
        <v>0</v>
      </c>
      <c r="AR424" s="224">
        <f t="shared" si="133"/>
        <v>0</v>
      </c>
      <c r="AS424" s="224">
        <f t="shared" si="133"/>
        <v>0</v>
      </c>
      <c r="AT424" s="224">
        <f t="shared" si="133"/>
        <v>0.26</v>
      </c>
      <c r="AU424" s="224">
        <f t="shared" si="133"/>
        <v>0</v>
      </c>
      <c r="AV424" s="224">
        <f t="shared" si="133"/>
        <v>0</v>
      </c>
      <c r="AW424" s="224">
        <f t="shared" si="133"/>
        <v>0</v>
      </c>
      <c r="AX424" s="224">
        <f t="shared" si="133"/>
        <v>0</v>
      </c>
      <c r="AY424" s="224">
        <f t="shared" si="133"/>
        <v>0</v>
      </c>
      <c r="AZ424" s="224">
        <f t="shared" si="133"/>
        <v>0</v>
      </c>
      <c r="BA424" s="224">
        <f t="shared" si="133"/>
        <v>0</v>
      </c>
      <c r="BB424" s="224">
        <f t="shared" si="133"/>
        <v>0</v>
      </c>
      <c r="BC424" s="224">
        <f t="shared" si="133"/>
        <v>0</v>
      </c>
      <c r="BD424" s="224">
        <f t="shared" si="133"/>
        <v>0</v>
      </c>
      <c r="BE424" s="224">
        <f t="shared" si="133"/>
        <v>0</v>
      </c>
      <c r="BF424" s="224">
        <f t="shared" si="133"/>
        <v>0</v>
      </c>
      <c r="BG424" s="224">
        <f t="shared" si="133"/>
        <v>0</v>
      </c>
      <c r="BH424" s="224"/>
      <c r="BI424" s="56"/>
      <c r="BJ424" s="56"/>
      <c r="BK424" s="98"/>
      <c r="BL424" s="243"/>
      <c r="BM424" s="244"/>
      <c r="BN424" s="111"/>
      <c r="BO424" s="112"/>
      <c r="BP424" s="113"/>
      <c r="BQ424" s="114"/>
      <c r="BR424" s="114"/>
      <c r="BS424" s="115"/>
      <c r="BT424" s="114"/>
      <c r="BU424" s="114"/>
      <c r="BV424" s="114"/>
      <c r="BW424" s="114"/>
      <c r="BX424" s="114"/>
      <c r="BY424" s="114"/>
      <c r="BZ424" s="114"/>
      <c r="CA424" s="114"/>
      <c r="CB424" s="114"/>
      <c r="CC424" s="114"/>
      <c r="CD424" s="114"/>
      <c r="CE424" s="114"/>
      <c r="CF424" s="114"/>
      <c r="CG424" s="114"/>
      <c r="CH424" s="114"/>
      <c r="CI424" s="114"/>
      <c r="CJ424" s="114"/>
      <c r="CK424" s="114"/>
      <c r="CL424" s="114"/>
      <c r="CM424" s="114"/>
      <c r="CN424" s="114"/>
      <c r="CO424" s="114"/>
      <c r="CP424" s="114"/>
      <c r="CQ424" s="114"/>
      <c r="CR424" s="114"/>
      <c r="CS424" s="114"/>
      <c r="CT424" s="114"/>
      <c r="CU424" s="114"/>
      <c r="CV424" s="114"/>
      <c r="CW424" s="114"/>
      <c r="CX424" s="114"/>
      <c r="CY424" s="114"/>
      <c r="CZ424" s="114"/>
      <c r="DA424" s="114"/>
      <c r="DB424" s="114"/>
      <c r="DC424" s="114"/>
      <c r="DD424" s="114"/>
      <c r="DE424" s="114"/>
      <c r="DF424" s="114"/>
      <c r="DG424" s="114"/>
      <c r="DH424" s="114"/>
      <c r="DI424" s="114"/>
      <c r="DJ424" s="114"/>
      <c r="DK424" s="114"/>
      <c r="DL424" s="114"/>
      <c r="DM424" s="114"/>
      <c r="DN424" s="114"/>
      <c r="DO424" s="114"/>
      <c r="DP424" s="114"/>
      <c r="DQ424" s="114"/>
      <c r="DR424" s="114"/>
      <c r="DS424" s="114"/>
      <c r="DT424" s="114"/>
      <c r="DU424" s="114"/>
      <c r="DV424" s="114"/>
      <c r="DW424" s="114"/>
      <c r="DX424" s="114"/>
      <c r="DY424" s="114"/>
      <c r="DZ424" s="114"/>
      <c r="EA424" s="114"/>
      <c r="EB424" s="114"/>
      <c r="EC424" s="114"/>
      <c r="ED424" s="114"/>
      <c r="EE424" s="114"/>
      <c r="EF424" s="114"/>
      <c r="EG424" s="114"/>
      <c r="EH424" s="114"/>
      <c r="EI424" s="114"/>
      <c r="EJ424" s="114"/>
      <c r="EK424" s="114"/>
      <c r="EL424" s="114"/>
      <c r="EM424" s="114"/>
      <c r="EN424" s="114"/>
      <c r="EO424" s="114"/>
      <c r="EP424" s="114"/>
      <c r="EQ424" s="114"/>
      <c r="ER424" s="114"/>
      <c r="ES424" s="114"/>
      <c r="ET424" s="114"/>
      <c r="EU424" s="114"/>
      <c r="EV424" s="114"/>
      <c r="EW424" s="114"/>
      <c r="EX424" s="114"/>
      <c r="EY424" s="114"/>
      <c r="EZ424" s="114"/>
      <c r="FA424" s="114"/>
      <c r="FB424" s="114"/>
      <c r="FC424" s="114"/>
      <c r="FD424" s="114"/>
      <c r="FE424" s="114"/>
      <c r="FF424" s="114"/>
      <c r="FG424" s="114"/>
      <c r="FH424" s="114"/>
      <c r="FI424" s="114"/>
      <c r="FJ424" s="114"/>
      <c r="FK424" s="114"/>
      <c r="FL424" s="114"/>
      <c r="FM424" s="114"/>
      <c r="FN424" s="114"/>
      <c r="FO424" s="114"/>
      <c r="FP424" s="114"/>
      <c r="FQ424" s="114"/>
      <c r="FR424" s="114"/>
      <c r="FS424" s="114"/>
      <c r="FT424" s="114"/>
      <c r="FU424" s="114"/>
      <c r="FV424" s="114"/>
      <c r="FW424" s="114"/>
      <c r="FX424" s="114"/>
      <c r="FY424" s="114"/>
      <c r="FZ424" s="114"/>
      <c r="GA424" s="114"/>
      <c r="GB424" s="114"/>
      <c r="GC424" s="114"/>
      <c r="GD424" s="114"/>
      <c r="GE424" s="114"/>
      <c r="GF424" s="114"/>
      <c r="GG424" s="114"/>
      <c r="GH424" s="114"/>
      <c r="GI424" s="114"/>
      <c r="GJ424" s="114"/>
      <c r="GK424" s="114"/>
      <c r="GL424" s="114"/>
      <c r="GM424" s="114"/>
      <c r="GN424" s="114"/>
      <c r="GO424" s="114"/>
      <c r="GP424" s="114"/>
      <c r="GQ424" s="114"/>
      <c r="GR424" s="114"/>
      <c r="GS424" s="114"/>
      <c r="GT424" s="114"/>
      <c r="GU424" s="114"/>
      <c r="GV424" s="114"/>
      <c r="GW424" s="114"/>
      <c r="GX424" s="114"/>
      <c r="GY424" s="114"/>
      <c r="GZ424" s="114"/>
      <c r="HA424" s="114"/>
      <c r="HB424" s="114"/>
      <c r="HC424" s="114"/>
      <c r="HD424" s="114"/>
      <c r="HE424" s="114"/>
      <c r="HF424" s="114"/>
      <c r="HG424" s="114"/>
      <c r="HH424" s="114"/>
      <c r="HI424" s="114"/>
      <c r="HJ424" s="114"/>
      <c r="HK424" s="114"/>
      <c r="HL424" s="114"/>
      <c r="HM424" s="114"/>
      <c r="HN424" s="114"/>
      <c r="HO424" s="114"/>
      <c r="HP424" s="114"/>
      <c r="HQ424" s="114"/>
      <c r="HR424" s="114"/>
      <c r="HS424" s="114"/>
      <c r="HT424" s="114"/>
      <c r="HU424" s="114"/>
      <c r="HV424" s="114"/>
      <c r="HW424" s="114"/>
      <c r="HX424" s="114"/>
      <c r="HY424" s="114"/>
      <c r="HZ424" s="114"/>
      <c r="IA424" s="114"/>
      <c r="IB424" s="114"/>
      <c r="IC424" s="114"/>
      <c r="ID424" s="114"/>
      <c r="IE424" s="114"/>
      <c r="IF424" s="114"/>
      <c r="IG424" s="114"/>
      <c r="IH424" s="114"/>
      <c r="II424" s="114"/>
    </row>
    <row r="425" spans="1:69" ht="46.5">
      <c r="A425" s="284">
        <f>+A421+1</f>
        <v>252</v>
      </c>
      <c r="B425" s="118" t="s">
        <v>779</v>
      </c>
      <c r="C425" s="290" t="s">
        <v>82</v>
      </c>
      <c r="D425" s="4"/>
      <c r="E425" s="148">
        <f t="shared" si="124"/>
        <v>2.6700000000000004</v>
      </c>
      <c r="F425" s="148"/>
      <c r="G425" s="89">
        <f t="shared" si="132"/>
        <v>2.6700000000000004</v>
      </c>
      <c r="H425" s="46"/>
      <c r="I425" s="46"/>
      <c r="J425" s="46"/>
      <c r="K425" s="46">
        <v>0.05</v>
      </c>
      <c r="L425" s="46">
        <v>0.86</v>
      </c>
      <c r="M425" s="46"/>
      <c r="N425" s="46"/>
      <c r="O425" s="46"/>
      <c r="P425" s="46"/>
      <c r="Q425" s="46"/>
      <c r="R425" s="46"/>
      <c r="S425" s="46"/>
      <c r="T425" s="46"/>
      <c r="U425" s="6">
        <f t="shared" si="134"/>
        <v>1.48</v>
      </c>
      <c r="V425" s="46">
        <v>1.09</v>
      </c>
      <c r="W425" s="46"/>
      <c r="X425" s="46">
        <v>0.39</v>
      </c>
      <c r="Y425" s="46"/>
      <c r="Z425" s="46"/>
      <c r="AA425" s="46"/>
      <c r="AB425" s="46"/>
      <c r="AC425" s="46"/>
      <c r="AD425" s="46"/>
      <c r="AE425" s="46"/>
      <c r="AF425" s="46"/>
      <c r="AG425" s="46">
        <v>0.02</v>
      </c>
      <c r="AH425" s="46"/>
      <c r="AI425" s="46"/>
      <c r="AJ425" s="46"/>
      <c r="AK425" s="46"/>
      <c r="AL425" s="46"/>
      <c r="AM425" s="46"/>
      <c r="AN425" s="46"/>
      <c r="AO425" s="46"/>
      <c r="AP425" s="46"/>
      <c r="AQ425" s="46"/>
      <c r="AR425" s="46"/>
      <c r="AS425" s="46"/>
      <c r="AT425" s="46">
        <v>0.26</v>
      </c>
      <c r="AU425" s="46"/>
      <c r="AV425" s="46"/>
      <c r="AW425" s="46"/>
      <c r="AX425" s="46"/>
      <c r="AY425" s="46"/>
      <c r="AZ425" s="46"/>
      <c r="BA425" s="46"/>
      <c r="BB425" s="46"/>
      <c r="BC425" s="46"/>
      <c r="BD425" s="46"/>
      <c r="BE425" s="46"/>
      <c r="BF425" s="46"/>
      <c r="BG425" s="46"/>
      <c r="BH425" s="304" t="s">
        <v>388</v>
      </c>
      <c r="BI425" s="290" t="s">
        <v>82</v>
      </c>
      <c r="BJ425" s="56"/>
      <c r="BK425" s="291" t="s">
        <v>120</v>
      </c>
      <c r="BL425" s="301" t="s">
        <v>780</v>
      </c>
      <c r="BM425" s="301" t="s">
        <v>194</v>
      </c>
      <c r="BN425" s="13" t="s">
        <v>1025</v>
      </c>
      <c r="BO425" s="15" t="s">
        <v>1147</v>
      </c>
      <c r="BQ425" s="17"/>
    </row>
    <row r="426" spans="1:69" ht="18.75" customHeight="1">
      <c r="A426" s="284"/>
      <c r="B426" s="234" t="s">
        <v>48</v>
      </c>
      <c r="C426" s="290"/>
      <c r="D426" s="103" t="s">
        <v>48</v>
      </c>
      <c r="E426" s="148">
        <f t="shared" si="124"/>
        <v>1.4500000000000002</v>
      </c>
      <c r="F426" s="148"/>
      <c r="G426" s="89">
        <f t="shared" si="132"/>
        <v>1.4500000000000002</v>
      </c>
      <c r="H426" s="46"/>
      <c r="I426" s="46"/>
      <c r="J426" s="46"/>
      <c r="K426" s="46">
        <v>0.03</v>
      </c>
      <c r="L426" s="46">
        <v>0.56</v>
      </c>
      <c r="M426" s="46"/>
      <c r="N426" s="46"/>
      <c r="O426" s="46"/>
      <c r="P426" s="46"/>
      <c r="Q426" s="46"/>
      <c r="R426" s="46"/>
      <c r="S426" s="46"/>
      <c r="T426" s="46"/>
      <c r="U426" s="6">
        <f t="shared" si="134"/>
        <v>0.59</v>
      </c>
      <c r="V426" s="46">
        <v>0.59</v>
      </c>
      <c r="W426" s="46"/>
      <c r="X426" s="46"/>
      <c r="Y426" s="46"/>
      <c r="Z426" s="46"/>
      <c r="AA426" s="46"/>
      <c r="AB426" s="46"/>
      <c r="AC426" s="46"/>
      <c r="AD426" s="46"/>
      <c r="AE426" s="46"/>
      <c r="AF426" s="46"/>
      <c r="AG426" s="46">
        <v>0.01</v>
      </c>
      <c r="AH426" s="46"/>
      <c r="AI426" s="46"/>
      <c r="AJ426" s="46"/>
      <c r="AK426" s="46"/>
      <c r="AL426" s="46"/>
      <c r="AM426" s="46"/>
      <c r="AN426" s="46"/>
      <c r="AO426" s="46"/>
      <c r="AP426" s="46"/>
      <c r="AQ426" s="46"/>
      <c r="AR426" s="46"/>
      <c r="AS426" s="46"/>
      <c r="AT426" s="46">
        <v>0.26</v>
      </c>
      <c r="AU426" s="46"/>
      <c r="AV426" s="46"/>
      <c r="AW426" s="46"/>
      <c r="AX426" s="46"/>
      <c r="AY426" s="46"/>
      <c r="AZ426" s="46"/>
      <c r="BA426" s="46"/>
      <c r="BB426" s="46"/>
      <c r="BC426" s="46"/>
      <c r="BD426" s="46"/>
      <c r="BE426" s="46"/>
      <c r="BF426" s="46"/>
      <c r="BG426" s="46"/>
      <c r="BH426" s="304"/>
      <c r="BI426" s="290"/>
      <c r="BJ426" s="56"/>
      <c r="BK426" s="291"/>
      <c r="BL426" s="301"/>
      <c r="BM426" s="301"/>
      <c r="BN426" s="13"/>
      <c r="BO426" s="15"/>
      <c r="BQ426" s="17"/>
    </row>
    <row r="427" spans="1:69" ht="18.75" customHeight="1">
      <c r="A427" s="284"/>
      <c r="B427" s="234" t="s">
        <v>34</v>
      </c>
      <c r="C427" s="290"/>
      <c r="D427" s="103" t="s">
        <v>34</v>
      </c>
      <c r="E427" s="148">
        <f t="shared" si="124"/>
        <v>1.2199999999999998</v>
      </c>
      <c r="F427" s="148"/>
      <c r="G427" s="89">
        <f t="shared" si="132"/>
        <v>1.2199999999999998</v>
      </c>
      <c r="H427" s="46"/>
      <c r="I427" s="46"/>
      <c r="J427" s="46"/>
      <c r="K427" s="46">
        <v>0.02</v>
      </c>
      <c r="L427" s="46">
        <v>0.3</v>
      </c>
      <c r="M427" s="46"/>
      <c r="N427" s="46"/>
      <c r="O427" s="46"/>
      <c r="P427" s="46"/>
      <c r="Q427" s="46"/>
      <c r="R427" s="46"/>
      <c r="S427" s="46"/>
      <c r="T427" s="46"/>
      <c r="U427" s="6">
        <f t="shared" si="134"/>
        <v>0.89</v>
      </c>
      <c r="V427" s="46">
        <v>0.5</v>
      </c>
      <c r="W427" s="46"/>
      <c r="X427" s="46">
        <v>0.39</v>
      </c>
      <c r="Y427" s="46"/>
      <c r="Z427" s="46"/>
      <c r="AA427" s="46"/>
      <c r="AB427" s="46"/>
      <c r="AC427" s="46"/>
      <c r="AD427" s="46"/>
      <c r="AE427" s="46"/>
      <c r="AF427" s="46"/>
      <c r="AG427" s="46">
        <v>0.01</v>
      </c>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304"/>
      <c r="BI427" s="290"/>
      <c r="BJ427" s="56"/>
      <c r="BK427" s="291"/>
      <c r="BL427" s="301"/>
      <c r="BM427" s="301"/>
      <c r="BN427" s="13"/>
      <c r="BO427" s="15"/>
      <c r="BQ427" s="17"/>
    </row>
    <row r="428" spans="1:69" ht="108.75">
      <c r="A428" s="284">
        <f>+A425+1</f>
        <v>253</v>
      </c>
      <c r="B428" s="2" t="s">
        <v>1072</v>
      </c>
      <c r="C428" s="290" t="s">
        <v>82</v>
      </c>
      <c r="D428" s="4"/>
      <c r="E428" s="45">
        <f aca="true" t="shared" si="135" ref="E428:E440">F428+G428</f>
        <v>1.67</v>
      </c>
      <c r="F428" s="5"/>
      <c r="G428" s="5">
        <f>SUM(H428:M428,Q428,U428,Y428:BG428)</f>
        <v>1.67</v>
      </c>
      <c r="H428" s="46"/>
      <c r="I428" s="84"/>
      <c r="J428" s="46"/>
      <c r="K428" s="46">
        <v>0.25</v>
      </c>
      <c r="L428" s="84">
        <v>0.37</v>
      </c>
      <c r="M428" s="46"/>
      <c r="N428" s="46"/>
      <c r="O428" s="46"/>
      <c r="P428" s="46"/>
      <c r="Q428" s="46"/>
      <c r="R428" s="46"/>
      <c r="S428" s="46"/>
      <c r="T428" s="46"/>
      <c r="U428" s="46">
        <f t="shared" si="134"/>
        <v>0.95</v>
      </c>
      <c r="V428" s="84">
        <v>0.95</v>
      </c>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v>0.1</v>
      </c>
      <c r="AU428" s="46"/>
      <c r="AV428" s="46"/>
      <c r="AW428" s="46"/>
      <c r="AX428" s="46"/>
      <c r="AY428" s="46"/>
      <c r="AZ428" s="46"/>
      <c r="BA428" s="46"/>
      <c r="BB428" s="46"/>
      <c r="BC428" s="46"/>
      <c r="BD428" s="46"/>
      <c r="BE428" s="46"/>
      <c r="BF428" s="46"/>
      <c r="BG428" s="46"/>
      <c r="BH428" s="290" t="s">
        <v>630</v>
      </c>
      <c r="BI428" s="290" t="s">
        <v>82</v>
      </c>
      <c r="BJ428" s="290" t="s">
        <v>767</v>
      </c>
      <c r="BK428" s="291" t="s">
        <v>374</v>
      </c>
      <c r="BL428" s="301" t="s">
        <v>1122</v>
      </c>
      <c r="BM428" s="293" t="s">
        <v>935</v>
      </c>
      <c r="BN428" s="13" t="s">
        <v>1024</v>
      </c>
      <c r="BO428" s="15" t="s">
        <v>1147</v>
      </c>
      <c r="BP428" s="16" t="s">
        <v>1057</v>
      </c>
      <c r="BQ428" s="17"/>
    </row>
    <row r="429" spans="1:71" s="114" customFormat="1" ht="21" customHeight="1">
      <c r="A429" s="284"/>
      <c r="B429" s="234" t="s">
        <v>48</v>
      </c>
      <c r="C429" s="290"/>
      <c r="D429" s="103" t="s">
        <v>48</v>
      </c>
      <c r="E429" s="148">
        <f t="shared" si="135"/>
        <v>1.26</v>
      </c>
      <c r="F429" s="148">
        <v>0.63</v>
      </c>
      <c r="G429" s="89">
        <f>SUM(H429:BG429)-M429-Q429-U429</f>
        <v>0.63</v>
      </c>
      <c r="H429" s="224"/>
      <c r="I429" s="224"/>
      <c r="J429" s="224"/>
      <c r="K429" s="224">
        <v>0.1</v>
      </c>
      <c r="L429" s="224">
        <v>0.15</v>
      </c>
      <c r="M429" s="224"/>
      <c r="N429" s="224"/>
      <c r="O429" s="224"/>
      <c r="P429" s="224"/>
      <c r="Q429" s="224"/>
      <c r="R429" s="224"/>
      <c r="S429" s="224"/>
      <c r="T429" s="224"/>
      <c r="U429" s="46">
        <f t="shared" si="134"/>
        <v>0.28</v>
      </c>
      <c r="V429" s="224">
        <v>0.28</v>
      </c>
      <c r="W429" s="224"/>
      <c r="X429" s="224"/>
      <c r="Y429" s="224"/>
      <c r="Z429" s="224"/>
      <c r="AA429" s="224"/>
      <c r="AB429" s="224"/>
      <c r="AC429" s="224"/>
      <c r="AD429" s="224"/>
      <c r="AE429" s="224"/>
      <c r="AF429" s="224"/>
      <c r="AG429" s="224"/>
      <c r="AH429" s="224"/>
      <c r="AI429" s="224"/>
      <c r="AJ429" s="224"/>
      <c r="AK429" s="224"/>
      <c r="AL429" s="224"/>
      <c r="AM429" s="224"/>
      <c r="AN429" s="224"/>
      <c r="AO429" s="224"/>
      <c r="AP429" s="224"/>
      <c r="AQ429" s="224"/>
      <c r="AR429" s="224"/>
      <c r="AS429" s="224"/>
      <c r="AT429" s="224">
        <v>0.1</v>
      </c>
      <c r="AU429" s="224"/>
      <c r="AV429" s="224"/>
      <c r="AW429" s="224"/>
      <c r="AX429" s="224"/>
      <c r="AY429" s="224"/>
      <c r="AZ429" s="224"/>
      <c r="BA429" s="224"/>
      <c r="BB429" s="224"/>
      <c r="BC429" s="224"/>
      <c r="BD429" s="224"/>
      <c r="BE429" s="224"/>
      <c r="BF429" s="224"/>
      <c r="BG429" s="224"/>
      <c r="BH429" s="290"/>
      <c r="BI429" s="290"/>
      <c r="BJ429" s="290"/>
      <c r="BK429" s="291"/>
      <c r="BL429" s="301"/>
      <c r="BM429" s="293"/>
      <c r="BN429" s="111"/>
      <c r="BO429" s="112"/>
      <c r="BP429" s="113"/>
      <c r="BS429" s="115"/>
    </row>
    <row r="430" spans="1:71" s="114" customFormat="1" ht="21" customHeight="1">
      <c r="A430" s="284"/>
      <c r="B430" s="234" t="s">
        <v>34</v>
      </c>
      <c r="C430" s="290"/>
      <c r="D430" s="103" t="s">
        <v>34</v>
      </c>
      <c r="E430" s="148">
        <f t="shared" si="135"/>
        <v>1.04</v>
      </c>
      <c r="F430" s="148">
        <v>0.52</v>
      </c>
      <c r="G430" s="89">
        <f>SUM(H430:BG430)-M430-Q430-U430</f>
        <v>0.52</v>
      </c>
      <c r="H430" s="224"/>
      <c r="I430" s="224"/>
      <c r="J430" s="224"/>
      <c r="K430" s="224">
        <v>0.1</v>
      </c>
      <c r="L430" s="224">
        <v>0.11</v>
      </c>
      <c r="M430" s="224"/>
      <c r="N430" s="224"/>
      <c r="O430" s="224"/>
      <c r="P430" s="224"/>
      <c r="Q430" s="224"/>
      <c r="R430" s="224"/>
      <c r="S430" s="224"/>
      <c r="T430" s="224"/>
      <c r="U430" s="46">
        <f t="shared" si="134"/>
        <v>0.31</v>
      </c>
      <c r="V430" s="224">
        <v>0.31</v>
      </c>
      <c r="W430" s="224"/>
      <c r="X430" s="224"/>
      <c r="Y430" s="224"/>
      <c r="Z430" s="224"/>
      <c r="AA430" s="224"/>
      <c r="AB430" s="224"/>
      <c r="AC430" s="224"/>
      <c r="AD430" s="224"/>
      <c r="AE430" s="224"/>
      <c r="AF430" s="224"/>
      <c r="AG430" s="224"/>
      <c r="AH430" s="224"/>
      <c r="AI430" s="224"/>
      <c r="AJ430" s="224"/>
      <c r="AK430" s="224"/>
      <c r="AL430" s="224"/>
      <c r="AM430" s="224"/>
      <c r="AN430" s="224"/>
      <c r="AO430" s="224"/>
      <c r="AP430" s="224"/>
      <c r="AQ430" s="224"/>
      <c r="AR430" s="224"/>
      <c r="AS430" s="224"/>
      <c r="AT430" s="224"/>
      <c r="AU430" s="224"/>
      <c r="AV430" s="224"/>
      <c r="AW430" s="224"/>
      <c r="AX430" s="224"/>
      <c r="AY430" s="224"/>
      <c r="AZ430" s="224"/>
      <c r="BA430" s="224"/>
      <c r="BB430" s="224"/>
      <c r="BC430" s="224"/>
      <c r="BD430" s="224"/>
      <c r="BE430" s="224"/>
      <c r="BF430" s="224"/>
      <c r="BG430" s="224"/>
      <c r="BH430" s="290"/>
      <c r="BI430" s="290"/>
      <c r="BJ430" s="290"/>
      <c r="BK430" s="291"/>
      <c r="BL430" s="301"/>
      <c r="BM430" s="293"/>
      <c r="BN430" s="111"/>
      <c r="BO430" s="112"/>
      <c r="BP430" s="113"/>
      <c r="BS430" s="115"/>
    </row>
    <row r="431" spans="1:71" s="114" customFormat="1" ht="21" customHeight="1">
      <c r="A431" s="284"/>
      <c r="B431" s="234" t="s">
        <v>216</v>
      </c>
      <c r="C431" s="290"/>
      <c r="D431" s="103" t="s">
        <v>216</v>
      </c>
      <c r="E431" s="148">
        <f t="shared" si="135"/>
        <v>1.04</v>
      </c>
      <c r="F431" s="148">
        <v>0.52</v>
      </c>
      <c r="G431" s="89">
        <f>SUM(H431:BG431)-M431-Q431-U431</f>
        <v>0.52</v>
      </c>
      <c r="H431" s="224"/>
      <c r="I431" s="224"/>
      <c r="J431" s="224"/>
      <c r="K431" s="224">
        <v>0.05</v>
      </c>
      <c r="L431" s="224">
        <v>0.11</v>
      </c>
      <c r="M431" s="224"/>
      <c r="N431" s="224"/>
      <c r="O431" s="224"/>
      <c r="P431" s="224"/>
      <c r="Q431" s="224"/>
      <c r="R431" s="224"/>
      <c r="S431" s="224"/>
      <c r="T431" s="224"/>
      <c r="U431" s="46">
        <f t="shared" si="134"/>
        <v>0.36</v>
      </c>
      <c r="V431" s="224">
        <v>0.36</v>
      </c>
      <c r="W431" s="224"/>
      <c r="X431" s="224"/>
      <c r="Y431" s="224"/>
      <c r="Z431" s="224"/>
      <c r="AA431" s="224"/>
      <c r="AB431" s="224"/>
      <c r="AC431" s="224"/>
      <c r="AD431" s="224"/>
      <c r="AE431" s="224"/>
      <c r="AF431" s="224"/>
      <c r="AG431" s="224"/>
      <c r="AH431" s="224"/>
      <c r="AI431" s="224"/>
      <c r="AJ431" s="224"/>
      <c r="AK431" s="224"/>
      <c r="AL431" s="224"/>
      <c r="AM431" s="224"/>
      <c r="AN431" s="224"/>
      <c r="AO431" s="224"/>
      <c r="AP431" s="224"/>
      <c r="AQ431" s="224"/>
      <c r="AR431" s="224"/>
      <c r="AS431" s="224"/>
      <c r="AT431" s="224"/>
      <c r="AU431" s="224"/>
      <c r="AV431" s="224"/>
      <c r="AW431" s="224"/>
      <c r="AX431" s="224"/>
      <c r="AY431" s="224"/>
      <c r="AZ431" s="224"/>
      <c r="BA431" s="224"/>
      <c r="BB431" s="224"/>
      <c r="BC431" s="224"/>
      <c r="BD431" s="224"/>
      <c r="BE431" s="224"/>
      <c r="BF431" s="224"/>
      <c r="BG431" s="224"/>
      <c r="BH431" s="290"/>
      <c r="BI431" s="290"/>
      <c r="BJ431" s="290"/>
      <c r="BK431" s="291"/>
      <c r="BL431" s="301"/>
      <c r="BM431" s="293"/>
      <c r="BN431" s="111"/>
      <c r="BO431" s="112"/>
      <c r="BP431" s="113"/>
      <c r="BS431" s="115"/>
    </row>
    <row r="432" spans="1:69" ht="108.75">
      <c r="A432" s="284">
        <f>+A428+1</f>
        <v>254</v>
      </c>
      <c r="B432" s="2" t="s">
        <v>1070</v>
      </c>
      <c r="C432" s="290" t="s">
        <v>82</v>
      </c>
      <c r="D432" s="4"/>
      <c r="E432" s="45">
        <f t="shared" si="135"/>
        <v>3</v>
      </c>
      <c r="F432" s="5"/>
      <c r="G432" s="5">
        <f>SUM(H432:M432,Q432,U432,Y432:BG432)</f>
        <v>3</v>
      </c>
      <c r="H432" s="46"/>
      <c r="I432" s="84">
        <v>0.8</v>
      </c>
      <c r="J432" s="46"/>
      <c r="K432" s="46">
        <v>0.85</v>
      </c>
      <c r="L432" s="84">
        <v>0.6</v>
      </c>
      <c r="M432" s="46"/>
      <c r="N432" s="46"/>
      <c r="O432" s="46"/>
      <c r="P432" s="46"/>
      <c r="Q432" s="46"/>
      <c r="R432" s="46"/>
      <c r="S432" s="46"/>
      <c r="T432" s="46"/>
      <c r="U432" s="46">
        <f aca="true" t="shared" si="136" ref="U432:U437">SUM(V432:X432)</f>
        <v>0.65</v>
      </c>
      <c r="V432" s="84">
        <v>0.65</v>
      </c>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v>0.1</v>
      </c>
      <c r="AU432" s="46"/>
      <c r="AV432" s="46"/>
      <c r="AW432" s="46"/>
      <c r="AX432" s="46"/>
      <c r="AY432" s="46"/>
      <c r="AZ432" s="46"/>
      <c r="BA432" s="46"/>
      <c r="BB432" s="46"/>
      <c r="BC432" s="46"/>
      <c r="BD432" s="46"/>
      <c r="BE432" s="46"/>
      <c r="BF432" s="46"/>
      <c r="BG432" s="46"/>
      <c r="BH432" s="290" t="s">
        <v>388</v>
      </c>
      <c r="BI432" s="290" t="s">
        <v>82</v>
      </c>
      <c r="BJ432" s="290" t="s">
        <v>1071</v>
      </c>
      <c r="BK432" s="291" t="s">
        <v>374</v>
      </c>
      <c r="BL432" s="301" t="s">
        <v>1122</v>
      </c>
      <c r="BM432" s="293" t="s">
        <v>935</v>
      </c>
      <c r="BN432" s="13" t="s">
        <v>1024</v>
      </c>
      <c r="BO432" s="15" t="s">
        <v>1147</v>
      </c>
      <c r="BP432" s="16" t="s">
        <v>1057</v>
      </c>
      <c r="BQ432" s="17"/>
    </row>
    <row r="433" spans="1:69" ht="21.75" customHeight="1">
      <c r="A433" s="284"/>
      <c r="B433" s="234" t="s">
        <v>48</v>
      </c>
      <c r="C433" s="290"/>
      <c r="D433" s="103" t="s">
        <v>48</v>
      </c>
      <c r="E433" s="148">
        <f t="shared" si="135"/>
        <v>2.0999999999999996</v>
      </c>
      <c r="F433" s="148"/>
      <c r="G433" s="89">
        <f>SUM(H433:BG433)-M433-Q433-U433</f>
        <v>2.0999999999999996</v>
      </c>
      <c r="H433" s="46"/>
      <c r="I433" s="46">
        <v>0.6</v>
      </c>
      <c r="J433" s="46"/>
      <c r="K433" s="46">
        <v>0.55</v>
      </c>
      <c r="L433" s="46">
        <v>0.3</v>
      </c>
      <c r="M433" s="46">
        <v>0</v>
      </c>
      <c r="N433" s="46">
        <v>0</v>
      </c>
      <c r="O433" s="46">
        <v>0</v>
      </c>
      <c r="P433" s="46">
        <v>0</v>
      </c>
      <c r="Q433" s="46">
        <v>0</v>
      </c>
      <c r="R433" s="46">
        <v>0</v>
      </c>
      <c r="S433" s="46">
        <v>0</v>
      </c>
      <c r="T433" s="46">
        <v>0</v>
      </c>
      <c r="U433" s="46">
        <f t="shared" si="136"/>
        <v>0.55</v>
      </c>
      <c r="V433" s="46">
        <v>0.55</v>
      </c>
      <c r="W433" s="46">
        <v>0</v>
      </c>
      <c r="X433" s="46">
        <v>0</v>
      </c>
      <c r="Y433" s="46">
        <v>0</v>
      </c>
      <c r="Z433" s="46">
        <v>0</v>
      </c>
      <c r="AA433" s="46">
        <v>0</v>
      </c>
      <c r="AB433" s="46">
        <v>0</v>
      </c>
      <c r="AC433" s="46">
        <v>0</v>
      </c>
      <c r="AD433" s="46">
        <v>0</v>
      </c>
      <c r="AE433" s="46">
        <v>0</v>
      </c>
      <c r="AF433" s="46">
        <v>0</v>
      </c>
      <c r="AG433" s="46">
        <v>0</v>
      </c>
      <c r="AH433" s="46">
        <v>0</v>
      </c>
      <c r="AI433" s="46">
        <v>0</v>
      </c>
      <c r="AJ433" s="46">
        <v>0</v>
      </c>
      <c r="AK433" s="46">
        <v>0</v>
      </c>
      <c r="AL433" s="46">
        <v>0</v>
      </c>
      <c r="AM433" s="46">
        <v>0</v>
      </c>
      <c r="AN433" s="46">
        <v>0</v>
      </c>
      <c r="AO433" s="46">
        <v>0</v>
      </c>
      <c r="AP433" s="46">
        <v>0</v>
      </c>
      <c r="AQ433" s="46">
        <v>0</v>
      </c>
      <c r="AR433" s="46">
        <v>0</v>
      </c>
      <c r="AS433" s="46">
        <v>0</v>
      </c>
      <c r="AT433" s="46">
        <v>0.1</v>
      </c>
      <c r="AU433" s="46">
        <v>0</v>
      </c>
      <c r="AV433" s="46">
        <v>0</v>
      </c>
      <c r="AW433" s="46">
        <v>0</v>
      </c>
      <c r="AX433" s="46">
        <v>0</v>
      </c>
      <c r="AY433" s="46">
        <v>0</v>
      </c>
      <c r="AZ433" s="46">
        <v>0</v>
      </c>
      <c r="BA433" s="46">
        <v>0</v>
      </c>
      <c r="BB433" s="46">
        <v>0</v>
      </c>
      <c r="BC433" s="46">
        <v>0</v>
      </c>
      <c r="BD433" s="46">
        <v>0</v>
      </c>
      <c r="BE433" s="46">
        <v>0</v>
      </c>
      <c r="BF433" s="46">
        <v>0</v>
      </c>
      <c r="BG433" s="46">
        <v>0</v>
      </c>
      <c r="BH433" s="290"/>
      <c r="BI433" s="290"/>
      <c r="BJ433" s="290"/>
      <c r="BK433" s="291"/>
      <c r="BL433" s="301"/>
      <c r="BM433" s="293"/>
      <c r="BN433" s="13"/>
      <c r="BO433" s="15"/>
      <c r="BQ433" s="17"/>
    </row>
    <row r="434" spans="1:243" ht="21.75" customHeight="1">
      <c r="A434" s="284"/>
      <c r="B434" s="234" t="s">
        <v>34</v>
      </c>
      <c r="C434" s="290"/>
      <c r="D434" s="103" t="s">
        <v>34</v>
      </c>
      <c r="E434" s="148">
        <f t="shared" si="135"/>
        <v>0.9</v>
      </c>
      <c r="F434" s="148"/>
      <c r="G434" s="89">
        <f>SUM(H434:BG434)-M434-Q434-U434</f>
        <v>0.9</v>
      </c>
      <c r="H434" s="224"/>
      <c r="I434" s="224">
        <v>0.2</v>
      </c>
      <c r="J434" s="224"/>
      <c r="K434" s="224">
        <v>0.3</v>
      </c>
      <c r="L434" s="224">
        <v>0.3</v>
      </c>
      <c r="M434" s="224"/>
      <c r="N434" s="224"/>
      <c r="O434" s="224"/>
      <c r="P434" s="224"/>
      <c r="Q434" s="224"/>
      <c r="R434" s="224"/>
      <c r="S434" s="224"/>
      <c r="T434" s="224"/>
      <c r="U434" s="48">
        <f t="shared" si="136"/>
        <v>0.1</v>
      </c>
      <c r="V434" s="224">
        <v>0.1</v>
      </c>
      <c r="W434" s="224"/>
      <c r="X434" s="224"/>
      <c r="Y434" s="224"/>
      <c r="Z434" s="224"/>
      <c r="AA434" s="224"/>
      <c r="AB434" s="224"/>
      <c r="AC434" s="224"/>
      <c r="AD434" s="224"/>
      <c r="AE434" s="224"/>
      <c r="AF434" s="224"/>
      <c r="AG434" s="224"/>
      <c r="AH434" s="224"/>
      <c r="AI434" s="224"/>
      <c r="AJ434" s="224"/>
      <c r="AK434" s="224"/>
      <c r="AL434" s="224"/>
      <c r="AM434" s="224"/>
      <c r="AN434" s="224"/>
      <c r="AO434" s="224"/>
      <c r="AP434" s="224"/>
      <c r="AQ434" s="224"/>
      <c r="AR434" s="224"/>
      <c r="AS434" s="224"/>
      <c r="AT434" s="224"/>
      <c r="AU434" s="224"/>
      <c r="AV434" s="224"/>
      <c r="AW434" s="224"/>
      <c r="AX434" s="224"/>
      <c r="AY434" s="224"/>
      <c r="AZ434" s="224"/>
      <c r="BA434" s="224"/>
      <c r="BB434" s="224"/>
      <c r="BC434" s="224"/>
      <c r="BD434" s="224"/>
      <c r="BE434" s="224"/>
      <c r="BF434" s="224"/>
      <c r="BG434" s="224"/>
      <c r="BH434" s="290"/>
      <c r="BI434" s="290"/>
      <c r="BJ434" s="290"/>
      <c r="BK434" s="291"/>
      <c r="BL434" s="301"/>
      <c r="BM434" s="293"/>
      <c r="BN434" s="111"/>
      <c r="BO434" s="112"/>
      <c r="BP434" s="113"/>
      <c r="BQ434" s="114"/>
      <c r="BR434" s="114"/>
      <c r="BS434" s="115"/>
      <c r="BT434" s="114"/>
      <c r="BU434" s="114"/>
      <c r="BV434" s="114"/>
      <c r="BW434" s="114"/>
      <c r="BX434" s="114"/>
      <c r="BY434" s="114"/>
      <c r="BZ434" s="114"/>
      <c r="CA434" s="114"/>
      <c r="CB434" s="114"/>
      <c r="CC434" s="114"/>
      <c r="CD434" s="114"/>
      <c r="CE434" s="114"/>
      <c r="CF434" s="114"/>
      <c r="CG434" s="114"/>
      <c r="CH434" s="114"/>
      <c r="CI434" s="114"/>
      <c r="CJ434" s="114"/>
      <c r="CK434" s="114"/>
      <c r="CL434" s="114"/>
      <c r="CM434" s="114"/>
      <c r="CN434" s="114"/>
      <c r="CO434" s="114"/>
      <c r="CP434" s="114"/>
      <c r="CQ434" s="114"/>
      <c r="CR434" s="114"/>
      <c r="CS434" s="114"/>
      <c r="CT434" s="114"/>
      <c r="CU434" s="114"/>
      <c r="CV434" s="114"/>
      <c r="CW434" s="114"/>
      <c r="CX434" s="114"/>
      <c r="CY434" s="114"/>
      <c r="CZ434" s="114"/>
      <c r="DA434" s="114"/>
      <c r="DB434" s="114"/>
      <c r="DC434" s="114"/>
      <c r="DD434" s="114"/>
      <c r="DE434" s="114"/>
      <c r="DF434" s="114"/>
      <c r="DG434" s="114"/>
      <c r="DH434" s="114"/>
      <c r="DI434" s="114"/>
      <c r="DJ434" s="114"/>
      <c r="DK434" s="114"/>
      <c r="DL434" s="114"/>
      <c r="DM434" s="114"/>
      <c r="DN434" s="114"/>
      <c r="DO434" s="114"/>
      <c r="DP434" s="114"/>
      <c r="DQ434" s="114"/>
      <c r="DR434" s="114"/>
      <c r="DS434" s="114"/>
      <c r="DT434" s="114"/>
      <c r="DU434" s="114"/>
      <c r="DV434" s="114"/>
      <c r="DW434" s="114"/>
      <c r="DX434" s="114"/>
      <c r="DY434" s="114"/>
      <c r="DZ434" s="114"/>
      <c r="EA434" s="114"/>
      <c r="EB434" s="114"/>
      <c r="EC434" s="114"/>
      <c r="ED434" s="114"/>
      <c r="EE434" s="114"/>
      <c r="EF434" s="114"/>
      <c r="EG434" s="114"/>
      <c r="EH434" s="114"/>
      <c r="EI434" s="114"/>
      <c r="EJ434" s="114"/>
      <c r="EK434" s="114"/>
      <c r="EL434" s="114"/>
      <c r="EM434" s="114"/>
      <c r="EN434" s="114"/>
      <c r="EO434" s="114"/>
      <c r="EP434" s="114"/>
      <c r="EQ434" s="114"/>
      <c r="ER434" s="114"/>
      <c r="ES434" s="114"/>
      <c r="ET434" s="114"/>
      <c r="EU434" s="114"/>
      <c r="EV434" s="114"/>
      <c r="EW434" s="114"/>
      <c r="EX434" s="114"/>
      <c r="EY434" s="114"/>
      <c r="EZ434" s="114"/>
      <c r="FA434" s="114"/>
      <c r="FB434" s="114"/>
      <c r="FC434" s="114"/>
      <c r="FD434" s="114"/>
      <c r="FE434" s="114"/>
      <c r="FF434" s="114"/>
      <c r="FG434" s="114"/>
      <c r="FH434" s="114"/>
      <c r="FI434" s="114"/>
      <c r="FJ434" s="114"/>
      <c r="FK434" s="114"/>
      <c r="FL434" s="114"/>
      <c r="FM434" s="114"/>
      <c r="FN434" s="114"/>
      <c r="FO434" s="114"/>
      <c r="FP434" s="114"/>
      <c r="FQ434" s="114"/>
      <c r="FR434" s="114"/>
      <c r="FS434" s="114"/>
      <c r="FT434" s="114"/>
      <c r="FU434" s="114"/>
      <c r="FV434" s="114"/>
      <c r="FW434" s="114"/>
      <c r="FX434" s="114"/>
      <c r="FY434" s="114"/>
      <c r="FZ434" s="114"/>
      <c r="GA434" s="114"/>
      <c r="GB434" s="114"/>
      <c r="GC434" s="114"/>
      <c r="GD434" s="114"/>
      <c r="GE434" s="114"/>
      <c r="GF434" s="114"/>
      <c r="GG434" s="114"/>
      <c r="GH434" s="114"/>
      <c r="GI434" s="114"/>
      <c r="GJ434" s="114"/>
      <c r="GK434" s="114"/>
      <c r="GL434" s="114"/>
      <c r="GM434" s="114"/>
      <c r="GN434" s="114"/>
      <c r="GO434" s="114"/>
      <c r="GP434" s="114"/>
      <c r="GQ434" s="114"/>
      <c r="GR434" s="114"/>
      <c r="GS434" s="114"/>
      <c r="GT434" s="114"/>
      <c r="GU434" s="114"/>
      <c r="GV434" s="114"/>
      <c r="GW434" s="114"/>
      <c r="GX434" s="114"/>
      <c r="GY434" s="114"/>
      <c r="GZ434" s="114"/>
      <c r="HA434" s="114"/>
      <c r="HB434" s="114"/>
      <c r="HC434" s="114"/>
      <c r="HD434" s="114"/>
      <c r="HE434" s="114"/>
      <c r="HF434" s="114"/>
      <c r="HG434" s="114"/>
      <c r="HH434" s="114"/>
      <c r="HI434" s="114"/>
      <c r="HJ434" s="114"/>
      <c r="HK434" s="114"/>
      <c r="HL434" s="114"/>
      <c r="HM434" s="114"/>
      <c r="HN434" s="114"/>
      <c r="HO434" s="114"/>
      <c r="HP434" s="114"/>
      <c r="HQ434" s="114"/>
      <c r="HR434" s="114"/>
      <c r="HS434" s="114"/>
      <c r="HT434" s="114"/>
      <c r="HU434" s="114"/>
      <c r="HV434" s="114"/>
      <c r="HW434" s="114"/>
      <c r="HX434" s="114"/>
      <c r="HY434" s="114"/>
      <c r="HZ434" s="114"/>
      <c r="IA434" s="114"/>
      <c r="IB434" s="114"/>
      <c r="IC434" s="114"/>
      <c r="ID434" s="114"/>
      <c r="IE434" s="114"/>
      <c r="IF434" s="114"/>
      <c r="IG434" s="114"/>
      <c r="IH434" s="114"/>
      <c r="II434" s="114"/>
    </row>
    <row r="435" spans="1:70" ht="93">
      <c r="A435" s="287">
        <f>+A432+1</f>
        <v>255</v>
      </c>
      <c r="B435" s="2" t="s">
        <v>1069</v>
      </c>
      <c r="C435" s="290" t="s">
        <v>138</v>
      </c>
      <c r="D435" s="4"/>
      <c r="E435" s="45">
        <f t="shared" si="135"/>
        <v>2.7499999999999996</v>
      </c>
      <c r="F435" s="5"/>
      <c r="G435" s="5">
        <f>SUM(H435:M435,Q435,U435,Y435:BG435)</f>
        <v>2.7499999999999996</v>
      </c>
      <c r="H435" s="46">
        <v>0.13</v>
      </c>
      <c r="I435" s="97"/>
      <c r="J435" s="46"/>
      <c r="K435" s="88">
        <v>0.28</v>
      </c>
      <c r="L435" s="97">
        <v>0.87</v>
      </c>
      <c r="M435" s="46">
        <f>SUM(N435:P435)</f>
        <v>0</v>
      </c>
      <c r="N435" s="46"/>
      <c r="O435" s="46"/>
      <c r="P435" s="46"/>
      <c r="Q435" s="46">
        <f>R435+S435+T435</f>
        <v>0</v>
      </c>
      <c r="R435" s="46"/>
      <c r="S435" s="46"/>
      <c r="T435" s="46"/>
      <c r="U435" s="46">
        <f t="shared" si="136"/>
        <v>0.86</v>
      </c>
      <c r="V435" s="84">
        <v>0.86</v>
      </c>
      <c r="W435" s="46"/>
      <c r="X435" s="46"/>
      <c r="Y435" s="46"/>
      <c r="Z435" s="46"/>
      <c r="AA435" s="46"/>
      <c r="AB435" s="46"/>
      <c r="AC435" s="46"/>
      <c r="AD435" s="46"/>
      <c r="AE435" s="46"/>
      <c r="AF435" s="46">
        <v>0.27</v>
      </c>
      <c r="AG435" s="46"/>
      <c r="AH435" s="46"/>
      <c r="AI435" s="46"/>
      <c r="AJ435" s="46"/>
      <c r="AK435" s="46"/>
      <c r="AL435" s="46"/>
      <c r="AM435" s="46"/>
      <c r="AN435" s="46"/>
      <c r="AO435" s="46"/>
      <c r="AP435" s="46"/>
      <c r="AQ435" s="46"/>
      <c r="AR435" s="46"/>
      <c r="AS435" s="46"/>
      <c r="AT435" s="46">
        <v>0.26</v>
      </c>
      <c r="AU435" s="46"/>
      <c r="AV435" s="46">
        <v>0.03</v>
      </c>
      <c r="AW435" s="46"/>
      <c r="AX435" s="46"/>
      <c r="AY435" s="46"/>
      <c r="AZ435" s="46"/>
      <c r="BA435" s="46"/>
      <c r="BB435" s="46"/>
      <c r="BC435" s="46"/>
      <c r="BD435" s="46"/>
      <c r="BE435" s="46"/>
      <c r="BF435" s="46"/>
      <c r="BG435" s="46">
        <v>0.05</v>
      </c>
      <c r="BH435" s="290" t="s">
        <v>776</v>
      </c>
      <c r="BI435" s="290" t="s">
        <v>138</v>
      </c>
      <c r="BJ435" s="290" t="s">
        <v>777</v>
      </c>
      <c r="BK435" s="291" t="s">
        <v>374</v>
      </c>
      <c r="BL435" s="301" t="s">
        <v>1124</v>
      </c>
      <c r="BM435" s="293" t="s">
        <v>935</v>
      </c>
      <c r="BN435" s="13" t="s">
        <v>1024</v>
      </c>
      <c r="BO435" s="15" t="s">
        <v>1147</v>
      </c>
      <c r="BP435" s="16" t="s">
        <v>1044</v>
      </c>
      <c r="BR435" s="17" t="s">
        <v>1058</v>
      </c>
    </row>
    <row r="436" spans="1:69" ht="21" customHeight="1">
      <c r="A436" s="287"/>
      <c r="B436" s="234" t="s">
        <v>48</v>
      </c>
      <c r="C436" s="290"/>
      <c r="D436" s="103" t="s">
        <v>48</v>
      </c>
      <c r="E436" s="148">
        <f t="shared" si="135"/>
        <v>1.9999999999999998</v>
      </c>
      <c r="F436" s="148"/>
      <c r="G436" s="89">
        <f>SUM(H436:BG436)-M436-Q436-U436</f>
        <v>1.9999999999999998</v>
      </c>
      <c r="H436" s="46">
        <v>0.13</v>
      </c>
      <c r="I436" s="46">
        <v>0</v>
      </c>
      <c r="J436" s="46">
        <v>0</v>
      </c>
      <c r="K436" s="46">
        <v>0.28</v>
      </c>
      <c r="L436" s="46">
        <v>0.47</v>
      </c>
      <c r="M436" s="46">
        <v>0</v>
      </c>
      <c r="N436" s="46">
        <v>0</v>
      </c>
      <c r="O436" s="46">
        <v>0</v>
      </c>
      <c r="P436" s="46">
        <v>0</v>
      </c>
      <c r="Q436" s="46">
        <v>0</v>
      </c>
      <c r="R436" s="46">
        <v>0</v>
      </c>
      <c r="S436" s="46">
        <v>0</v>
      </c>
      <c r="T436" s="46">
        <v>0</v>
      </c>
      <c r="U436" s="6">
        <f t="shared" si="136"/>
        <v>0.78</v>
      </c>
      <c r="V436" s="46">
        <v>0.78</v>
      </c>
      <c r="W436" s="46">
        <v>0</v>
      </c>
      <c r="X436" s="46">
        <v>0</v>
      </c>
      <c r="Y436" s="46">
        <v>0</v>
      </c>
      <c r="Z436" s="46">
        <v>0</v>
      </c>
      <c r="AA436" s="46">
        <v>0</v>
      </c>
      <c r="AB436" s="46">
        <v>0</v>
      </c>
      <c r="AC436" s="46">
        <v>0</v>
      </c>
      <c r="AD436" s="46">
        <v>0</v>
      </c>
      <c r="AE436" s="46">
        <v>0</v>
      </c>
      <c r="AF436" s="46">
        <v>0</v>
      </c>
      <c r="AG436" s="46">
        <v>0</v>
      </c>
      <c r="AH436" s="46">
        <v>0</v>
      </c>
      <c r="AI436" s="46">
        <v>0</v>
      </c>
      <c r="AJ436" s="46">
        <v>0</v>
      </c>
      <c r="AK436" s="46">
        <v>0</v>
      </c>
      <c r="AL436" s="46">
        <v>0</v>
      </c>
      <c r="AM436" s="46">
        <v>0</v>
      </c>
      <c r="AN436" s="46">
        <v>0</v>
      </c>
      <c r="AO436" s="46">
        <v>0</v>
      </c>
      <c r="AP436" s="46">
        <v>0</v>
      </c>
      <c r="AQ436" s="46">
        <v>0</v>
      </c>
      <c r="AR436" s="46">
        <v>0</v>
      </c>
      <c r="AS436" s="46">
        <v>0</v>
      </c>
      <c r="AT436" s="46">
        <v>0.26</v>
      </c>
      <c r="AU436" s="46">
        <v>0</v>
      </c>
      <c r="AV436" s="46">
        <v>0.03</v>
      </c>
      <c r="AW436" s="46">
        <v>0</v>
      </c>
      <c r="AX436" s="46">
        <v>0</v>
      </c>
      <c r="AY436" s="46">
        <v>0</v>
      </c>
      <c r="AZ436" s="46">
        <v>0</v>
      </c>
      <c r="BA436" s="46">
        <v>0</v>
      </c>
      <c r="BB436" s="46">
        <v>0</v>
      </c>
      <c r="BC436" s="46">
        <v>0</v>
      </c>
      <c r="BD436" s="46">
        <v>0</v>
      </c>
      <c r="BE436" s="46">
        <v>0</v>
      </c>
      <c r="BF436" s="46">
        <v>0</v>
      </c>
      <c r="BG436" s="46">
        <v>0.05</v>
      </c>
      <c r="BH436" s="290"/>
      <c r="BI436" s="290"/>
      <c r="BJ436" s="290"/>
      <c r="BK436" s="291"/>
      <c r="BL436" s="301"/>
      <c r="BM436" s="293"/>
      <c r="BN436" s="13"/>
      <c r="BO436" s="15"/>
      <c r="BQ436" s="17"/>
    </row>
    <row r="437" spans="1:243" ht="21" customHeight="1">
      <c r="A437" s="287"/>
      <c r="B437" s="234" t="s">
        <v>34</v>
      </c>
      <c r="C437" s="290"/>
      <c r="D437" s="103" t="s">
        <v>34</v>
      </c>
      <c r="E437" s="148">
        <f t="shared" si="135"/>
        <v>0.7500000000000001</v>
      </c>
      <c r="F437" s="148"/>
      <c r="G437" s="89">
        <f>SUM(H437:BG437)-M437-Q437-U437</f>
        <v>0.7500000000000001</v>
      </c>
      <c r="H437" s="224"/>
      <c r="I437" s="224"/>
      <c r="J437" s="224"/>
      <c r="K437" s="224"/>
      <c r="L437" s="224">
        <v>0.4</v>
      </c>
      <c r="M437" s="224"/>
      <c r="N437" s="224"/>
      <c r="O437" s="224"/>
      <c r="P437" s="224"/>
      <c r="Q437" s="224"/>
      <c r="R437" s="224"/>
      <c r="S437" s="224"/>
      <c r="T437" s="224"/>
      <c r="U437" s="6">
        <f t="shared" si="136"/>
        <v>0.08</v>
      </c>
      <c r="V437" s="224">
        <v>0.08</v>
      </c>
      <c r="W437" s="224"/>
      <c r="X437" s="224"/>
      <c r="Y437" s="224"/>
      <c r="Z437" s="224"/>
      <c r="AA437" s="224"/>
      <c r="AB437" s="224"/>
      <c r="AC437" s="224"/>
      <c r="AD437" s="224"/>
      <c r="AE437" s="224"/>
      <c r="AF437" s="224">
        <v>0.27</v>
      </c>
      <c r="AG437" s="224"/>
      <c r="AH437" s="224"/>
      <c r="AI437" s="224"/>
      <c r="AJ437" s="224"/>
      <c r="AK437" s="224"/>
      <c r="AL437" s="224"/>
      <c r="AM437" s="224"/>
      <c r="AN437" s="224"/>
      <c r="AO437" s="224"/>
      <c r="AP437" s="224"/>
      <c r="AQ437" s="224"/>
      <c r="AR437" s="224"/>
      <c r="AS437" s="224"/>
      <c r="AT437" s="224"/>
      <c r="AU437" s="224"/>
      <c r="AV437" s="224"/>
      <c r="AW437" s="224"/>
      <c r="AX437" s="224"/>
      <c r="AY437" s="224"/>
      <c r="AZ437" s="224"/>
      <c r="BA437" s="224"/>
      <c r="BB437" s="224"/>
      <c r="BC437" s="224"/>
      <c r="BD437" s="224"/>
      <c r="BE437" s="224"/>
      <c r="BF437" s="224"/>
      <c r="BG437" s="224"/>
      <c r="BH437" s="290"/>
      <c r="BI437" s="290"/>
      <c r="BJ437" s="290"/>
      <c r="BK437" s="291"/>
      <c r="BL437" s="301"/>
      <c r="BM437" s="293"/>
      <c r="BN437" s="111"/>
      <c r="BO437" s="112"/>
      <c r="BP437" s="113"/>
      <c r="BQ437" s="114"/>
      <c r="BR437" s="114"/>
      <c r="BS437" s="115"/>
      <c r="BT437" s="114"/>
      <c r="BU437" s="114"/>
      <c r="BV437" s="114"/>
      <c r="BW437" s="114"/>
      <c r="BX437" s="114"/>
      <c r="BY437" s="114"/>
      <c r="BZ437" s="114"/>
      <c r="CA437" s="114"/>
      <c r="CB437" s="114"/>
      <c r="CC437" s="114"/>
      <c r="CD437" s="114"/>
      <c r="CE437" s="114"/>
      <c r="CF437" s="114"/>
      <c r="CG437" s="114"/>
      <c r="CH437" s="114"/>
      <c r="CI437" s="114"/>
      <c r="CJ437" s="114"/>
      <c r="CK437" s="114"/>
      <c r="CL437" s="114"/>
      <c r="CM437" s="114"/>
      <c r="CN437" s="114"/>
      <c r="CO437" s="114"/>
      <c r="CP437" s="114"/>
      <c r="CQ437" s="114"/>
      <c r="CR437" s="114"/>
      <c r="CS437" s="114"/>
      <c r="CT437" s="114"/>
      <c r="CU437" s="114"/>
      <c r="CV437" s="114"/>
      <c r="CW437" s="114"/>
      <c r="CX437" s="114"/>
      <c r="CY437" s="114"/>
      <c r="CZ437" s="114"/>
      <c r="DA437" s="114"/>
      <c r="DB437" s="114"/>
      <c r="DC437" s="114"/>
      <c r="DD437" s="114"/>
      <c r="DE437" s="114"/>
      <c r="DF437" s="114"/>
      <c r="DG437" s="114"/>
      <c r="DH437" s="114"/>
      <c r="DI437" s="114"/>
      <c r="DJ437" s="114"/>
      <c r="DK437" s="114"/>
      <c r="DL437" s="114"/>
      <c r="DM437" s="114"/>
      <c r="DN437" s="114"/>
      <c r="DO437" s="114"/>
      <c r="DP437" s="114"/>
      <c r="DQ437" s="114"/>
      <c r="DR437" s="114"/>
      <c r="DS437" s="114"/>
      <c r="DT437" s="114"/>
      <c r="DU437" s="114"/>
      <c r="DV437" s="114"/>
      <c r="DW437" s="114"/>
      <c r="DX437" s="114"/>
      <c r="DY437" s="114"/>
      <c r="DZ437" s="114"/>
      <c r="EA437" s="114"/>
      <c r="EB437" s="114"/>
      <c r="EC437" s="114"/>
      <c r="ED437" s="114"/>
      <c r="EE437" s="114"/>
      <c r="EF437" s="114"/>
      <c r="EG437" s="114"/>
      <c r="EH437" s="114"/>
      <c r="EI437" s="114"/>
      <c r="EJ437" s="114"/>
      <c r="EK437" s="114"/>
      <c r="EL437" s="114"/>
      <c r="EM437" s="114"/>
      <c r="EN437" s="114"/>
      <c r="EO437" s="114"/>
      <c r="EP437" s="114"/>
      <c r="EQ437" s="114"/>
      <c r="ER437" s="114"/>
      <c r="ES437" s="114"/>
      <c r="ET437" s="114"/>
      <c r="EU437" s="114"/>
      <c r="EV437" s="114"/>
      <c r="EW437" s="114"/>
      <c r="EX437" s="114"/>
      <c r="EY437" s="114"/>
      <c r="EZ437" s="114"/>
      <c r="FA437" s="114"/>
      <c r="FB437" s="114"/>
      <c r="FC437" s="114"/>
      <c r="FD437" s="114"/>
      <c r="FE437" s="114"/>
      <c r="FF437" s="114"/>
      <c r="FG437" s="114"/>
      <c r="FH437" s="114"/>
      <c r="FI437" s="114"/>
      <c r="FJ437" s="114"/>
      <c r="FK437" s="114"/>
      <c r="FL437" s="114"/>
      <c r="FM437" s="114"/>
      <c r="FN437" s="114"/>
      <c r="FO437" s="114"/>
      <c r="FP437" s="114"/>
      <c r="FQ437" s="114"/>
      <c r="FR437" s="114"/>
      <c r="FS437" s="114"/>
      <c r="FT437" s="114"/>
      <c r="FU437" s="114"/>
      <c r="FV437" s="114"/>
      <c r="FW437" s="114"/>
      <c r="FX437" s="114"/>
      <c r="FY437" s="114"/>
      <c r="FZ437" s="114"/>
      <c r="GA437" s="114"/>
      <c r="GB437" s="114"/>
      <c r="GC437" s="114"/>
      <c r="GD437" s="114"/>
      <c r="GE437" s="114"/>
      <c r="GF437" s="114"/>
      <c r="GG437" s="114"/>
      <c r="GH437" s="114"/>
      <c r="GI437" s="114"/>
      <c r="GJ437" s="114"/>
      <c r="GK437" s="114"/>
      <c r="GL437" s="114"/>
      <c r="GM437" s="114"/>
      <c r="GN437" s="114"/>
      <c r="GO437" s="114"/>
      <c r="GP437" s="114"/>
      <c r="GQ437" s="114"/>
      <c r="GR437" s="114"/>
      <c r="GS437" s="114"/>
      <c r="GT437" s="114"/>
      <c r="GU437" s="114"/>
      <c r="GV437" s="114"/>
      <c r="GW437" s="114"/>
      <c r="GX437" s="114"/>
      <c r="GY437" s="114"/>
      <c r="GZ437" s="114"/>
      <c r="HA437" s="114"/>
      <c r="HB437" s="114"/>
      <c r="HC437" s="114"/>
      <c r="HD437" s="114"/>
      <c r="HE437" s="114"/>
      <c r="HF437" s="114"/>
      <c r="HG437" s="114"/>
      <c r="HH437" s="114"/>
      <c r="HI437" s="114"/>
      <c r="HJ437" s="114"/>
      <c r="HK437" s="114"/>
      <c r="HL437" s="114"/>
      <c r="HM437" s="114"/>
      <c r="HN437" s="114"/>
      <c r="HO437" s="114"/>
      <c r="HP437" s="114"/>
      <c r="HQ437" s="114"/>
      <c r="HR437" s="114"/>
      <c r="HS437" s="114"/>
      <c r="HT437" s="114"/>
      <c r="HU437" s="114"/>
      <c r="HV437" s="114"/>
      <c r="HW437" s="114"/>
      <c r="HX437" s="114"/>
      <c r="HY437" s="114"/>
      <c r="HZ437" s="114"/>
      <c r="IA437" s="114"/>
      <c r="IB437" s="114"/>
      <c r="IC437" s="114"/>
      <c r="ID437" s="114"/>
      <c r="IE437" s="114"/>
      <c r="IF437" s="114"/>
      <c r="IG437" s="114"/>
      <c r="IH437" s="114"/>
      <c r="II437" s="114"/>
    </row>
    <row r="438" spans="1:68" ht="93">
      <c r="A438" s="287">
        <f>+A435+1</f>
        <v>256</v>
      </c>
      <c r="B438" s="2" t="s">
        <v>1123</v>
      </c>
      <c r="C438" s="290" t="s">
        <v>122</v>
      </c>
      <c r="D438" s="4"/>
      <c r="E438" s="45">
        <f t="shared" si="135"/>
        <v>3.9999999999999996</v>
      </c>
      <c r="F438" s="5"/>
      <c r="G438" s="5">
        <f>SUM(H438:M438,Q438,U438,Y438:BG438)</f>
        <v>3.9999999999999996</v>
      </c>
      <c r="H438" s="46">
        <f>+SUM(H439:H440)</f>
        <v>0.02</v>
      </c>
      <c r="I438" s="46">
        <f aca="true" t="shared" si="137" ref="I438:BG438">+SUM(I439:I440)</f>
        <v>0.09</v>
      </c>
      <c r="J438" s="46">
        <f t="shared" si="137"/>
        <v>0</v>
      </c>
      <c r="K438" s="46">
        <f t="shared" si="137"/>
        <v>0.5</v>
      </c>
      <c r="L438" s="46">
        <f t="shared" si="137"/>
        <v>0.55</v>
      </c>
      <c r="M438" s="46">
        <f t="shared" si="137"/>
        <v>0</v>
      </c>
      <c r="N438" s="46">
        <f t="shared" si="137"/>
        <v>0</v>
      </c>
      <c r="O438" s="46">
        <f t="shared" si="137"/>
        <v>0</v>
      </c>
      <c r="P438" s="46">
        <f t="shared" si="137"/>
        <v>0</v>
      </c>
      <c r="Q438" s="46">
        <f t="shared" si="137"/>
        <v>0</v>
      </c>
      <c r="R438" s="46">
        <f t="shared" si="137"/>
        <v>0</v>
      </c>
      <c r="S438" s="46">
        <f t="shared" si="137"/>
        <v>0</v>
      </c>
      <c r="T438" s="46">
        <f t="shared" si="137"/>
        <v>0</v>
      </c>
      <c r="U438" s="46">
        <f t="shared" si="137"/>
        <v>1.8800000000000001</v>
      </c>
      <c r="V438" s="46">
        <f t="shared" si="137"/>
        <v>1.8800000000000001</v>
      </c>
      <c r="W438" s="46">
        <f t="shared" si="137"/>
        <v>0</v>
      </c>
      <c r="X438" s="46">
        <f t="shared" si="137"/>
        <v>0</v>
      </c>
      <c r="Y438" s="46">
        <f t="shared" si="137"/>
        <v>0</v>
      </c>
      <c r="Z438" s="46">
        <f t="shared" si="137"/>
        <v>0</v>
      </c>
      <c r="AA438" s="46">
        <f t="shared" si="137"/>
        <v>0</v>
      </c>
      <c r="AB438" s="46">
        <f t="shared" si="137"/>
        <v>0</v>
      </c>
      <c r="AC438" s="46">
        <f t="shared" si="137"/>
        <v>0</v>
      </c>
      <c r="AD438" s="46">
        <f t="shared" si="137"/>
        <v>0</v>
      </c>
      <c r="AE438" s="46">
        <f t="shared" si="137"/>
        <v>0</v>
      </c>
      <c r="AF438" s="46">
        <f t="shared" si="137"/>
        <v>0.55</v>
      </c>
      <c r="AG438" s="46">
        <f t="shared" si="137"/>
        <v>0</v>
      </c>
      <c r="AH438" s="46">
        <f t="shared" si="137"/>
        <v>0</v>
      </c>
      <c r="AI438" s="46">
        <f t="shared" si="137"/>
        <v>0</v>
      </c>
      <c r="AJ438" s="46">
        <f t="shared" si="137"/>
        <v>0</v>
      </c>
      <c r="AK438" s="46">
        <f t="shared" si="137"/>
        <v>0</v>
      </c>
      <c r="AL438" s="46">
        <f t="shared" si="137"/>
        <v>0</v>
      </c>
      <c r="AM438" s="46">
        <f t="shared" si="137"/>
        <v>0</v>
      </c>
      <c r="AN438" s="46">
        <f t="shared" si="137"/>
        <v>0</v>
      </c>
      <c r="AO438" s="46">
        <f t="shared" si="137"/>
        <v>0</v>
      </c>
      <c r="AP438" s="46">
        <f t="shared" si="137"/>
        <v>0</v>
      </c>
      <c r="AQ438" s="46">
        <f t="shared" si="137"/>
        <v>0</v>
      </c>
      <c r="AR438" s="46">
        <f t="shared" si="137"/>
        <v>0</v>
      </c>
      <c r="AS438" s="46">
        <f t="shared" si="137"/>
        <v>0</v>
      </c>
      <c r="AT438" s="46">
        <f t="shared" si="137"/>
        <v>0.4</v>
      </c>
      <c r="AU438" s="46">
        <f t="shared" si="137"/>
        <v>0</v>
      </c>
      <c r="AV438" s="46">
        <f t="shared" si="137"/>
        <v>0</v>
      </c>
      <c r="AW438" s="46">
        <f t="shared" si="137"/>
        <v>0</v>
      </c>
      <c r="AX438" s="46">
        <f t="shared" si="137"/>
        <v>0.01</v>
      </c>
      <c r="AY438" s="46">
        <f t="shared" si="137"/>
        <v>0</v>
      </c>
      <c r="AZ438" s="46">
        <f t="shared" si="137"/>
        <v>0</v>
      </c>
      <c r="BA438" s="46">
        <f t="shared" si="137"/>
        <v>0</v>
      </c>
      <c r="BB438" s="46">
        <f t="shared" si="137"/>
        <v>0</v>
      </c>
      <c r="BC438" s="46">
        <f t="shared" si="137"/>
        <v>0</v>
      </c>
      <c r="BD438" s="46">
        <f t="shared" si="137"/>
        <v>0</v>
      </c>
      <c r="BE438" s="46">
        <f t="shared" si="137"/>
        <v>0</v>
      </c>
      <c r="BF438" s="46">
        <f t="shared" si="137"/>
        <v>0</v>
      </c>
      <c r="BG438" s="46">
        <f t="shared" si="137"/>
        <v>0</v>
      </c>
      <c r="BH438" s="290" t="s">
        <v>123</v>
      </c>
      <c r="BI438" s="290" t="s">
        <v>122</v>
      </c>
      <c r="BJ438" s="290" t="s">
        <v>1126</v>
      </c>
      <c r="BK438" s="291" t="s">
        <v>374</v>
      </c>
      <c r="BL438" s="301" t="s">
        <v>1124</v>
      </c>
      <c r="BM438" s="293" t="s">
        <v>935</v>
      </c>
      <c r="BN438" s="13"/>
      <c r="BO438" s="15" t="s">
        <v>194</v>
      </c>
      <c r="BP438" s="16" t="s">
        <v>1067</v>
      </c>
    </row>
    <row r="439" spans="1:69" ht="21" customHeight="1">
      <c r="A439" s="287"/>
      <c r="B439" s="234" t="s">
        <v>48</v>
      </c>
      <c r="C439" s="290"/>
      <c r="D439" s="103" t="s">
        <v>48</v>
      </c>
      <c r="E439" s="148">
        <f t="shared" si="135"/>
        <v>2.9999999999999996</v>
      </c>
      <c r="F439" s="148"/>
      <c r="G439" s="89">
        <f>SUM(H439:BG439)-M439-Q439-U439</f>
        <v>2.9999999999999996</v>
      </c>
      <c r="H439" s="46">
        <v>0.02</v>
      </c>
      <c r="I439" s="46">
        <v>0.06</v>
      </c>
      <c r="J439" s="46"/>
      <c r="K439" s="46">
        <v>0.4</v>
      </c>
      <c r="L439" s="46">
        <v>0.25</v>
      </c>
      <c r="M439" s="46"/>
      <c r="N439" s="46"/>
      <c r="O439" s="46"/>
      <c r="P439" s="46"/>
      <c r="Q439" s="46"/>
      <c r="R439" s="46"/>
      <c r="S439" s="46"/>
      <c r="T439" s="46"/>
      <c r="U439" s="6">
        <f>SUM(V439:X439)</f>
        <v>1.81</v>
      </c>
      <c r="V439" s="46">
        <v>1.81</v>
      </c>
      <c r="W439" s="46">
        <v>0</v>
      </c>
      <c r="X439" s="46">
        <v>0</v>
      </c>
      <c r="Y439" s="46">
        <v>0</v>
      </c>
      <c r="Z439" s="46">
        <v>0</v>
      </c>
      <c r="AA439" s="46">
        <v>0</v>
      </c>
      <c r="AB439" s="46">
        <v>0</v>
      </c>
      <c r="AC439" s="46">
        <v>0</v>
      </c>
      <c r="AD439" s="46">
        <v>0</v>
      </c>
      <c r="AE439" s="46">
        <v>0</v>
      </c>
      <c r="AF439" s="46">
        <v>0.05</v>
      </c>
      <c r="AG439" s="46">
        <v>0</v>
      </c>
      <c r="AH439" s="46">
        <v>0</v>
      </c>
      <c r="AI439" s="46">
        <v>0</v>
      </c>
      <c r="AJ439" s="46">
        <v>0</v>
      </c>
      <c r="AK439" s="46">
        <v>0</v>
      </c>
      <c r="AL439" s="46">
        <v>0</v>
      </c>
      <c r="AM439" s="46">
        <v>0</v>
      </c>
      <c r="AN439" s="46">
        <v>0</v>
      </c>
      <c r="AO439" s="46">
        <v>0</v>
      </c>
      <c r="AP439" s="46">
        <v>0</v>
      </c>
      <c r="AQ439" s="46">
        <v>0</v>
      </c>
      <c r="AR439" s="46">
        <v>0</v>
      </c>
      <c r="AS439" s="46">
        <v>0</v>
      </c>
      <c r="AT439" s="46">
        <v>0.4</v>
      </c>
      <c r="AU439" s="46"/>
      <c r="AV439" s="46"/>
      <c r="AW439" s="46"/>
      <c r="AX439" s="46">
        <v>0.01</v>
      </c>
      <c r="AY439" s="46"/>
      <c r="AZ439" s="46"/>
      <c r="BA439" s="46"/>
      <c r="BB439" s="46"/>
      <c r="BC439" s="46"/>
      <c r="BD439" s="46"/>
      <c r="BE439" s="46"/>
      <c r="BF439" s="46"/>
      <c r="BG439" s="46"/>
      <c r="BH439" s="290"/>
      <c r="BI439" s="290"/>
      <c r="BJ439" s="290"/>
      <c r="BK439" s="291"/>
      <c r="BL439" s="301"/>
      <c r="BM439" s="293"/>
      <c r="BN439" s="13"/>
      <c r="BO439" s="15"/>
      <c r="BQ439" s="17"/>
    </row>
    <row r="440" spans="1:243" ht="21" customHeight="1">
      <c r="A440" s="287"/>
      <c r="B440" s="234" t="s">
        <v>34</v>
      </c>
      <c r="C440" s="290"/>
      <c r="D440" s="103" t="s">
        <v>34</v>
      </c>
      <c r="E440" s="148">
        <f t="shared" si="135"/>
        <v>1</v>
      </c>
      <c r="F440" s="148"/>
      <c r="G440" s="89">
        <f>SUM(H440:BG440)-M440-Q440-U440</f>
        <v>1</v>
      </c>
      <c r="H440" s="224"/>
      <c r="I440" s="224">
        <v>0.03</v>
      </c>
      <c r="J440" s="224"/>
      <c r="K440" s="224">
        <v>0.1</v>
      </c>
      <c r="L440" s="224">
        <v>0.3</v>
      </c>
      <c r="M440" s="224"/>
      <c r="N440" s="224"/>
      <c r="O440" s="224"/>
      <c r="P440" s="224"/>
      <c r="Q440" s="224"/>
      <c r="R440" s="224"/>
      <c r="S440" s="224"/>
      <c r="T440" s="224"/>
      <c r="U440" s="6">
        <f>SUM(V440:X440)</f>
        <v>0.07</v>
      </c>
      <c r="V440" s="224">
        <v>0.07</v>
      </c>
      <c r="W440" s="224"/>
      <c r="X440" s="224"/>
      <c r="Y440" s="224"/>
      <c r="Z440" s="224"/>
      <c r="AA440" s="224"/>
      <c r="AB440" s="224"/>
      <c r="AC440" s="224"/>
      <c r="AD440" s="224"/>
      <c r="AE440" s="224"/>
      <c r="AF440" s="224">
        <v>0.5</v>
      </c>
      <c r="AG440" s="224"/>
      <c r="AH440" s="224"/>
      <c r="AI440" s="224"/>
      <c r="AJ440" s="224"/>
      <c r="AK440" s="224"/>
      <c r="AL440" s="224"/>
      <c r="AM440" s="224"/>
      <c r="AN440" s="224"/>
      <c r="AO440" s="224"/>
      <c r="AP440" s="224"/>
      <c r="AQ440" s="224"/>
      <c r="AR440" s="224"/>
      <c r="AS440" s="224"/>
      <c r="AT440" s="224"/>
      <c r="AU440" s="224"/>
      <c r="AV440" s="224"/>
      <c r="AW440" s="224"/>
      <c r="AX440" s="224"/>
      <c r="AY440" s="224"/>
      <c r="AZ440" s="224"/>
      <c r="BA440" s="224"/>
      <c r="BB440" s="224"/>
      <c r="BC440" s="224"/>
      <c r="BD440" s="224"/>
      <c r="BE440" s="224"/>
      <c r="BF440" s="224"/>
      <c r="BG440" s="224"/>
      <c r="BH440" s="290"/>
      <c r="BI440" s="290"/>
      <c r="BJ440" s="290"/>
      <c r="BK440" s="291"/>
      <c r="BL440" s="301"/>
      <c r="BM440" s="293"/>
      <c r="BN440" s="111"/>
      <c r="BO440" s="112"/>
      <c r="BP440" s="113"/>
      <c r="BQ440" s="114"/>
      <c r="BR440" s="114"/>
      <c r="BS440" s="115"/>
      <c r="BT440" s="114"/>
      <c r="BU440" s="114"/>
      <c r="BV440" s="114"/>
      <c r="BW440" s="114"/>
      <c r="BX440" s="114"/>
      <c r="BY440" s="114"/>
      <c r="BZ440" s="114"/>
      <c r="CA440" s="114"/>
      <c r="CB440" s="114"/>
      <c r="CC440" s="114"/>
      <c r="CD440" s="114"/>
      <c r="CE440" s="114"/>
      <c r="CF440" s="114"/>
      <c r="CG440" s="114"/>
      <c r="CH440" s="114"/>
      <c r="CI440" s="114"/>
      <c r="CJ440" s="114"/>
      <c r="CK440" s="114"/>
      <c r="CL440" s="114"/>
      <c r="CM440" s="114"/>
      <c r="CN440" s="114"/>
      <c r="CO440" s="114"/>
      <c r="CP440" s="114"/>
      <c r="CQ440" s="114"/>
      <c r="CR440" s="114"/>
      <c r="CS440" s="114"/>
      <c r="CT440" s="114"/>
      <c r="CU440" s="114"/>
      <c r="CV440" s="114"/>
      <c r="CW440" s="114"/>
      <c r="CX440" s="114"/>
      <c r="CY440" s="114"/>
      <c r="CZ440" s="114"/>
      <c r="DA440" s="114"/>
      <c r="DB440" s="114"/>
      <c r="DC440" s="114"/>
      <c r="DD440" s="114"/>
      <c r="DE440" s="114"/>
      <c r="DF440" s="114"/>
      <c r="DG440" s="114"/>
      <c r="DH440" s="114"/>
      <c r="DI440" s="114"/>
      <c r="DJ440" s="114"/>
      <c r="DK440" s="114"/>
      <c r="DL440" s="114"/>
      <c r="DM440" s="114"/>
      <c r="DN440" s="114"/>
      <c r="DO440" s="114"/>
      <c r="DP440" s="114"/>
      <c r="DQ440" s="114"/>
      <c r="DR440" s="114"/>
      <c r="DS440" s="114"/>
      <c r="DT440" s="114"/>
      <c r="DU440" s="114"/>
      <c r="DV440" s="114"/>
      <c r="DW440" s="114"/>
      <c r="DX440" s="114"/>
      <c r="DY440" s="114"/>
      <c r="DZ440" s="114"/>
      <c r="EA440" s="114"/>
      <c r="EB440" s="114"/>
      <c r="EC440" s="114"/>
      <c r="ED440" s="114"/>
      <c r="EE440" s="114"/>
      <c r="EF440" s="114"/>
      <c r="EG440" s="114"/>
      <c r="EH440" s="114"/>
      <c r="EI440" s="114"/>
      <c r="EJ440" s="114"/>
      <c r="EK440" s="114"/>
      <c r="EL440" s="114"/>
      <c r="EM440" s="114"/>
      <c r="EN440" s="114"/>
      <c r="EO440" s="114"/>
      <c r="EP440" s="114"/>
      <c r="EQ440" s="114"/>
      <c r="ER440" s="114"/>
      <c r="ES440" s="114"/>
      <c r="ET440" s="114"/>
      <c r="EU440" s="114"/>
      <c r="EV440" s="114"/>
      <c r="EW440" s="114"/>
      <c r="EX440" s="114"/>
      <c r="EY440" s="114"/>
      <c r="EZ440" s="114"/>
      <c r="FA440" s="114"/>
      <c r="FB440" s="114"/>
      <c r="FC440" s="114"/>
      <c r="FD440" s="114"/>
      <c r="FE440" s="114"/>
      <c r="FF440" s="114"/>
      <c r="FG440" s="114"/>
      <c r="FH440" s="114"/>
      <c r="FI440" s="114"/>
      <c r="FJ440" s="114"/>
      <c r="FK440" s="114"/>
      <c r="FL440" s="114"/>
      <c r="FM440" s="114"/>
      <c r="FN440" s="114"/>
      <c r="FO440" s="114"/>
      <c r="FP440" s="114"/>
      <c r="FQ440" s="114"/>
      <c r="FR440" s="114"/>
      <c r="FS440" s="114"/>
      <c r="FT440" s="114"/>
      <c r="FU440" s="114"/>
      <c r="FV440" s="114"/>
      <c r="FW440" s="114"/>
      <c r="FX440" s="114"/>
      <c r="FY440" s="114"/>
      <c r="FZ440" s="114"/>
      <c r="GA440" s="114"/>
      <c r="GB440" s="114"/>
      <c r="GC440" s="114"/>
      <c r="GD440" s="114"/>
      <c r="GE440" s="114"/>
      <c r="GF440" s="114"/>
      <c r="GG440" s="114"/>
      <c r="GH440" s="114"/>
      <c r="GI440" s="114"/>
      <c r="GJ440" s="114"/>
      <c r="GK440" s="114"/>
      <c r="GL440" s="114"/>
      <c r="GM440" s="114"/>
      <c r="GN440" s="114"/>
      <c r="GO440" s="114"/>
      <c r="GP440" s="114"/>
      <c r="GQ440" s="114"/>
      <c r="GR440" s="114"/>
      <c r="GS440" s="114"/>
      <c r="GT440" s="114"/>
      <c r="GU440" s="114"/>
      <c r="GV440" s="114"/>
      <c r="GW440" s="114"/>
      <c r="GX440" s="114"/>
      <c r="GY440" s="114"/>
      <c r="GZ440" s="114"/>
      <c r="HA440" s="114"/>
      <c r="HB440" s="114"/>
      <c r="HC440" s="114"/>
      <c r="HD440" s="114"/>
      <c r="HE440" s="114"/>
      <c r="HF440" s="114"/>
      <c r="HG440" s="114"/>
      <c r="HH440" s="114"/>
      <c r="HI440" s="114"/>
      <c r="HJ440" s="114"/>
      <c r="HK440" s="114"/>
      <c r="HL440" s="114"/>
      <c r="HM440" s="114"/>
      <c r="HN440" s="114"/>
      <c r="HO440" s="114"/>
      <c r="HP440" s="114"/>
      <c r="HQ440" s="114"/>
      <c r="HR440" s="114"/>
      <c r="HS440" s="114"/>
      <c r="HT440" s="114"/>
      <c r="HU440" s="114"/>
      <c r="HV440" s="114"/>
      <c r="HW440" s="114"/>
      <c r="HX440" s="114"/>
      <c r="HY440" s="114"/>
      <c r="HZ440" s="114"/>
      <c r="IA440" s="114"/>
      <c r="IB440" s="114"/>
      <c r="IC440" s="114"/>
      <c r="ID440" s="114"/>
      <c r="IE440" s="114"/>
      <c r="IF440" s="114"/>
      <c r="IG440" s="114"/>
      <c r="IH440" s="114"/>
      <c r="II440" s="114"/>
    </row>
    <row r="441" spans="1:71" s="100" customFormat="1" ht="15">
      <c r="A441" s="128" t="s">
        <v>314</v>
      </c>
      <c r="B441" s="242" t="s">
        <v>781</v>
      </c>
      <c r="C441" s="68"/>
      <c r="D441" s="36"/>
      <c r="E441" s="69">
        <f t="shared" si="124"/>
        <v>3.3</v>
      </c>
      <c r="F441" s="69">
        <f>SUM(F442:F446)</f>
        <v>0.01</v>
      </c>
      <c r="G441" s="69">
        <f>SUM(G442:G446)</f>
        <v>3.29</v>
      </c>
      <c r="H441" s="69">
        <f aca="true" t="shared" si="138" ref="H441:BG441">SUM(H442:H446)</f>
        <v>1.15</v>
      </c>
      <c r="I441" s="69">
        <f t="shared" si="138"/>
        <v>0</v>
      </c>
      <c r="J441" s="69">
        <f t="shared" si="138"/>
        <v>0</v>
      </c>
      <c r="K441" s="69">
        <f t="shared" si="138"/>
        <v>0.18</v>
      </c>
      <c r="L441" s="69">
        <f t="shared" si="138"/>
        <v>0</v>
      </c>
      <c r="M441" s="69">
        <f t="shared" si="138"/>
        <v>0</v>
      </c>
      <c r="N441" s="69">
        <f t="shared" si="138"/>
        <v>0</v>
      </c>
      <c r="O441" s="69">
        <f t="shared" si="138"/>
        <v>0</v>
      </c>
      <c r="P441" s="69">
        <f t="shared" si="138"/>
        <v>0</v>
      </c>
      <c r="Q441" s="69">
        <f t="shared" si="138"/>
        <v>0</v>
      </c>
      <c r="R441" s="69">
        <f t="shared" si="138"/>
        <v>0</v>
      </c>
      <c r="S441" s="69">
        <f t="shared" si="138"/>
        <v>0</v>
      </c>
      <c r="T441" s="69">
        <f t="shared" si="138"/>
        <v>0</v>
      </c>
      <c r="U441" s="69">
        <f t="shared" si="138"/>
        <v>1.4</v>
      </c>
      <c r="V441" s="69">
        <f t="shared" si="138"/>
        <v>1.4</v>
      </c>
      <c r="W441" s="69">
        <f t="shared" si="138"/>
        <v>0</v>
      </c>
      <c r="X441" s="69">
        <f t="shared" si="138"/>
        <v>0</v>
      </c>
      <c r="Y441" s="69">
        <f t="shared" si="138"/>
        <v>0</v>
      </c>
      <c r="Z441" s="69">
        <f t="shared" si="138"/>
        <v>0</v>
      </c>
      <c r="AA441" s="69">
        <f t="shared" si="138"/>
        <v>0</v>
      </c>
      <c r="AB441" s="69">
        <f t="shared" si="138"/>
        <v>0</v>
      </c>
      <c r="AC441" s="69">
        <f t="shared" si="138"/>
        <v>0.02</v>
      </c>
      <c r="AD441" s="69">
        <f t="shared" si="138"/>
        <v>0.01</v>
      </c>
      <c r="AE441" s="69">
        <f t="shared" si="138"/>
        <v>0</v>
      </c>
      <c r="AF441" s="69">
        <f t="shared" si="138"/>
        <v>0.5</v>
      </c>
      <c r="AG441" s="69">
        <f t="shared" si="138"/>
        <v>0</v>
      </c>
      <c r="AH441" s="69">
        <f t="shared" si="138"/>
        <v>0</v>
      </c>
      <c r="AI441" s="69">
        <f t="shared" si="138"/>
        <v>0</v>
      </c>
      <c r="AJ441" s="69">
        <f t="shared" si="138"/>
        <v>0</v>
      </c>
      <c r="AK441" s="69">
        <f t="shared" si="138"/>
        <v>0</v>
      </c>
      <c r="AL441" s="69">
        <f t="shared" si="138"/>
        <v>0.03</v>
      </c>
      <c r="AM441" s="69">
        <f t="shared" si="138"/>
        <v>0</v>
      </c>
      <c r="AN441" s="69">
        <f t="shared" si="138"/>
        <v>0</v>
      </c>
      <c r="AO441" s="69">
        <f t="shared" si="138"/>
        <v>0</v>
      </c>
      <c r="AP441" s="69">
        <f t="shared" si="138"/>
        <v>0</v>
      </c>
      <c r="AQ441" s="69">
        <f t="shared" si="138"/>
        <v>0</v>
      </c>
      <c r="AR441" s="69">
        <f t="shared" si="138"/>
        <v>0</v>
      </c>
      <c r="AS441" s="69">
        <f t="shared" si="138"/>
        <v>0</v>
      </c>
      <c r="AT441" s="69">
        <f t="shared" si="138"/>
        <v>0</v>
      </c>
      <c r="AU441" s="69">
        <f t="shared" si="138"/>
        <v>0</v>
      </c>
      <c r="AV441" s="69">
        <f t="shared" si="138"/>
        <v>0</v>
      </c>
      <c r="AW441" s="69">
        <f t="shared" si="138"/>
        <v>0</v>
      </c>
      <c r="AX441" s="69">
        <f t="shared" si="138"/>
        <v>0</v>
      </c>
      <c r="AY441" s="69">
        <f t="shared" si="138"/>
        <v>0</v>
      </c>
      <c r="AZ441" s="69">
        <f t="shared" si="138"/>
        <v>0</v>
      </c>
      <c r="BA441" s="69">
        <f t="shared" si="138"/>
        <v>0</v>
      </c>
      <c r="BB441" s="69">
        <f t="shared" si="138"/>
        <v>0</v>
      </c>
      <c r="BC441" s="69">
        <f t="shared" si="138"/>
        <v>0</v>
      </c>
      <c r="BD441" s="69">
        <f t="shared" si="138"/>
        <v>0</v>
      </c>
      <c r="BE441" s="69">
        <f t="shared" si="138"/>
        <v>0</v>
      </c>
      <c r="BF441" s="69">
        <f t="shared" si="138"/>
        <v>0</v>
      </c>
      <c r="BG441" s="69">
        <f t="shared" si="138"/>
        <v>0</v>
      </c>
      <c r="BH441" s="70"/>
      <c r="BI441" s="68"/>
      <c r="BJ441" s="68"/>
      <c r="BK441" s="35"/>
      <c r="BL441" s="245"/>
      <c r="BM441" s="245"/>
      <c r="BN441" s="41"/>
      <c r="BO441" s="143"/>
      <c r="BP441" s="20"/>
      <c r="BS441" s="19"/>
    </row>
    <row r="442" spans="1:71" s="100" customFormat="1" ht="78">
      <c r="A442" s="284">
        <f>+A438+1</f>
        <v>257</v>
      </c>
      <c r="B442" s="292" t="s">
        <v>782</v>
      </c>
      <c r="C442" s="14" t="s">
        <v>71</v>
      </c>
      <c r="D442" s="4" t="s">
        <v>48</v>
      </c>
      <c r="E442" s="45">
        <f t="shared" si="124"/>
        <v>0.14</v>
      </c>
      <c r="F442" s="45">
        <v>0.01</v>
      </c>
      <c r="G442" s="5">
        <f>SUM(H442:M442,Q442,U442,Y442:BG442)</f>
        <v>0.13</v>
      </c>
      <c r="H442" s="97">
        <v>0</v>
      </c>
      <c r="I442" s="97">
        <v>0</v>
      </c>
      <c r="J442" s="97">
        <v>0</v>
      </c>
      <c r="K442" s="97">
        <v>0</v>
      </c>
      <c r="L442" s="97">
        <v>0</v>
      </c>
      <c r="M442" s="97">
        <v>0</v>
      </c>
      <c r="N442" s="97">
        <v>0</v>
      </c>
      <c r="O442" s="97">
        <v>0</v>
      </c>
      <c r="P442" s="97">
        <v>0</v>
      </c>
      <c r="Q442" s="97">
        <v>0</v>
      </c>
      <c r="R442" s="97">
        <v>0</v>
      </c>
      <c r="S442" s="97">
        <v>0</v>
      </c>
      <c r="T442" s="97">
        <v>0</v>
      </c>
      <c r="U442" s="97">
        <v>0</v>
      </c>
      <c r="V442" s="97">
        <v>0</v>
      </c>
      <c r="W442" s="97">
        <v>0</v>
      </c>
      <c r="X442" s="97">
        <v>0</v>
      </c>
      <c r="Y442" s="97">
        <v>0</v>
      </c>
      <c r="Z442" s="97">
        <v>0</v>
      </c>
      <c r="AA442" s="97">
        <v>0</v>
      </c>
      <c r="AB442" s="97">
        <v>0</v>
      </c>
      <c r="AC442" s="97">
        <v>0.02</v>
      </c>
      <c r="AD442" s="97">
        <v>0</v>
      </c>
      <c r="AE442" s="97">
        <v>0</v>
      </c>
      <c r="AF442" s="97">
        <v>0.11</v>
      </c>
      <c r="AG442" s="97">
        <v>0</v>
      </c>
      <c r="AH442" s="97">
        <v>0</v>
      </c>
      <c r="AI442" s="97">
        <v>0</v>
      </c>
      <c r="AJ442" s="97">
        <v>0</v>
      </c>
      <c r="AK442" s="97">
        <v>0</v>
      </c>
      <c r="AL442" s="97">
        <v>0</v>
      </c>
      <c r="AM442" s="97">
        <v>0</v>
      </c>
      <c r="AN442" s="97">
        <v>0</v>
      </c>
      <c r="AO442" s="97">
        <v>0</v>
      </c>
      <c r="AP442" s="97">
        <v>0</v>
      </c>
      <c r="AQ442" s="97">
        <v>0</v>
      </c>
      <c r="AR442" s="97">
        <v>0</v>
      </c>
      <c r="AS442" s="97">
        <v>0</v>
      </c>
      <c r="AT442" s="97">
        <v>0</v>
      </c>
      <c r="AU442" s="97">
        <v>0</v>
      </c>
      <c r="AV442" s="97">
        <v>0</v>
      </c>
      <c r="AW442" s="97">
        <v>0</v>
      </c>
      <c r="AX442" s="97">
        <v>0</v>
      </c>
      <c r="AY442" s="97">
        <v>0</v>
      </c>
      <c r="AZ442" s="97">
        <v>0</v>
      </c>
      <c r="BA442" s="97">
        <v>0</v>
      </c>
      <c r="BB442" s="97">
        <v>0</v>
      </c>
      <c r="BC442" s="97">
        <v>0</v>
      </c>
      <c r="BD442" s="97">
        <v>0</v>
      </c>
      <c r="BE442" s="97">
        <v>0</v>
      </c>
      <c r="BF442" s="97">
        <v>0</v>
      </c>
      <c r="BG442" s="97">
        <v>0</v>
      </c>
      <c r="BH442" s="10" t="s">
        <v>783</v>
      </c>
      <c r="BI442" s="14" t="s">
        <v>71</v>
      </c>
      <c r="BJ442" s="14" t="s">
        <v>1018</v>
      </c>
      <c r="BK442" s="98" t="s">
        <v>120</v>
      </c>
      <c r="BL442" s="99" t="s">
        <v>190</v>
      </c>
      <c r="BM442" s="60" t="s">
        <v>935</v>
      </c>
      <c r="BN442" s="13" t="s">
        <v>1025</v>
      </c>
      <c r="BO442" s="15" t="s">
        <v>1147</v>
      </c>
      <c r="BP442" s="20"/>
      <c r="BS442" s="19"/>
    </row>
    <row r="443" spans="1:69" ht="108.75">
      <c r="A443" s="284"/>
      <c r="B443" s="292"/>
      <c r="C443" s="14" t="s">
        <v>79</v>
      </c>
      <c r="D443" s="4" t="s">
        <v>48</v>
      </c>
      <c r="E443" s="45">
        <f>F443+G443</f>
        <v>0.39</v>
      </c>
      <c r="F443" s="73"/>
      <c r="G443" s="80">
        <f>SUM(H443:M443,Q443,U443,Y443:BG443)</f>
        <v>0.39</v>
      </c>
      <c r="H443" s="48">
        <v>0</v>
      </c>
      <c r="I443" s="48">
        <v>0</v>
      </c>
      <c r="J443" s="48">
        <v>0</v>
      </c>
      <c r="K443" s="48">
        <v>0</v>
      </c>
      <c r="L443" s="48">
        <v>0</v>
      </c>
      <c r="M443" s="48">
        <v>0</v>
      </c>
      <c r="N443" s="48">
        <v>0</v>
      </c>
      <c r="O443" s="48">
        <v>0</v>
      </c>
      <c r="P443" s="48">
        <v>0</v>
      </c>
      <c r="Q443" s="48">
        <v>0</v>
      </c>
      <c r="R443" s="48">
        <v>0</v>
      </c>
      <c r="S443" s="48">
        <v>0</v>
      </c>
      <c r="T443" s="48">
        <v>0</v>
      </c>
      <c r="U443" s="48">
        <v>0</v>
      </c>
      <c r="V443" s="48">
        <v>0</v>
      </c>
      <c r="W443" s="48">
        <v>0</v>
      </c>
      <c r="X443" s="48">
        <v>0</v>
      </c>
      <c r="Y443" s="48">
        <v>0</v>
      </c>
      <c r="Z443" s="48">
        <v>0</v>
      </c>
      <c r="AA443" s="48">
        <v>0</v>
      </c>
      <c r="AB443" s="48">
        <v>0</v>
      </c>
      <c r="AC443" s="48">
        <v>0</v>
      </c>
      <c r="AD443" s="48">
        <v>0</v>
      </c>
      <c r="AE443" s="48">
        <v>0</v>
      </c>
      <c r="AF443" s="48">
        <v>0.39</v>
      </c>
      <c r="AG443" s="48">
        <v>0</v>
      </c>
      <c r="AH443" s="48">
        <v>0</v>
      </c>
      <c r="AI443" s="48">
        <v>0</v>
      </c>
      <c r="AJ443" s="48">
        <v>0</v>
      </c>
      <c r="AK443" s="48">
        <v>0</v>
      </c>
      <c r="AL443" s="48">
        <v>0</v>
      </c>
      <c r="AM443" s="48">
        <v>0</v>
      </c>
      <c r="AN443" s="48">
        <v>0</v>
      </c>
      <c r="AO443" s="48">
        <v>0</v>
      </c>
      <c r="AP443" s="48">
        <v>0</v>
      </c>
      <c r="AQ443" s="48">
        <v>0</v>
      </c>
      <c r="AR443" s="48">
        <v>0</v>
      </c>
      <c r="AS443" s="48">
        <v>0</v>
      </c>
      <c r="AT443" s="48">
        <v>0</v>
      </c>
      <c r="AU443" s="48">
        <v>0</v>
      </c>
      <c r="AV443" s="48">
        <v>0</v>
      </c>
      <c r="AW443" s="48">
        <v>0</v>
      </c>
      <c r="AX443" s="48">
        <v>0</v>
      </c>
      <c r="AY443" s="48">
        <v>0</v>
      </c>
      <c r="AZ443" s="48">
        <v>0</v>
      </c>
      <c r="BA443" s="48">
        <v>0</v>
      </c>
      <c r="BB443" s="48">
        <v>0</v>
      </c>
      <c r="BC443" s="48">
        <v>0</v>
      </c>
      <c r="BD443" s="48">
        <v>0</v>
      </c>
      <c r="BE443" s="48">
        <v>0</v>
      </c>
      <c r="BF443" s="48">
        <v>0</v>
      </c>
      <c r="BG443" s="48">
        <v>0</v>
      </c>
      <c r="BH443" s="10" t="s">
        <v>254</v>
      </c>
      <c r="BI443" s="14" t="s">
        <v>79</v>
      </c>
      <c r="BJ443" s="14" t="s">
        <v>784</v>
      </c>
      <c r="BK443" s="12" t="s">
        <v>68</v>
      </c>
      <c r="BL443" s="99" t="s">
        <v>193</v>
      </c>
      <c r="BM443" s="246" t="s">
        <v>194</v>
      </c>
      <c r="BN443" s="13" t="s">
        <v>1025</v>
      </c>
      <c r="BO443" s="15" t="s">
        <v>1147</v>
      </c>
      <c r="BQ443" s="17"/>
    </row>
    <row r="444" spans="1:69" ht="46.5">
      <c r="A444" s="284"/>
      <c r="B444" s="292"/>
      <c r="C444" s="14" t="s">
        <v>145</v>
      </c>
      <c r="D444" s="4" t="s">
        <v>48</v>
      </c>
      <c r="E444" s="45">
        <f>F444+G444</f>
        <v>0.01</v>
      </c>
      <c r="F444" s="73"/>
      <c r="G444" s="5">
        <f>SUM(H444:M444,Q444,U444,Y444:BG444)</f>
        <v>0.01</v>
      </c>
      <c r="H444" s="84"/>
      <c r="I444" s="84"/>
      <c r="J444" s="84"/>
      <c r="K444" s="84"/>
      <c r="L444" s="84"/>
      <c r="M444" s="46">
        <f>SUM(N444:P444)</f>
        <v>0</v>
      </c>
      <c r="N444" s="84"/>
      <c r="O444" s="84"/>
      <c r="P444" s="84"/>
      <c r="Q444" s="84"/>
      <c r="R444" s="84"/>
      <c r="S444" s="84"/>
      <c r="T444" s="84"/>
      <c r="U444" s="46">
        <f>SUM(V444:X444)</f>
        <v>0</v>
      </c>
      <c r="V444" s="84"/>
      <c r="W444" s="84"/>
      <c r="X444" s="84"/>
      <c r="Y444" s="84"/>
      <c r="Z444" s="84"/>
      <c r="AA444" s="84"/>
      <c r="AB444" s="84"/>
      <c r="AC444" s="46"/>
      <c r="AD444" s="84">
        <v>0.01</v>
      </c>
      <c r="AE444" s="84"/>
      <c r="AF444" s="84"/>
      <c r="AG444" s="84"/>
      <c r="AH444" s="84"/>
      <c r="AI444" s="84"/>
      <c r="AJ444" s="84"/>
      <c r="AK444" s="84"/>
      <c r="AL444" s="84"/>
      <c r="AM444" s="84"/>
      <c r="AN444" s="84"/>
      <c r="AO444" s="84"/>
      <c r="AP444" s="84"/>
      <c r="AQ444" s="84"/>
      <c r="AR444" s="84"/>
      <c r="AS444" s="84"/>
      <c r="AT444" s="46"/>
      <c r="AU444" s="84"/>
      <c r="AV444" s="84"/>
      <c r="AW444" s="84"/>
      <c r="AX444" s="84"/>
      <c r="AY444" s="46"/>
      <c r="AZ444" s="46"/>
      <c r="BA444" s="46"/>
      <c r="BB444" s="84"/>
      <c r="BC444" s="46"/>
      <c r="BD444" s="46"/>
      <c r="BE444" s="46"/>
      <c r="BF444" s="46"/>
      <c r="BG444" s="46"/>
      <c r="BH444" s="10" t="s">
        <v>785</v>
      </c>
      <c r="BI444" s="14" t="s">
        <v>145</v>
      </c>
      <c r="BJ444" s="14" t="s">
        <v>786</v>
      </c>
      <c r="BK444" s="12" t="s">
        <v>120</v>
      </c>
      <c r="BL444" s="99" t="s">
        <v>190</v>
      </c>
      <c r="BM444" s="60" t="s">
        <v>935</v>
      </c>
      <c r="BN444" s="13" t="s">
        <v>1025</v>
      </c>
      <c r="BO444" s="15" t="s">
        <v>1147</v>
      </c>
      <c r="BQ444" s="17"/>
    </row>
    <row r="445" spans="1:69" ht="46.5">
      <c r="A445" s="284"/>
      <c r="B445" s="292"/>
      <c r="C445" s="14" t="s">
        <v>147</v>
      </c>
      <c r="D445" s="4" t="s">
        <v>48</v>
      </c>
      <c r="E445" s="45">
        <f>F445+G445</f>
        <v>1.4</v>
      </c>
      <c r="F445" s="73"/>
      <c r="G445" s="5">
        <f>SUM(H445:M445,Q445,U445,Y445:BG445)</f>
        <v>1.4</v>
      </c>
      <c r="H445" s="232"/>
      <c r="I445" s="232"/>
      <c r="J445" s="232"/>
      <c r="K445" s="232"/>
      <c r="L445" s="232"/>
      <c r="M445" s="80">
        <f>SUM(N445:P445)</f>
        <v>0</v>
      </c>
      <c r="N445" s="232"/>
      <c r="O445" s="232"/>
      <c r="P445" s="232"/>
      <c r="Q445" s="232"/>
      <c r="R445" s="232"/>
      <c r="S445" s="232"/>
      <c r="T445" s="232"/>
      <c r="U445" s="80">
        <f>SUM(V445:X445)</f>
        <v>1.4</v>
      </c>
      <c r="V445" s="232">
        <v>1.4</v>
      </c>
      <c r="W445" s="232"/>
      <c r="X445" s="232"/>
      <c r="Y445" s="232"/>
      <c r="Z445" s="232"/>
      <c r="AA445" s="232"/>
      <c r="AB445" s="232"/>
      <c r="AC445" s="80"/>
      <c r="AD445" s="232"/>
      <c r="AE445" s="232"/>
      <c r="AF445" s="232"/>
      <c r="AG445" s="232"/>
      <c r="AH445" s="232"/>
      <c r="AI445" s="232"/>
      <c r="AJ445" s="232"/>
      <c r="AK445" s="232"/>
      <c r="AL445" s="232"/>
      <c r="AM445" s="232"/>
      <c r="AN445" s="232"/>
      <c r="AO445" s="232"/>
      <c r="AP445" s="232"/>
      <c r="AQ445" s="232"/>
      <c r="AR445" s="232"/>
      <c r="AS445" s="232"/>
      <c r="AT445" s="232"/>
      <c r="AU445" s="232"/>
      <c r="AV445" s="232"/>
      <c r="AW445" s="232"/>
      <c r="AX445" s="232"/>
      <c r="AY445" s="80"/>
      <c r="AZ445" s="80"/>
      <c r="BA445" s="80"/>
      <c r="BB445" s="232"/>
      <c r="BC445" s="80"/>
      <c r="BD445" s="80"/>
      <c r="BE445" s="80"/>
      <c r="BF445" s="80"/>
      <c r="BG445" s="80"/>
      <c r="BH445" s="10" t="s">
        <v>264</v>
      </c>
      <c r="BI445" s="14" t="s">
        <v>147</v>
      </c>
      <c r="BJ445" s="14" t="s">
        <v>1004</v>
      </c>
      <c r="BK445" s="98" t="s">
        <v>120</v>
      </c>
      <c r="BL445" s="99" t="s">
        <v>190</v>
      </c>
      <c r="BM445" s="60" t="s">
        <v>935</v>
      </c>
      <c r="BN445" s="13" t="s">
        <v>1025</v>
      </c>
      <c r="BO445" s="15" t="s">
        <v>1147</v>
      </c>
      <c r="BQ445" s="17"/>
    </row>
    <row r="446" spans="1:69" ht="46.5">
      <c r="A446" s="1">
        <f>+A442+1</f>
        <v>258</v>
      </c>
      <c r="B446" s="247" t="s">
        <v>787</v>
      </c>
      <c r="C446" s="42" t="s">
        <v>65</v>
      </c>
      <c r="D446" s="4" t="s">
        <v>49</v>
      </c>
      <c r="E446" s="45">
        <f>F446+G446</f>
        <v>1.3599999999999999</v>
      </c>
      <c r="F446" s="73"/>
      <c r="G446" s="80">
        <f>SUM(H446:M446,Q446,U446,Y446:BG446)</f>
        <v>1.3599999999999999</v>
      </c>
      <c r="H446" s="48">
        <v>1.15</v>
      </c>
      <c r="I446" s="48">
        <v>0</v>
      </c>
      <c r="J446" s="48">
        <v>0</v>
      </c>
      <c r="K446" s="48">
        <v>0.18</v>
      </c>
      <c r="L446" s="48">
        <v>0</v>
      </c>
      <c r="M446" s="48">
        <v>0</v>
      </c>
      <c r="N446" s="48">
        <v>0</v>
      </c>
      <c r="O446" s="48">
        <v>0</v>
      </c>
      <c r="P446" s="48">
        <v>0</v>
      </c>
      <c r="Q446" s="48">
        <v>0</v>
      </c>
      <c r="R446" s="48">
        <v>0</v>
      </c>
      <c r="S446" s="48">
        <v>0</v>
      </c>
      <c r="T446" s="48">
        <v>0</v>
      </c>
      <c r="U446" s="48">
        <v>0</v>
      </c>
      <c r="V446" s="48">
        <v>0</v>
      </c>
      <c r="W446" s="48">
        <v>0</v>
      </c>
      <c r="X446" s="48">
        <v>0</v>
      </c>
      <c r="Y446" s="48">
        <v>0</v>
      </c>
      <c r="Z446" s="48">
        <v>0</v>
      </c>
      <c r="AA446" s="48">
        <v>0</v>
      </c>
      <c r="AB446" s="48">
        <v>0</v>
      </c>
      <c r="AC446" s="48">
        <v>0</v>
      </c>
      <c r="AD446" s="48">
        <v>0</v>
      </c>
      <c r="AE446" s="48">
        <v>0</v>
      </c>
      <c r="AF446" s="48">
        <v>0</v>
      </c>
      <c r="AG446" s="48">
        <v>0</v>
      </c>
      <c r="AH446" s="48">
        <v>0</v>
      </c>
      <c r="AI446" s="48">
        <v>0</v>
      </c>
      <c r="AJ446" s="48">
        <v>0</v>
      </c>
      <c r="AK446" s="48">
        <v>0</v>
      </c>
      <c r="AL446" s="48">
        <v>0.03</v>
      </c>
      <c r="AM446" s="48">
        <v>0</v>
      </c>
      <c r="AN446" s="48">
        <v>0</v>
      </c>
      <c r="AO446" s="48">
        <v>0</v>
      </c>
      <c r="AP446" s="48">
        <v>0</v>
      </c>
      <c r="AQ446" s="48">
        <v>0</v>
      </c>
      <c r="AR446" s="48">
        <v>0</v>
      </c>
      <c r="AS446" s="48">
        <v>0</v>
      </c>
      <c r="AT446" s="48">
        <v>0</v>
      </c>
      <c r="AU446" s="48">
        <v>0</v>
      </c>
      <c r="AV446" s="48">
        <v>0</v>
      </c>
      <c r="AW446" s="48">
        <v>0</v>
      </c>
      <c r="AX446" s="48">
        <v>0</v>
      </c>
      <c r="AY446" s="48">
        <v>0</v>
      </c>
      <c r="AZ446" s="48">
        <v>0</v>
      </c>
      <c r="BA446" s="48">
        <v>0</v>
      </c>
      <c r="BB446" s="48">
        <v>0</v>
      </c>
      <c r="BC446" s="48">
        <v>0</v>
      </c>
      <c r="BD446" s="48">
        <v>0</v>
      </c>
      <c r="BE446" s="48">
        <v>0</v>
      </c>
      <c r="BF446" s="48">
        <v>0</v>
      </c>
      <c r="BG446" s="48">
        <v>0</v>
      </c>
      <c r="BH446" s="165" t="s">
        <v>788</v>
      </c>
      <c r="BI446" s="42" t="s">
        <v>65</v>
      </c>
      <c r="BJ446" s="14" t="s">
        <v>789</v>
      </c>
      <c r="BK446" s="82" t="s">
        <v>120</v>
      </c>
      <c r="BL446" s="13" t="s">
        <v>428</v>
      </c>
      <c r="BM446" s="60" t="s">
        <v>935</v>
      </c>
      <c r="BN446" s="13" t="s">
        <v>1024</v>
      </c>
      <c r="BO446" s="15" t="s">
        <v>1147</v>
      </c>
      <c r="BQ446" s="17"/>
    </row>
    <row r="447" spans="1:71" s="100" customFormat="1" ht="15">
      <c r="A447" s="248" t="s">
        <v>314</v>
      </c>
      <c r="B447" s="249" t="s">
        <v>790</v>
      </c>
      <c r="C447" s="250"/>
      <c r="D447" s="36"/>
      <c r="E447" s="123">
        <f>SUM(F447:G447)</f>
        <v>35.260000000000005</v>
      </c>
      <c r="F447" s="251">
        <f>SUM(F448:F464)</f>
        <v>0</v>
      </c>
      <c r="G447" s="123">
        <f>SUM(G448:G464)</f>
        <v>35.260000000000005</v>
      </c>
      <c r="H447" s="123">
        <f>SUM(H448:H464)</f>
        <v>6.66</v>
      </c>
      <c r="I447" s="123">
        <f aca="true" t="shared" si="139" ref="I447:BG447">SUM(I448:I464)</f>
        <v>3.3200000000000003</v>
      </c>
      <c r="J447" s="123">
        <f t="shared" si="139"/>
        <v>0</v>
      </c>
      <c r="K447" s="123">
        <f t="shared" si="139"/>
        <v>10.42</v>
      </c>
      <c r="L447" s="123">
        <f t="shared" si="139"/>
        <v>5.710000000000001</v>
      </c>
      <c r="M447" s="123">
        <f t="shared" si="139"/>
        <v>0</v>
      </c>
      <c r="N447" s="123">
        <f t="shared" si="139"/>
        <v>0</v>
      </c>
      <c r="O447" s="123">
        <f t="shared" si="139"/>
        <v>0</v>
      </c>
      <c r="P447" s="123">
        <f t="shared" si="139"/>
        <v>0</v>
      </c>
      <c r="Q447" s="123">
        <f t="shared" si="139"/>
        <v>0</v>
      </c>
      <c r="R447" s="123">
        <f t="shared" si="139"/>
        <v>0</v>
      </c>
      <c r="S447" s="123">
        <f t="shared" si="139"/>
        <v>0</v>
      </c>
      <c r="T447" s="123">
        <f t="shared" si="139"/>
        <v>0</v>
      </c>
      <c r="U447" s="123">
        <f t="shared" si="139"/>
        <v>8.31</v>
      </c>
      <c r="V447" s="123">
        <f t="shared" si="139"/>
        <v>8.31</v>
      </c>
      <c r="W447" s="123">
        <f t="shared" si="139"/>
        <v>0</v>
      </c>
      <c r="X447" s="123">
        <f t="shared" si="139"/>
        <v>0</v>
      </c>
      <c r="Y447" s="123">
        <f t="shared" si="139"/>
        <v>0.8399999999999999</v>
      </c>
      <c r="Z447" s="123">
        <f t="shared" si="139"/>
        <v>0</v>
      </c>
      <c r="AA447" s="123">
        <f t="shared" si="139"/>
        <v>0</v>
      </c>
      <c r="AB447" s="123">
        <f t="shared" si="139"/>
        <v>0</v>
      </c>
      <c r="AC447" s="123">
        <f t="shared" si="139"/>
        <v>0</v>
      </c>
      <c r="AD447" s="123">
        <f t="shared" si="139"/>
        <v>0</v>
      </c>
      <c r="AE447" s="123">
        <f t="shared" si="139"/>
        <v>0</v>
      </c>
      <c r="AF447" s="123">
        <f t="shared" si="139"/>
        <v>0</v>
      </c>
      <c r="AG447" s="123">
        <f t="shared" si="139"/>
        <v>0</v>
      </c>
      <c r="AH447" s="123">
        <f t="shared" si="139"/>
        <v>0</v>
      </c>
      <c r="AI447" s="123">
        <f t="shared" si="139"/>
        <v>0</v>
      </c>
      <c r="AJ447" s="123">
        <f t="shared" si="139"/>
        <v>0</v>
      </c>
      <c r="AK447" s="123">
        <f t="shared" si="139"/>
        <v>0</v>
      </c>
      <c r="AL447" s="123">
        <f t="shared" si="139"/>
        <v>0</v>
      </c>
      <c r="AM447" s="123">
        <f t="shared" si="139"/>
        <v>0</v>
      </c>
      <c r="AN447" s="123">
        <f t="shared" si="139"/>
        <v>0</v>
      </c>
      <c r="AO447" s="123">
        <f t="shared" si="139"/>
        <v>0</v>
      </c>
      <c r="AP447" s="123">
        <f t="shared" si="139"/>
        <v>0</v>
      </c>
      <c r="AQ447" s="123">
        <f t="shared" si="139"/>
        <v>0</v>
      </c>
      <c r="AR447" s="123">
        <f t="shared" si="139"/>
        <v>0</v>
      </c>
      <c r="AS447" s="123">
        <f t="shared" si="139"/>
        <v>0</v>
      </c>
      <c r="AT447" s="123">
        <f t="shared" si="139"/>
        <v>0</v>
      </c>
      <c r="AU447" s="123">
        <f t="shared" si="139"/>
        <v>0</v>
      </c>
      <c r="AV447" s="123">
        <f t="shared" si="139"/>
        <v>0</v>
      </c>
      <c r="AW447" s="123">
        <f t="shared" si="139"/>
        <v>0</v>
      </c>
      <c r="AX447" s="123">
        <f t="shared" si="139"/>
        <v>0</v>
      </c>
      <c r="AY447" s="123">
        <f t="shared" si="139"/>
        <v>0</v>
      </c>
      <c r="AZ447" s="123">
        <f t="shared" si="139"/>
        <v>0</v>
      </c>
      <c r="BA447" s="123">
        <f t="shared" si="139"/>
        <v>0</v>
      </c>
      <c r="BB447" s="123">
        <f t="shared" si="139"/>
        <v>0</v>
      </c>
      <c r="BC447" s="123">
        <f t="shared" si="139"/>
        <v>0</v>
      </c>
      <c r="BD447" s="123">
        <f t="shared" si="139"/>
        <v>0</v>
      </c>
      <c r="BE447" s="123">
        <f t="shared" si="139"/>
        <v>0</v>
      </c>
      <c r="BF447" s="123">
        <f t="shared" si="139"/>
        <v>0</v>
      </c>
      <c r="BG447" s="123">
        <f t="shared" si="139"/>
        <v>0</v>
      </c>
      <c r="BH447" s="70"/>
      <c r="BI447" s="250"/>
      <c r="BJ447" s="68"/>
      <c r="BK447" s="238"/>
      <c r="BL447" s="245"/>
      <c r="BM447" s="245"/>
      <c r="BN447" s="41"/>
      <c r="BO447" s="143"/>
      <c r="BP447" s="20"/>
      <c r="BS447" s="19"/>
    </row>
    <row r="448" spans="1:69" ht="46.5">
      <c r="A448" s="71">
        <f>A446+1</f>
        <v>259</v>
      </c>
      <c r="B448" s="252" t="s">
        <v>791</v>
      </c>
      <c r="C448" s="42" t="s">
        <v>792</v>
      </c>
      <c r="D448" s="4" t="s">
        <v>49</v>
      </c>
      <c r="E448" s="45">
        <f aca="true" t="shared" si="140" ref="E448:E469">F448+G448</f>
        <v>4.74</v>
      </c>
      <c r="F448" s="45"/>
      <c r="G448" s="5">
        <f aca="true" t="shared" si="141" ref="G448:G462">SUM(H448:M448,Q448,U448,Y448:BG448)</f>
        <v>4.74</v>
      </c>
      <c r="H448" s="46">
        <v>0.92</v>
      </c>
      <c r="I448" s="46">
        <v>1.61</v>
      </c>
      <c r="J448" s="46"/>
      <c r="K448" s="46">
        <v>1.35</v>
      </c>
      <c r="L448" s="46">
        <v>0.44</v>
      </c>
      <c r="M448" s="46"/>
      <c r="N448" s="46"/>
      <c r="O448" s="46"/>
      <c r="P448" s="46"/>
      <c r="Q448" s="46"/>
      <c r="R448" s="46"/>
      <c r="S448" s="46"/>
      <c r="T448" s="46"/>
      <c r="U448" s="6">
        <f>SUM(V448:X448)</f>
        <v>0.3</v>
      </c>
      <c r="V448" s="84">
        <v>0.3</v>
      </c>
      <c r="W448" s="84"/>
      <c r="X448" s="140"/>
      <c r="Y448" s="140">
        <v>0.12</v>
      </c>
      <c r="Z448" s="140"/>
      <c r="AA448" s="140"/>
      <c r="AB448" s="140"/>
      <c r="AC448" s="140"/>
      <c r="AD448" s="140"/>
      <c r="AE448" s="140"/>
      <c r="AF448" s="140"/>
      <c r="AG448" s="140"/>
      <c r="AH448" s="140"/>
      <c r="AI448" s="140"/>
      <c r="AJ448" s="140"/>
      <c r="AK448" s="140"/>
      <c r="AL448" s="140"/>
      <c r="AM448" s="140"/>
      <c r="AN448" s="140"/>
      <c r="AO448" s="140"/>
      <c r="AP448" s="140"/>
      <c r="AQ448" s="140"/>
      <c r="AR448" s="140"/>
      <c r="AS448" s="140"/>
      <c r="AT448" s="140"/>
      <c r="AU448" s="140"/>
      <c r="AV448" s="140"/>
      <c r="AW448" s="140"/>
      <c r="AX448" s="140"/>
      <c r="AY448" s="140"/>
      <c r="AZ448" s="140"/>
      <c r="BA448" s="140"/>
      <c r="BB448" s="140"/>
      <c r="BC448" s="140"/>
      <c r="BD448" s="140"/>
      <c r="BE448" s="140"/>
      <c r="BF448" s="140"/>
      <c r="BG448" s="140"/>
      <c r="BH448" s="11" t="s">
        <v>793</v>
      </c>
      <c r="BI448" s="42" t="s">
        <v>792</v>
      </c>
      <c r="BJ448" s="4"/>
      <c r="BK448" s="82" t="s">
        <v>386</v>
      </c>
      <c r="BL448" s="99" t="s">
        <v>923</v>
      </c>
      <c r="BM448" s="14" t="s">
        <v>935</v>
      </c>
      <c r="BN448" s="13" t="s">
        <v>1024</v>
      </c>
      <c r="BO448" s="15" t="s">
        <v>1147</v>
      </c>
      <c r="BQ448" s="17"/>
    </row>
    <row r="449" spans="1:69" ht="35.25" customHeight="1">
      <c r="A449" s="284">
        <f>A448+1</f>
        <v>260</v>
      </c>
      <c r="B449" s="285" t="s">
        <v>794</v>
      </c>
      <c r="C449" s="42" t="s">
        <v>82</v>
      </c>
      <c r="D449" s="4" t="s">
        <v>48</v>
      </c>
      <c r="E449" s="45">
        <f t="shared" si="140"/>
        <v>2.14</v>
      </c>
      <c r="F449" s="45"/>
      <c r="G449" s="5">
        <f t="shared" si="141"/>
        <v>2.14</v>
      </c>
      <c r="H449" s="46">
        <v>0.12</v>
      </c>
      <c r="I449" s="46">
        <v>0.04</v>
      </c>
      <c r="J449" s="46"/>
      <c r="K449" s="46">
        <v>0.62</v>
      </c>
      <c r="L449" s="46">
        <v>0.76</v>
      </c>
      <c r="M449" s="46"/>
      <c r="N449" s="46"/>
      <c r="O449" s="46"/>
      <c r="P449" s="46"/>
      <c r="Q449" s="46"/>
      <c r="R449" s="46"/>
      <c r="S449" s="46"/>
      <c r="T449" s="46"/>
      <c r="U449" s="46">
        <f aca="true" t="shared" si="142" ref="U449:U454">SUM(V449:X449)</f>
        <v>0.6</v>
      </c>
      <c r="V449" s="253">
        <f>0.61-0.01</f>
        <v>0.6</v>
      </c>
      <c r="W449" s="84"/>
      <c r="X449" s="84"/>
      <c r="Y449" s="84"/>
      <c r="Z449" s="140"/>
      <c r="AA449" s="140"/>
      <c r="AB449" s="140"/>
      <c r="AC449" s="84"/>
      <c r="AD449" s="84"/>
      <c r="AE449" s="84"/>
      <c r="AF449" s="84"/>
      <c r="AG449" s="84"/>
      <c r="AH449" s="140"/>
      <c r="AI449" s="84"/>
      <c r="AJ449" s="84"/>
      <c r="AK449" s="84"/>
      <c r="AL449" s="84"/>
      <c r="AM449" s="84"/>
      <c r="AN449" s="84"/>
      <c r="AO449" s="140"/>
      <c r="AP449" s="140"/>
      <c r="AQ449" s="140"/>
      <c r="AR449" s="140"/>
      <c r="AS449" s="140"/>
      <c r="AT449" s="84"/>
      <c r="AU449" s="84"/>
      <c r="AV449" s="84"/>
      <c r="AW449" s="84"/>
      <c r="AX449" s="84"/>
      <c r="AY449" s="84"/>
      <c r="AZ449" s="84"/>
      <c r="BA449" s="84"/>
      <c r="BB449" s="84"/>
      <c r="BC449" s="84"/>
      <c r="BD449" s="84"/>
      <c r="BE449" s="84"/>
      <c r="BF449" s="84"/>
      <c r="BG449" s="84"/>
      <c r="BH449" s="11" t="s">
        <v>254</v>
      </c>
      <c r="BI449" s="42" t="s">
        <v>82</v>
      </c>
      <c r="BJ449" s="14"/>
      <c r="BK449" s="82" t="s">
        <v>386</v>
      </c>
      <c r="BL449" s="99" t="s">
        <v>190</v>
      </c>
      <c r="BM449" s="14" t="s">
        <v>935</v>
      </c>
      <c r="BN449" s="13" t="s">
        <v>1024</v>
      </c>
      <c r="BO449" s="15" t="s">
        <v>1147</v>
      </c>
      <c r="BQ449" s="17"/>
    </row>
    <row r="450" spans="1:69" ht="35.25" customHeight="1">
      <c r="A450" s="284"/>
      <c r="B450" s="285"/>
      <c r="C450" s="4" t="s">
        <v>87</v>
      </c>
      <c r="D450" s="4" t="s">
        <v>48</v>
      </c>
      <c r="E450" s="45">
        <f t="shared" si="140"/>
        <v>1.0899999999999999</v>
      </c>
      <c r="F450" s="45"/>
      <c r="G450" s="5">
        <f t="shared" si="141"/>
        <v>1.0899999999999999</v>
      </c>
      <c r="H450" s="48">
        <v>0.03</v>
      </c>
      <c r="I450" s="48"/>
      <c r="J450" s="48"/>
      <c r="K450" s="48">
        <v>0.2</v>
      </c>
      <c r="L450" s="48">
        <v>0.4</v>
      </c>
      <c r="M450" s="48"/>
      <c r="N450" s="48"/>
      <c r="O450" s="48"/>
      <c r="P450" s="48"/>
      <c r="Q450" s="48"/>
      <c r="R450" s="48"/>
      <c r="S450" s="48"/>
      <c r="T450" s="48"/>
      <c r="U450" s="6">
        <f t="shared" si="142"/>
        <v>0.45999999999999996</v>
      </c>
      <c r="V450" s="253">
        <v>0.45999999999999996</v>
      </c>
      <c r="W450" s="120"/>
      <c r="X450" s="120"/>
      <c r="Y450" s="120"/>
      <c r="Z450" s="120"/>
      <c r="AA450" s="120"/>
      <c r="AB450" s="120"/>
      <c r="AC450" s="120"/>
      <c r="AD450" s="120"/>
      <c r="AE450" s="120"/>
      <c r="AF450" s="120"/>
      <c r="AG450" s="120"/>
      <c r="AH450" s="120"/>
      <c r="AI450" s="120"/>
      <c r="AJ450" s="120"/>
      <c r="AK450" s="62"/>
      <c r="AL450" s="62"/>
      <c r="AM450" s="62"/>
      <c r="AN450" s="62"/>
      <c r="AO450" s="62"/>
      <c r="AP450" s="62"/>
      <c r="AQ450" s="62"/>
      <c r="AR450" s="62"/>
      <c r="AS450" s="62"/>
      <c r="AT450" s="120"/>
      <c r="AU450" s="120"/>
      <c r="AV450" s="120"/>
      <c r="AW450" s="120"/>
      <c r="AX450" s="120"/>
      <c r="AY450" s="120"/>
      <c r="AZ450" s="120"/>
      <c r="BA450" s="120"/>
      <c r="BB450" s="120"/>
      <c r="BC450" s="120"/>
      <c r="BD450" s="120"/>
      <c r="BE450" s="120"/>
      <c r="BF450" s="120"/>
      <c r="BG450" s="120"/>
      <c r="BH450" s="11" t="s">
        <v>254</v>
      </c>
      <c r="BI450" s="4" t="s">
        <v>87</v>
      </c>
      <c r="BJ450" s="14"/>
      <c r="BK450" s="82" t="s">
        <v>386</v>
      </c>
      <c r="BL450" s="99" t="s">
        <v>190</v>
      </c>
      <c r="BM450" s="14" t="s">
        <v>935</v>
      </c>
      <c r="BN450" s="13" t="s">
        <v>1025</v>
      </c>
      <c r="BO450" s="15" t="s">
        <v>1147</v>
      </c>
      <c r="BQ450" s="17"/>
    </row>
    <row r="451" spans="1:69" ht="35.25" customHeight="1">
      <c r="A451" s="284"/>
      <c r="B451" s="285"/>
      <c r="C451" s="42" t="s">
        <v>130</v>
      </c>
      <c r="D451" s="4" t="s">
        <v>48</v>
      </c>
      <c r="E451" s="45">
        <f t="shared" si="140"/>
        <v>1.4600000000000002</v>
      </c>
      <c r="F451" s="45"/>
      <c r="G451" s="5">
        <f t="shared" si="141"/>
        <v>1.4600000000000002</v>
      </c>
      <c r="H451" s="46">
        <v>0.1</v>
      </c>
      <c r="I451" s="46">
        <v>0.1</v>
      </c>
      <c r="J451" s="46"/>
      <c r="K451" s="46">
        <v>0.1</v>
      </c>
      <c r="L451" s="46">
        <v>0.1</v>
      </c>
      <c r="M451" s="46"/>
      <c r="N451" s="46"/>
      <c r="O451" s="46"/>
      <c r="P451" s="46"/>
      <c r="Q451" s="46"/>
      <c r="R451" s="46"/>
      <c r="S451" s="46"/>
      <c r="T451" s="46"/>
      <c r="U451" s="6">
        <f t="shared" si="142"/>
        <v>0.9600000000000001</v>
      </c>
      <c r="V451" s="253">
        <v>0.9600000000000001</v>
      </c>
      <c r="W451" s="84"/>
      <c r="X451" s="84"/>
      <c r="Y451" s="84">
        <v>0.1</v>
      </c>
      <c r="Z451" s="140"/>
      <c r="AA451" s="140"/>
      <c r="AB451" s="140"/>
      <c r="AC451" s="140"/>
      <c r="AD451" s="140"/>
      <c r="AE451" s="140"/>
      <c r="AF451" s="140"/>
      <c r="AG451" s="140"/>
      <c r="AH451" s="140"/>
      <c r="AI451" s="140"/>
      <c r="AJ451" s="140"/>
      <c r="AK451" s="140"/>
      <c r="AL451" s="140"/>
      <c r="AM451" s="140"/>
      <c r="AN451" s="140"/>
      <c r="AO451" s="140"/>
      <c r="AP451" s="140"/>
      <c r="AQ451" s="140"/>
      <c r="AR451" s="140"/>
      <c r="AS451" s="140"/>
      <c r="AT451" s="140"/>
      <c r="AU451" s="140"/>
      <c r="AV451" s="140"/>
      <c r="AW451" s="140"/>
      <c r="AX451" s="140"/>
      <c r="AY451" s="140"/>
      <c r="AZ451" s="140"/>
      <c r="BA451" s="140"/>
      <c r="BB451" s="140"/>
      <c r="BC451" s="140"/>
      <c r="BD451" s="140"/>
      <c r="BE451" s="140"/>
      <c r="BF451" s="140"/>
      <c r="BG451" s="140"/>
      <c r="BH451" s="11" t="s">
        <v>254</v>
      </c>
      <c r="BI451" s="42" t="s">
        <v>130</v>
      </c>
      <c r="BJ451" s="14"/>
      <c r="BK451" s="82" t="s">
        <v>386</v>
      </c>
      <c r="BL451" s="99" t="s">
        <v>190</v>
      </c>
      <c r="BM451" s="14" t="s">
        <v>935</v>
      </c>
      <c r="BN451" s="13" t="s">
        <v>1025</v>
      </c>
      <c r="BO451" s="15" t="s">
        <v>1147</v>
      </c>
      <c r="BQ451" s="17"/>
    </row>
    <row r="452" spans="1:69" ht="46.5">
      <c r="A452" s="284"/>
      <c r="B452" s="285"/>
      <c r="C452" s="14" t="s">
        <v>79</v>
      </c>
      <c r="D452" s="4" t="s">
        <v>48</v>
      </c>
      <c r="E452" s="45">
        <f t="shared" si="140"/>
        <v>1.91</v>
      </c>
      <c r="F452" s="45"/>
      <c r="G452" s="5">
        <f t="shared" si="141"/>
        <v>1.91</v>
      </c>
      <c r="H452" s="46">
        <v>0.73</v>
      </c>
      <c r="I452" s="46">
        <v>0.11</v>
      </c>
      <c r="J452" s="46"/>
      <c r="K452" s="46">
        <v>0.39</v>
      </c>
      <c r="L452" s="46">
        <v>0.15</v>
      </c>
      <c r="M452" s="46"/>
      <c r="N452" s="46"/>
      <c r="O452" s="46"/>
      <c r="P452" s="46"/>
      <c r="Q452" s="46"/>
      <c r="R452" s="46"/>
      <c r="S452" s="46"/>
      <c r="T452" s="46"/>
      <c r="U452" s="6">
        <f t="shared" si="142"/>
        <v>0.5</v>
      </c>
      <c r="V452" s="253">
        <v>0.5</v>
      </c>
      <c r="W452" s="84"/>
      <c r="X452" s="140"/>
      <c r="Y452" s="140">
        <v>0.03</v>
      </c>
      <c r="Z452" s="140"/>
      <c r="AA452" s="140"/>
      <c r="AB452" s="140"/>
      <c r="AC452" s="140"/>
      <c r="AD452" s="140"/>
      <c r="AE452" s="140"/>
      <c r="AF452" s="140"/>
      <c r="AG452" s="140"/>
      <c r="AH452" s="140"/>
      <c r="AI452" s="140"/>
      <c r="AJ452" s="140"/>
      <c r="AK452" s="140"/>
      <c r="AL452" s="140"/>
      <c r="AM452" s="140"/>
      <c r="AN452" s="140"/>
      <c r="AO452" s="140"/>
      <c r="AP452" s="140"/>
      <c r="AQ452" s="140"/>
      <c r="AR452" s="140"/>
      <c r="AS452" s="140"/>
      <c r="AT452" s="140"/>
      <c r="AU452" s="140"/>
      <c r="AV452" s="140"/>
      <c r="AW452" s="140"/>
      <c r="AX452" s="140"/>
      <c r="AY452" s="140"/>
      <c r="AZ452" s="140"/>
      <c r="BA452" s="140"/>
      <c r="BB452" s="140"/>
      <c r="BC452" s="140"/>
      <c r="BD452" s="140"/>
      <c r="BE452" s="140"/>
      <c r="BF452" s="140"/>
      <c r="BG452" s="140"/>
      <c r="BH452" s="11" t="s">
        <v>254</v>
      </c>
      <c r="BI452" s="14" t="s">
        <v>79</v>
      </c>
      <c r="BJ452" s="4"/>
      <c r="BK452" s="82" t="s">
        <v>386</v>
      </c>
      <c r="BL452" s="99" t="s">
        <v>190</v>
      </c>
      <c r="BM452" s="14" t="s">
        <v>935</v>
      </c>
      <c r="BN452" s="13" t="s">
        <v>1025</v>
      </c>
      <c r="BO452" s="15" t="s">
        <v>1147</v>
      </c>
      <c r="BQ452" s="17"/>
    </row>
    <row r="453" spans="1:69" ht="46.5">
      <c r="A453" s="284"/>
      <c r="B453" s="285"/>
      <c r="C453" s="42" t="s">
        <v>122</v>
      </c>
      <c r="D453" s="4" t="s">
        <v>48</v>
      </c>
      <c r="E453" s="45">
        <f t="shared" si="140"/>
        <v>2.7800000000000002</v>
      </c>
      <c r="F453" s="45"/>
      <c r="G453" s="5">
        <f t="shared" si="141"/>
        <v>2.7800000000000002</v>
      </c>
      <c r="H453" s="46"/>
      <c r="I453" s="46">
        <v>0.34</v>
      </c>
      <c r="J453" s="46"/>
      <c r="K453" s="46">
        <v>1.45</v>
      </c>
      <c r="L453" s="46">
        <v>0.67</v>
      </c>
      <c r="M453" s="46"/>
      <c r="N453" s="46"/>
      <c r="O453" s="97"/>
      <c r="P453" s="46"/>
      <c r="Q453" s="46"/>
      <c r="R453" s="46"/>
      <c r="S453" s="46"/>
      <c r="T453" s="46"/>
      <c r="U453" s="6">
        <f t="shared" si="142"/>
        <v>0.28</v>
      </c>
      <c r="V453" s="254">
        <v>0.28</v>
      </c>
      <c r="W453" s="84"/>
      <c r="X453" s="140"/>
      <c r="Y453" s="140">
        <v>0.04</v>
      </c>
      <c r="Z453" s="140"/>
      <c r="AA453" s="140"/>
      <c r="AB453" s="140"/>
      <c r="AC453" s="140"/>
      <c r="AD453" s="140"/>
      <c r="AE453" s="140"/>
      <c r="AF453" s="140"/>
      <c r="AG453" s="140"/>
      <c r="AH453" s="140"/>
      <c r="AI453" s="140"/>
      <c r="AJ453" s="140"/>
      <c r="AK453" s="140"/>
      <c r="AL453" s="140"/>
      <c r="AM453" s="140"/>
      <c r="AN453" s="140"/>
      <c r="AO453" s="140"/>
      <c r="AP453" s="140"/>
      <c r="AQ453" s="140"/>
      <c r="AR453" s="140"/>
      <c r="AS453" s="140"/>
      <c r="AT453" s="140"/>
      <c r="AU453" s="140"/>
      <c r="AV453" s="140"/>
      <c r="AW453" s="140"/>
      <c r="AX453" s="140"/>
      <c r="AY453" s="140"/>
      <c r="AZ453" s="140"/>
      <c r="BA453" s="140"/>
      <c r="BB453" s="140"/>
      <c r="BC453" s="140"/>
      <c r="BD453" s="140"/>
      <c r="BE453" s="140"/>
      <c r="BF453" s="140"/>
      <c r="BG453" s="140"/>
      <c r="BH453" s="11" t="s">
        <v>254</v>
      </c>
      <c r="BI453" s="42" t="s">
        <v>122</v>
      </c>
      <c r="BJ453" s="4"/>
      <c r="BK453" s="82" t="s">
        <v>386</v>
      </c>
      <c r="BL453" s="99" t="s">
        <v>190</v>
      </c>
      <c r="BM453" s="14" t="s">
        <v>935</v>
      </c>
      <c r="BN453" s="13" t="s">
        <v>1024</v>
      </c>
      <c r="BO453" s="15" t="s">
        <v>1147</v>
      </c>
      <c r="BQ453" s="17"/>
    </row>
    <row r="454" spans="1:69" ht="46.5">
      <c r="A454" s="284"/>
      <c r="B454" s="285"/>
      <c r="C454" s="56" t="s">
        <v>134</v>
      </c>
      <c r="D454" s="4" t="s">
        <v>48</v>
      </c>
      <c r="E454" s="45">
        <f t="shared" si="140"/>
        <v>1.5499999999999998</v>
      </c>
      <c r="F454" s="45"/>
      <c r="G454" s="5">
        <f t="shared" si="141"/>
        <v>1.5499999999999998</v>
      </c>
      <c r="H454" s="57">
        <v>0.27</v>
      </c>
      <c r="I454" s="57">
        <v>0.37</v>
      </c>
      <c r="J454" s="76"/>
      <c r="K454" s="57">
        <v>0.6</v>
      </c>
      <c r="L454" s="57"/>
      <c r="M454" s="10">
        <f>SUM(N454:P454)</f>
        <v>0</v>
      </c>
      <c r="N454" s="76"/>
      <c r="O454" s="76"/>
      <c r="P454" s="76"/>
      <c r="Q454" s="6">
        <f>R454+S454+T454</f>
        <v>0</v>
      </c>
      <c r="R454" s="76"/>
      <c r="S454" s="76"/>
      <c r="T454" s="76"/>
      <c r="U454" s="6">
        <f t="shared" si="142"/>
        <v>0.16</v>
      </c>
      <c r="V454" s="253">
        <v>0.16</v>
      </c>
      <c r="W454" s="76"/>
      <c r="X454" s="76"/>
      <c r="Y454" s="76">
        <v>0.15</v>
      </c>
      <c r="Z454" s="76"/>
      <c r="AA454" s="76"/>
      <c r="AB454" s="76"/>
      <c r="AC454" s="76"/>
      <c r="AD454" s="76"/>
      <c r="AE454" s="76"/>
      <c r="AF454" s="76"/>
      <c r="AG454" s="76"/>
      <c r="AH454" s="76"/>
      <c r="AI454" s="76"/>
      <c r="AJ454" s="76"/>
      <c r="AK454" s="76"/>
      <c r="AL454" s="76"/>
      <c r="AM454" s="76"/>
      <c r="AN454" s="76"/>
      <c r="AO454" s="76"/>
      <c r="AP454" s="76"/>
      <c r="AQ454" s="76"/>
      <c r="AR454" s="76"/>
      <c r="AS454" s="76"/>
      <c r="AT454" s="10"/>
      <c r="AU454" s="76"/>
      <c r="AV454" s="76"/>
      <c r="AW454" s="76"/>
      <c r="AX454" s="76"/>
      <c r="AY454" s="76"/>
      <c r="AZ454" s="76"/>
      <c r="BA454" s="76"/>
      <c r="BB454" s="76"/>
      <c r="BC454" s="76"/>
      <c r="BD454" s="76"/>
      <c r="BE454" s="76"/>
      <c r="BF454" s="76"/>
      <c r="BG454" s="76"/>
      <c r="BH454" s="11" t="s">
        <v>254</v>
      </c>
      <c r="BI454" s="56" t="s">
        <v>134</v>
      </c>
      <c r="BJ454" s="14"/>
      <c r="BK454" s="82" t="s">
        <v>386</v>
      </c>
      <c r="BL454" s="99" t="s">
        <v>190</v>
      </c>
      <c r="BM454" s="14" t="s">
        <v>935</v>
      </c>
      <c r="BN454" s="13" t="s">
        <v>1024</v>
      </c>
      <c r="BO454" s="15" t="s">
        <v>1147</v>
      </c>
      <c r="BQ454" s="17"/>
    </row>
    <row r="455" spans="1:67" ht="46.5">
      <c r="A455" s="284"/>
      <c r="B455" s="285"/>
      <c r="C455" s="56" t="s">
        <v>138</v>
      </c>
      <c r="D455" s="4" t="s">
        <v>48</v>
      </c>
      <c r="E455" s="45">
        <f t="shared" si="140"/>
        <v>3.0000000000000004</v>
      </c>
      <c r="F455" s="45"/>
      <c r="G455" s="5">
        <f t="shared" si="141"/>
        <v>3.0000000000000004</v>
      </c>
      <c r="H455" s="232">
        <v>0.7</v>
      </c>
      <c r="I455" s="232">
        <v>0</v>
      </c>
      <c r="J455" s="232">
        <v>0</v>
      </c>
      <c r="K455" s="232">
        <v>1.37</v>
      </c>
      <c r="L455" s="232">
        <v>0.41</v>
      </c>
      <c r="M455" s="232">
        <v>0</v>
      </c>
      <c r="N455" s="232">
        <v>0</v>
      </c>
      <c r="O455" s="232">
        <v>0</v>
      </c>
      <c r="P455" s="232">
        <v>0</v>
      </c>
      <c r="Q455" s="232">
        <v>0</v>
      </c>
      <c r="R455" s="232">
        <v>0</v>
      </c>
      <c r="S455" s="232">
        <v>0</v>
      </c>
      <c r="T455" s="232">
        <v>0</v>
      </c>
      <c r="U455" s="232">
        <v>0.52</v>
      </c>
      <c r="V455" s="232">
        <v>0.52</v>
      </c>
      <c r="W455" s="232">
        <v>0</v>
      </c>
      <c r="X455" s="232">
        <v>0</v>
      </c>
      <c r="Y455" s="232">
        <v>0</v>
      </c>
      <c r="Z455" s="232">
        <v>0</v>
      </c>
      <c r="AA455" s="232">
        <v>0</v>
      </c>
      <c r="AB455" s="232">
        <v>0</v>
      </c>
      <c r="AC455" s="232">
        <v>0</v>
      </c>
      <c r="AD455" s="232">
        <v>0</v>
      </c>
      <c r="AE455" s="232">
        <v>0</v>
      </c>
      <c r="AF455" s="232">
        <v>0</v>
      </c>
      <c r="AG455" s="232">
        <v>0</v>
      </c>
      <c r="AH455" s="232">
        <v>0</v>
      </c>
      <c r="AI455" s="232">
        <v>0</v>
      </c>
      <c r="AJ455" s="232">
        <v>0</v>
      </c>
      <c r="AK455" s="232">
        <v>0</v>
      </c>
      <c r="AL455" s="232">
        <v>0</v>
      </c>
      <c r="AM455" s="232">
        <v>0</v>
      </c>
      <c r="AN455" s="232">
        <v>0</v>
      </c>
      <c r="AO455" s="232">
        <v>0</v>
      </c>
      <c r="AP455" s="232">
        <v>0</v>
      </c>
      <c r="AQ455" s="232">
        <v>0</v>
      </c>
      <c r="AR455" s="232">
        <v>0</v>
      </c>
      <c r="AS455" s="232">
        <v>0</v>
      </c>
      <c r="AT455" s="232">
        <v>0</v>
      </c>
      <c r="AU455" s="232">
        <v>0</v>
      </c>
      <c r="AV455" s="232">
        <v>0</v>
      </c>
      <c r="AW455" s="232">
        <v>0</v>
      </c>
      <c r="AX455" s="232">
        <v>0</v>
      </c>
      <c r="AY455" s="232">
        <v>0</v>
      </c>
      <c r="AZ455" s="232">
        <v>0</v>
      </c>
      <c r="BA455" s="232">
        <v>0</v>
      </c>
      <c r="BB455" s="232">
        <v>0</v>
      </c>
      <c r="BC455" s="232">
        <v>0</v>
      </c>
      <c r="BD455" s="232">
        <v>0</v>
      </c>
      <c r="BE455" s="232">
        <v>0</v>
      </c>
      <c r="BF455" s="232">
        <v>0</v>
      </c>
      <c r="BG455" s="232">
        <v>0</v>
      </c>
      <c r="BH455" s="11" t="s">
        <v>254</v>
      </c>
      <c r="BI455" s="56" t="s">
        <v>138</v>
      </c>
      <c r="BJ455" s="4"/>
      <c r="BK455" s="82" t="s">
        <v>386</v>
      </c>
      <c r="BL455" s="99" t="s">
        <v>190</v>
      </c>
      <c r="BM455" s="14" t="s">
        <v>935</v>
      </c>
      <c r="BN455" s="13" t="s">
        <v>1025</v>
      </c>
      <c r="BO455" s="15" t="s">
        <v>1147</v>
      </c>
    </row>
    <row r="456" spans="1:69" ht="46.5">
      <c r="A456" s="284"/>
      <c r="B456" s="285"/>
      <c r="C456" s="42" t="s">
        <v>91</v>
      </c>
      <c r="D456" s="4" t="s">
        <v>48</v>
      </c>
      <c r="E456" s="45">
        <f t="shared" si="140"/>
        <v>1.83</v>
      </c>
      <c r="F456" s="45"/>
      <c r="G456" s="5">
        <f t="shared" si="141"/>
        <v>1.83</v>
      </c>
      <c r="H456" s="46">
        <v>0.49</v>
      </c>
      <c r="I456" s="46">
        <v>0.27</v>
      </c>
      <c r="J456" s="46"/>
      <c r="K456" s="46">
        <v>0.54</v>
      </c>
      <c r="L456" s="46">
        <v>0.19</v>
      </c>
      <c r="M456" s="46"/>
      <c r="N456" s="46"/>
      <c r="O456" s="46"/>
      <c r="P456" s="46"/>
      <c r="Q456" s="46"/>
      <c r="R456" s="46"/>
      <c r="S456" s="46"/>
      <c r="T456" s="46"/>
      <c r="U456" s="97">
        <f>SUM(V456:X456)</f>
        <v>0.29000000000000004</v>
      </c>
      <c r="V456" s="254">
        <v>0.29000000000000004</v>
      </c>
      <c r="W456" s="84"/>
      <c r="X456" s="140"/>
      <c r="Y456" s="140">
        <v>0.05</v>
      </c>
      <c r="Z456" s="140"/>
      <c r="AA456" s="140"/>
      <c r="AB456" s="140"/>
      <c r="AC456" s="140"/>
      <c r="AD456" s="140"/>
      <c r="AE456" s="140"/>
      <c r="AF456" s="140"/>
      <c r="AG456" s="140"/>
      <c r="AH456" s="140"/>
      <c r="AI456" s="140"/>
      <c r="AJ456" s="140"/>
      <c r="AK456" s="140"/>
      <c r="AL456" s="140"/>
      <c r="AM456" s="140"/>
      <c r="AN456" s="140"/>
      <c r="AO456" s="140"/>
      <c r="AP456" s="140"/>
      <c r="AQ456" s="140"/>
      <c r="AR456" s="140"/>
      <c r="AS456" s="140"/>
      <c r="AT456" s="140"/>
      <c r="AU456" s="140"/>
      <c r="AV456" s="140"/>
      <c r="AW456" s="140"/>
      <c r="AX456" s="140"/>
      <c r="AY456" s="140"/>
      <c r="AZ456" s="140"/>
      <c r="BA456" s="140"/>
      <c r="BB456" s="140"/>
      <c r="BC456" s="140"/>
      <c r="BD456" s="140"/>
      <c r="BE456" s="140"/>
      <c r="BF456" s="140"/>
      <c r="BG456" s="140"/>
      <c r="BH456" s="11" t="s">
        <v>254</v>
      </c>
      <c r="BI456" s="42" t="s">
        <v>91</v>
      </c>
      <c r="BJ456" s="4"/>
      <c r="BK456" s="82" t="s">
        <v>386</v>
      </c>
      <c r="BL456" s="99" t="s">
        <v>190</v>
      </c>
      <c r="BM456" s="14" t="s">
        <v>935</v>
      </c>
      <c r="BN456" s="13" t="s">
        <v>1025</v>
      </c>
      <c r="BO456" s="15" t="s">
        <v>1147</v>
      </c>
      <c r="BQ456" s="17"/>
    </row>
    <row r="457" spans="1:69" ht="46.5">
      <c r="A457" s="284"/>
      <c r="B457" s="285"/>
      <c r="C457" s="42" t="s">
        <v>95</v>
      </c>
      <c r="D457" s="4" t="s">
        <v>48</v>
      </c>
      <c r="E457" s="45">
        <f t="shared" si="140"/>
        <v>2.1</v>
      </c>
      <c r="F457" s="45"/>
      <c r="G457" s="5">
        <f t="shared" si="141"/>
        <v>2.1</v>
      </c>
      <c r="H457" s="46">
        <v>0.65</v>
      </c>
      <c r="I457" s="46"/>
      <c r="J457" s="46"/>
      <c r="K457" s="46">
        <v>1.14</v>
      </c>
      <c r="L457" s="46">
        <v>0.15</v>
      </c>
      <c r="M457" s="46"/>
      <c r="N457" s="46"/>
      <c r="O457" s="46"/>
      <c r="P457" s="46"/>
      <c r="Q457" s="46"/>
      <c r="R457" s="46"/>
      <c r="S457" s="46"/>
      <c r="T457" s="46"/>
      <c r="U457" s="6">
        <f>SUM(V457:X457)</f>
        <v>0.16</v>
      </c>
      <c r="V457" s="255">
        <v>0.16</v>
      </c>
      <c r="W457" s="84"/>
      <c r="X457" s="140"/>
      <c r="Y457" s="140"/>
      <c r="Z457" s="140"/>
      <c r="AA457" s="140"/>
      <c r="AB457" s="140"/>
      <c r="AC457" s="140"/>
      <c r="AD457" s="140"/>
      <c r="AE457" s="140"/>
      <c r="AF457" s="140"/>
      <c r="AG457" s="140"/>
      <c r="AH457" s="140"/>
      <c r="AI457" s="140"/>
      <c r="AJ457" s="140"/>
      <c r="AK457" s="140"/>
      <c r="AL457" s="140"/>
      <c r="AM457" s="140"/>
      <c r="AN457" s="140"/>
      <c r="AO457" s="140"/>
      <c r="AP457" s="140"/>
      <c r="AQ457" s="140"/>
      <c r="AR457" s="140"/>
      <c r="AS457" s="140"/>
      <c r="AT457" s="140"/>
      <c r="AU457" s="140"/>
      <c r="AV457" s="140"/>
      <c r="AW457" s="140"/>
      <c r="AX457" s="140"/>
      <c r="AY457" s="140"/>
      <c r="AZ457" s="140"/>
      <c r="BA457" s="140"/>
      <c r="BB457" s="140"/>
      <c r="BC457" s="140"/>
      <c r="BD457" s="140"/>
      <c r="BE457" s="140"/>
      <c r="BF457" s="140"/>
      <c r="BG457" s="140"/>
      <c r="BH457" s="11" t="s">
        <v>254</v>
      </c>
      <c r="BI457" s="42" t="s">
        <v>95</v>
      </c>
      <c r="BJ457" s="14"/>
      <c r="BK457" s="82" t="s">
        <v>386</v>
      </c>
      <c r="BL457" s="99" t="s">
        <v>190</v>
      </c>
      <c r="BM457" s="14" t="s">
        <v>935</v>
      </c>
      <c r="BN457" s="13" t="s">
        <v>1024</v>
      </c>
      <c r="BO457" s="15" t="s">
        <v>1147</v>
      </c>
      <c r="BQ457" s="17"/>
    </row>
    <row r="458" spans="1:69" ht="46.5">
      <c r="A458" s="284"/>
      <c r="B458" s="285"/>
      <c r="C458" s="42" t="s">
        <v>145</v>
      </c>
      <c r="D458" s="4" t="s">
        <v>48</v>
      </c>
      <c r="E458" s="45">
        <f t="shared" si="140"/>
        <v>1.52</v>
      </c>
      <c r="F458" s="45"/>
      <c r="G458" s="5">
        <f t="shared" si="141"/>
        <v>1.52</v>
      </c>
      <c r="H458" s="46">
        <v>0.99</v>
      </c>
      <c r="I458" s="46">
        <v>0.02</v>
      </c>
      <c r="J458" s="46"/>
      <c r="K458" s="46">
        <v>0.06</v>
      </c>
      <c r="L458" s="46">
        <v>0.02</v>
      </c>
      <c r="M458" s="46"/>
      <c r="N458" s="46"/>
      <c r="O458" s="46"/>
      <c r="P458" s="46"/>
      <c r="Q458" s="46"/>
      <c r="R458" s="46"/>
      <c r="S458" s="46"/>
      <c r="T458" s="46"/>
      <c r="U458" s="6">
        <f aca="true" t="shared" si="143" ref="U458:U464">SUM(V458:X458)</f>
        <v>0.29000000000000004</v>
      </c>
      <c r="V458" s="256">
        <v>0.29000000000000004</v>
      </c>
      <c r="W458" s="84"/>
      <c r="X458" s="140"/>
      <c r="Y458" s="140">
        <v>0.14</v>
      </c>
      <c r="Z458" s="140"/>
      <c r="AA458" s="140"/>
      <c r="AB458" s="140"/>
      <c r="AC458" s="140"/>
      <c r="AD458" s="140"/>
      <c r="AE458" s="140"/>
      <c r="AF458" s="140"/>
      <c r="AG458" s="140"/>
      <c r="AH458" s="140"/>
      <c r="AI458" s="140"/>
      <c r="AJ458" s="140"/>
      <c r="AK458" s="140"/>
      <c r="AL458" s="140"/>
      <c r="AM458" s="140"/>
      <c r="AN458" s="140"/>
      <c r="AO458" s="140"/>
      <c r="AP458" s="140"/>
      <c r="AQ458" s="140"/>
      <c r="AR458" s="140"/>
      <c r="AS458" s="140"/>
      <c r="AT458" s="140"/>
      <c r="AU458" s="140"/>
      <c r="AV458" s="140"/>
      <c r="AW458" s="140"/>
      <c r="AX458" s="140"/>
      <c r="AY458" s="140"/>
      <c r="AZ458" s="140"/>
      <c r="BA458" s="140"/>
      <c r="BB458" s="140"/>
      <c r="BC458" s="140"/>
      <c r="BD458" s="140"/>
      <c r="BE458" s="140"/>
      <c r="BF458" s="140"/>
      <c r="BG458" s="140"/>
      <c r="BH458" s="11" t="s">
        <v>254</v>
      </c>
      <c r="BI458" s="42" t="s">
        <v>145</v>
      </c>
      <c r="BJ458" s="14"/>
      <c r="BK458" s="82" t="s">
        <v>386</v>
      </c>
      <c r="BL458" s="99" t="s">
        <v>190</v>
      </c>
      <c r="BM458" s="14" t="s">
        <v>935</v>
      </c>
      <c r="BN458" s="13" t="s">
        <v>1024</v>
      </c>
      <c r="BO458" s="15" t="s">
        <v>1147</v>
      </c>
      <c r="BQ458" s="17"/>
    </row>
    <row r="459" spans="1:69" ht="46.5">
      <c r="A459" s="284">
        <f>A449</f>
        <v>260</v>
      </c>
      <c r="B459" s="285" t="s">
        <v>794</v>
      </c>
      <c r="C459" s="14" t="s">
        <v>147</v>
      </c>
      <c r="D459" s="4" t="s">
        <v>48</v>
      </c>
      <c r="E459" s="5">
        <f t="shared" si="140"/>
        <v>1.83</v>
      </c>
      <c r="F459" s="45"/>
      <c r="G459" s="5">
        <f t="shared" si="141"/>
        <v>1.83</v>
      </c>
      <c r="H459" s="257">
        <v>0.02</v>
      </c>
      <c r="I459" s="257">
        <v>0.04</v>
      </c>
      <c r="J459" s="80"/>
      <c r="K459" s="257">
        <v>0.8</v>
      </c>
      <c r="L459" s="257">
        <v>0.4</v>
      </c>
      <c r="M459" s="80"/>
      <c r="N459" s="80"/>
      <c r="O459" s="80"/>
      <c r="P459" s="80"/>
      <c r="Q459" s="80"/>
      <c r="R459" s="80"/>
      <c r="S459" s="80"/>
      <c r="T459" s="80"/>
      <c r="U459" s="257">
        <f t="shared" si="143"/>
        <v>0.57</v>
      </c>
      <c r="V459" s="254">
        <v>0.57</v>
      </c>
      <c r="W459" s="258"/>
      <c r="X459" s="232"/>
      <c r="Y459" s="232"/>
      <c r="Z459" s="232"/>
      <c r="AA459" s="232"/>
      <c r="AB459" s="232"/>
      <c r="AC459" s="232"/>
      <c r="AD459" s="232"/>
      <c r="AE459" s="232"/>
      <c r="AF459" s="258"/>
      <c r="AG459" s="232"/>
      <c r="AH459" s="232"/>
      <c r="AI459" s="232"/>
      <c r="AJ459" s="258"/>
      <c r="AK459" s="258"/>
      <c r="AL459" s="258"/>
      <c r="AM459" s="232"/>
      <c r="AN459" s="232"/>
      <c r="AO459" s="232"/>
      <c r="AP459" s="232"/>
      <c r="AQ459" s="232"/>
      <c r="AR459" s="232"/>
      <c r="AS459" s="232"/>
      <c r="AT459" s="232"/>
      <c r="AU459" s="232"/>
      <c r="AV459" s="232"/>
      <c r="AW459" s="232"/>
      <c r="AX459" s="232"/>
      <c r="AY459" s="232"/>
      <c r="AZ459" s="258"/>
      <c r="BA459" s="232"/>
      <c r="BB459" s="232"/>
      <c r="BC459" s="232"/>
      <c r="BD459" s="232"/>
      <c r="BE459" s="232"/>
      <c r="BF459" s="232"/>
      <c r="BG459" s="258"/>
      <c r="BH459" s="11" t="s">
        <v>254</v>
      </c>
      <c r="BI459" s="14" t="s">
        <v>147</v>
      </c>
      <c r="BJ459" s="214"/>
      <c r="BK459" s="82" t="s">
        <v>386</v>
      </c>
      <c r="BL459" s="99" t="s">
        <v>190</v>
      </c>
      <c r="BM459" s="14" t="s">
        <v>935</v>
      </c>
      <c r="BN459" s="13" t="s">
        <v>1024</v>
      </c>
      <c r="BO459" s="15" t="s">
        <v>1147</v>
      </c>
      <c r="BQ459" s="17"/>
    </row>
    <row r="460" spans="1:69" ht="46.5">
      <c r="A460" s="284"/>
      <c r="B460" s="285"/>
      <c r="C460" s="42" t="s">
        <v>150</v>
      </c>
      <c r="D460" s="4" t="s">
        <v>48</v>
      </c>
      <c r="E460" s="45">
        <f t="shared" si="140"/>
        <v>1.6800000000000002</v>
      </c>
      <c r="F460" s="45"/>
      <c r="G460" s="5">
        <f t="shared" si="141"/>
        <v>1.6800000000000002</v>
      </c>
      <c r="H460" s="46"/>
      <c r="I460" s="46"/>
      <c r="J460" s="46"/>
      <c r="K460" s="46"/>
      <c r="L460" s="46">
        <v>0.8</v>
      </c>
      <c r="M460" s="46"/>
      <c r="N460" s="46"/>
      <c r="O460" s="46"/>
      <c r="P460" s="46"/>
      <c r="Q460" s="46"/>
      <c r="R460" s="46"/>
      <c r="S460" s="46"/>
      <c r="T460" s="46"/>
      <c r="U460" s="6">
        <f t="shared" si="143"/>
        <v>0.88</v>
      </c>
      <c r="V460" s="254">
        <v>0.88</v>
      </c>
      <c r="W460" s="84"/>
      <c r="X460" s="140"/>
      <c r="Y460" s="140"/>
      <c r="Z460" s="140"/>
      <c r="AA460" s="140"/>
      <c r="AB460" s="140"/>
      <c r="AC460" s="140"/>
      <c r="AD460" s="140"/>
      <c r="AE460" s="140"/>
      <c r="AF460" s="140"/>
      <c r="AG460" s="140"/>
      <c r="AH460" s="140"/>
      <c r="AI460" s="140"/>
      <c r="AJ460" s="140"/>
      <c r="AK460" s="140"/>
      <c r="AL460" s="140"/>
      <c r="AM460" s="140"/>
      <c r="AN460" s="140"/>
      <c r="AO460" s="140"/>
      <c r="AP460" s="140"/>
      <c r="AQ460" s="140"/>
      <c r="AR460" s="140"/>
      <c r="AS460" s="140"/>
      <c r="AT460" s="140"/>
      <c r="AU460" s="140"/>
      <c r="AV460" s="140"/>
      <c r="AW460" s="140"/>
      <c r="AX460" s="140"/>
      <c r="AY460" s="140"/>
      <c r="AZ460" s="140"/>
      <c r="BA460" s="140"/>
      <c r="BB460" s="140"/>
      <c r="BC460" s="140"/>
      <c r="BD460" s="140"/>
      <c r="BE460" s="140"/>
      <c r="BF460" s="140"/>
      <c r="BG460" s="140"/>
      <c r="BH460" s="11" t="s">
        <v>254</v>
      </c>
      <c r="BI460" s="42" t="s">
        <v>150</v>
      </c>
      <c r="BJ460" s="14"/>
      <c r="BK460" s="82" t="s">
        <v>386</v>
      </c>
      <c r="BL460" s="99" t="s">
        <v>190</v>
      </c>
      <c r="BM460" s="14" t="s">
        <v>935</v>
      </c>
      <c r="BN460" s="13" t="s">
        <v>1024</v>
      </c>
      <c r="BO460" s="15" t="s">
        <v>1147</v>
      </c>
      <c r="BQ460" s="17"/>
    </row>
    <row r="461" spans="1:69" ht="46.5">
      <c r="A461" s="284"/>
      <c r="B461" s="285"/>
      <c r="C461" s="183" t="s">
        <v>99</v>
      </c>
      <c r="D461" s="4" t="s">
        <v>48</v>
      </c>
      <c r="E461" s="45">
        <f t="shared" si="140"/>
        <v>1.7699999999999998</v>
      </c>
      <c r="F461" s="45"/>
      <c r="G461" s="5">
        <f t="shared" si="141"/>
        <v>1.7699999999999998</v>
      </c>
      <c r="H461" s="48">
        <v>0.42</v>
      </c>
      <c r="I461" s="48">
        <v>0.23</v>
      </c>
      <c r="J461" s="48"/>
      <c r="K461" s="48">
        <v>0.69</v>
      </c>
      <c r="L461" s="48">
        <v>0.15</v>
      </c>
      <c r="M461" s="48"/>
      <c r="N461" s="48"/>
      <c r="O461" s="48"/>
      <c r="P461" s="48"/>
      <c r="Q461" s="48"/>
      <c r="R461" s="48"/>
      <c r="S461" s="48"/>
      <c r="T461" s="48"/>
      <c r="U461" s="6">
        <f t="shared" si="143"/>
        <v>0.28</v>
      </c>
      <c r="V461" s="253">
        <v>0.28</v>
      </c>
      <c r="W461" s="120"/>
      <c r="X461" s="120"/>
      <c r="Y461" s="120"/>
      <c r="Z461" s="120"/>
      <c r="AA461" s="120"/>
      <c r="AB461" s="120"/>
      <c r="AC461" s="120"/>
      <c r="AD461" s="120"/>
      <c r="AE461" s="120"/>
      <c r="AF461" s="120"/>
      <c r="AG461" s="120"/>
      <c r="AH461" s="62"/>
      <c r="AI461" s="62"/>
      <c r="AJ461" s="62"/>
      <c r="AK461" s="62"/>
      <c r="AL461" s="62"/>
      <c r="AM461" s="120"/>
      <c r="AN461" s="120"/>
      <c r="AO461" s="120"/>
      <c r="AP461" s="120"/>
      <c r="AQ461" s="120"/>
      <c r="AR461" s="120"/>
      <c r="AS461" s="120"/>
      <c r="AT461" s="62"/>
      <c r="AU461" s="62"/>
      <c r="AV461" s="62"/>
      <c r="AW461" s="62"/>
      <c r="AX461" s="62"/>
      <c r="AY461" s="62"/>
      <c r="AZ461" s="62"/>
      <c r="BA461" s="62"/>
      <c r="BB461" s="62"/>
      <c r="BC461" s="62"/>
      <c r="BD461" s="62"/>
      <c r="BE461" s="62"/>
      <c r="BF461" s="62"/>
      <c r="BG461" s="62"/>
      <c r="BH461" s="11" t="s">
        <v>254</v>
      </c>
      <c r="BI461" s="183" t="s">
        <v>99</v>
      </c>
      <c r="BJ461" s="14"/>
      <c r="BK461" s="82" t="s">
        <v>386</v>
      </c>
      <c r="BL461" s="99" t="s">
        <v>190</v>
      </c>
      <c r="BM461" s="14" t="s">
        <v>935</v>
      </c>
      <c r="BN461" s="13" t="s">
        <v>1024</v>
      </c>
      <c r="BO461" s="15" t="s">
        <v>1147</v>
      </c>
      <c r="BQ461" s="17"/>
    </row>
    <row r="462" spans="1:69" ht="46.5">
      <c r="A462" s="284"/>
      <c r="B462" s="285"/>
      <c r="C462" s="42" t="s">
        <v>106</v>
      </c>
      <c r="D462" s="4" t="s">
        <v>48</v>
      </c>
      <c r="E462" s="97">
        <f t="shared" si="140"/>
        <v>1.34</v>
      </c>
      <c r="F462" s="88"/>
      <c r="G462" s="5">
        <f t="shared" si="141"/>
        <v>1.34</v>
      </c>
      <c r="H462" s="48">
        <v>0.12</v>
      </c>
      <c r="I462" s="48">
        <v>0.12</v>
      </c>
      <c r="J462" s="48"/>
      <c r="K462" s="48">
        <v>0.21</v>
      </c>
      <c r="L462" s="48">
        <v>0.2</v>
      </c>
      <c r="M462" s="48"/>
      <c r="N462" s="48"/>
      <c r="O462" s="48"/>
      <c r="P462" s="48"/>
      <c r="Q462" s="48"/>
      <c r="R462" s="48"/>
      <c r="S462" s="48"/>
      <c r="T462" s="48"/>
      <c r="U462" s="6">
        <f t="shared" si="143"/>
        <v>0.66</v>
      </c>
      <c r="V462" s="253">
        <v>0.66</v>
      </c>
      <c r="W462" s="120"/>
      <c r="X462" s="120"/>
      <c r="Y462" s="120">
        <v>0.03</v>
      </c>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c r="AY462" s="120"/>
      <c r="AZ462" s="120"/>
      <c r="BA462" s="120"/>
      <c r="BB462" s="120"/>
      <c r="BC462" s="120"/>
      <c r="BD462" s="120"/>
      <c r="BE462" s="120"/>
      <c r="BF462" s="120"/>
      <c r="BG462" s="120"/>
      <c r="BH462" s="11" t="s">
        <v>254</v>
      </c>
      <c r="BI462" s="42" t="s">
        <v>106</v>
      </c>
      <c r="BJ462" s="4"/>
      <c r="BK462" s="82" t="s">
        <v>386</v>
      </c>
      <c r="BL462" s="99" t="s">
        <v>190</v>
      </c>
      <c r="BM462" s="14" t="s">
        <v>935</v>
      </c>
      <c r="BN462" s="13" t="s">
        <v>1025</v>
      </c>
      <c r="BO462" s="15" t="s">
        <v>1147</v>
      </c>
      <c r="BQ462" s="17"/>
    </row>
    <row r="463" spans="1:69" ht="46.5">
      <c r="A463" s="284"/>
      <c r="B463" s="285"/>
      <c r="C463" s="42" t="s">
        <v>71</v>
      </c>
      <c r="D463" s="4" t="s">
        <v>48</v>
      </c>
      <c r="E463" s="97">
        <f>F463+G463</f>
        <v>2.4899999999999998</v>
      </c>
      <c r="F463" s="88"/>
      <c r="G463" s="5">
        <f>SUM(H463:M463,Q463,U463,Y463:BG463)</f>
        <v>2.4899999999999998</v>
      </c>
      <c r="H463" s="48">
        <v>0.6</v>
      </c>
      <c r="I463" s="48">
        <v>0.07</v>
      </c>
      <c r="J463" s="48"/>
      <c r="K463" s="48">
        <v>0.57</v>
      </c>
      <c r="L463" s="48">
        <v>0.6</v>
      </c>
      <c r="M463" s="48"/>
      <c r="N463" s="48"/>
      <c r="O463" s="48"/>
      <c r="P463" s="48"/>
      <c r="Q463" s="48"/>
      <c r="R463" s="48"/>
      <c r="S463" s="48"/>
      <c r="T463" s="48"/>
      <c r="U463" s="6">
        <f t="shared" si="143"/>
        <v>0.55</v>
      </c>
      <c r="V463" s="253">
        <v>0.55</v>
      </c>
      <c r="W463" s="120"/>
      <c r="X463" s="120"/>
      <c r="Y463" s="120">
        <v>0.1</v>
      </c>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c r="AY463" s="120"/>
      <c r="AZ463" s="120"/>
      <c r="BA463" s="120"/>
      <c r="BB463" s="120"/>
      <c r="BC463" s="120"/>
      <c r="BD463" s="120"/>
      <c r="BE463" s="120"/>
      <c r="BF463" s="120"/>
      <c r="BG463" s="120"/>
      <c r="BH463" s="11" t="s">
        <v>254</v>
      </c>
      <c r="BI463" s="42" t="s">
        <v>71</v>
      </c>
      <c r="BJ463" s="4"/>
      <c r="BK463" s="82" t="s">
        <v>386</v>
      </c>
      <c r="BL463" s="99" t="s">
        <v>190</v>
      </c>
      <c r="BM463" s="14" t="s">
        <v>935</v>
      </c>
      <c r="BN463" s="13" t="s">
        <v>1024</v>
      </c>
      <c r="BO463" s="15" t="s">
        <v>1147</v>
      </c>
      <c r="BQ463" s="17"/>
    </row>
    <row r="464" spans="1:69" ht="46.5">
      <c r="A464" s="284"/>
      <c r="B464" s="285"/>
      <c r="C464" s="42" t="s">
        <v>154</v>
      </c>
      <c r="D464" s="4" t="s">
        <v>48</v>
      </c>
      <c r="E464" s="45">
        <f t="shared" si="140"/>
        <v>2.0300000000000002</v>
      </c>
      <c r="F464" s="45"/>
      <c r="G464" s="5">
        <f>SUM(H464:M464,Q464,U464,Y464:BG464)</f>
        <v>2.0300000000000002</v>
      </c>
      <c r="H464" s="48">
        <v>0.5</v>
      </c>
      <c r="I464" s="48"/>
      <c r="J464" s="48"/>
      <c r="K464" s="48">
        <v>0.33</v>
      </c>
      <c r="L464" s="48">
        <v>0.27</v>
      </c>
      <c r="M464" s="48"/>
      <c r="N464" s="48"/>
      <c r="O464" s="48"/>
      <c r="P464" s="48"/>
      <c r="Q464" s="48"/>
      <c r="R464" s="48"/>
      <c r="S464" s="48"/>
      <c r="T464" s="48"/>
      <c r="U464" s="48">
        <f t="shared" si="143"/>
        <v>0.8500000000000001</v>
      </c>
      <c r="V464" s="254">
        <f>0.91-0.06</f>
        <v>0.8500000000000001</v>
      </c>
      <c r="W464" s="120"/>
      <c r="X464" s="62"/>
      <c r="Y464" s="62">
        <v>0.08</v>
      </c>
      <c r="Z464" s="62"/>
      <c r="AA464" s="62"/>
      <c r="AB464" s="62"/>
      <c r="AC464" s="62"/>
      <c r="AD464" s="62"/>
      <c r="AE464" s="62"/>
      <c r="AF464" s="62"/>
      <c r="AG464" s="62"/>
      <c r="AH464" s="62"/>
      <c r="AI464" s="62"/>
      <c r="AJ464" s="62"/>
      <c r="AK464" s="62"/>
      <c r="AL464" s="62"/>
      <c r="AM464" s="62"/>
      <c r="AN464" s="62"/>
      <c r="AO464" s="62"/>
      <c r="AP464" s="62"/>
      <c r="AQ464" s="62"/>
      <c r="AR464" s="62"/>
      <c r="AS464" s="62"/>
      <c r="AT464" s="62"/>
      <c r="AU464" s="62"/>
      <c r="AV464" s="62"/>
      <c r="AW464" s="62"/>
      <c r="AX464" s="62"/>
      <c r="AY464" s="62"/>
      <c r="AZ464" s="62"/>
      <c r="BA464" s="62"/>
      <c r="BB464" s="62"/>
      <c r="BC464" s="62"/>
      <c r="BD464" s="62"/>
      <c r="BE464" s="62"/>
      <c r="BF464" s="62"/>
      <c r="BG464" s="62"/>
      <c r="BH464" s="11" t="s">
        <v>254</v>
      </c>
      <c r="BI464" s="42" t="s">
        <v>154</v>
      </c>
      <c r="BJ464" s="4"/>
      <c r="BK464" s="82" t="s">
        <v>386</v>
      </c>
      <c r="BL464" s="99" t="s">
        <v>190</v>
      </c>
      <c r="BM464" s="14" t="s">
        <v>935</v>
      </c>
      <c r="BN464" s="13" t="s">
        <v>1025</v>
      </c>
      <c r="BO464" s="15" t="s">
        <v>1147</v>
      </c>
      <c r="BQ464" s="17"/>
    </row>
    <row r="465" spans="1:71" s="100" customFormat="1" ht="15">
      <c r="A465" s="128" t="s">
        <v>314</v>
      </c>
      <c r="B465" s="242" t="s">
        <v>795</v>
      </c>
      <c r="C465" s="68"/>
      <c r="D465" s="36"/>
      <c r="E465" s="69">
        <f t="shared" si="140"/>
        <v>0.02</v>
      </c>
      <c r="F465" s="69">
        <f>SUM(F466:F466)</f>
        <v>0.02</v>
      </c>
      <c r="G465" s="69">
        <f>SUM(G466:G466)</f>
        <v>0</v>
      </c>
      <c r="H465" s="69">
        <f>SUM(H466:H466)</f>
        <v>0</v>
      </c>
      <c r="I465" s="69">
        <f aca="true" t="shared" si="144" ref="I465:BG465">SUM(I466:I466)</f>
        <v>0</v>
      </c>
      <c r="J465" s="69">
        <f t="shared" si="144"/>
        <v>0</v>
      </c>
      <c r="K465" s="69">
        <f t="shared" si="144"/>
        <v>0</v>
      </c>
      <c r="L465" s="69">
        <f t="shared" si="144"/>
        <v>0</v>
      </c>
      <c r="M465" s="69">
        <f t="shared" si="144"/>
        <v>0</v>
      </c>
      <c r="N465" s="69">
        <f t="shared" si="144"/>
        <v>0</v>
      </c>
      <c r="O465" s="69">
        <f t="shared" si="144"/>
        <v>0</v>
      </c>
      <c r="P465" s="69">
        <f t="shared" si="144"/>
        <v>0</v>
      </c>
      <c r="Q465" s="69">
        <f t="shared" si="144"/>
        <v>0</v>
      </c>
      <c r="R465" s="69">
        <f t="shared" si="144"/>
        <v>0</v>
      </c>
      <c r="S465" s="69">
        <f t="shared" si="144"/>
        <v>0</v>
      </c>
      <c r="T465" s="69">
        <f t="shared" si="144"/>
        <v>0</v>
      </c>
      <c r="U465" s="69">
        <f t="shared" si="144"/>
        <v>0</v>
      </c>
      <c r="V465" s="69">
        <f t="shared" si="144"/>
        <v>0</v>
      </c>
      <c r="W465" s="69">
        <f t="shared" si="144"/>
        <v>0</v>
      </c>
      <c r="X465" s="69">
        <f t="shared" si="144"/>
        <v>0</v>
      </c>
      <c r="Y465" s="69">
        <f t="shared" si="144"/>
        <v>0</v>
      </c>
      <c r="Z465" s="69">
        <f t="shared" si="144"/>
        <v>0</v>
      </c>
      <c r="AA465" s="69">
        <f t="shared" si="144"/>
        <v>0</v>
      </c>
      <c r="AB465" s="69">
        <f t="shared" si="144"/>
        <v>0</v>
      </c>
      <c r="AC465" s="69">
        <f t="shared" si="144"/>
        <v>0</v>
      </c>
      <c r="AD465" s="69">
        <f t="shared" si="144"/>
        <v>0</v>
      </c>
      <c r="AE465" s="69">
        <f t="shared" si="144"/>
        <v>0</v>
      </c>
      <c r="AF465" s="69">
        <f t="shared" si="144"/>
        <v>0</v>
      </c>
      <c r="AG465" s="69">
        <f t="shared" si="144"/>
        <v>0</v>
      </c>
      <c r="AH465" s="69">
        <f t="shared" si="144"/>
        <v>0</v>
      </c>
      <c r="AI465" s="69">
        <f t="shared" si="144"/>
        <v>0</v>
      </c>
      <c r="AJ465" s="69">
        <f t="shared" si="144"/>
        <v>0</v>
      </c>
      <c r="AK465" s="69">
        <f t="shared" si="144"/>
        <v>0</v>
      </c>
      <c r="AL465" s="69">
        <f t="shared" si="144"/>
        <v>0</v>
      </c>
      <c r="AM465" s="69">
        <f t="shared" si="144"/>
        <v>0</v>
      </c>
      <c r="AN465" s="69">
        <f t="shared" si="144"/>
        <v>0</v>
      </c>
      <c r="AO465" s="69">
        <f t="shared" si="144"/>
        <v>0</v>
      </c>
      <c r="AP465" s="69">
        <f t="shared" si="144"/>
        <v>0</v>
      </c>
      <c r="AQ465" s="69">
        <f t="shared" si="144"/>
        <v>0</v>
      </c>
      <c r="AR465" s="69">
        <f t="shared" si="144"/>
        <v>0</v>
      </c>
      <c r="AS465" s="69">
        <f t="shared" si="144"/>
        <v>0</v>
      </c>
      <c r="AT465" s="69">
        <f t="shared" si="144"/>
        <v>0</v>
      </c>
      <c r="AU465" s="69">
        <f t="shared" si="144"/>
        <v>0</v>
      </c>
      <c r="AV465" s="69">
        <f t="shared" si="144"/>
        <v>0</v>
      </c>
      <c r="AW465" s="69">
        <f t="shared" si="144"/>
        <v>0</v>
      </c>
      <c r="AX465" s="69">
        <f t="shared" si="144"/>
        <v>0</v>
      </c>
      <c r="AY465" s="69">
        <f t="shared" si="144"/>
        <v>0</v>
      </c>
      <c r="AZ465" s="69">
        <f t="shared" si="144"/>
        <v>0</v>
      </c>
      <c r="BA465" s="69">
        <f t="shared" si="144"/>
        <v>0</v>
      </c>
      <c r="BB465" s="69">
        <f t="shared" si="144"/>
        <v>0</v>
      </c>
      <c r="BC465" s="69">
        <f t="shared" si="144"/>
        <v>0</v>
      </c>
      <c r="BD465" s="69">
        <f t="shared" si="144"/>
        <v>0</v>
      </c>
      <c r="BE465" s="69">
        <f t="shared" si="144"/>
        <v>0</v>
      </c>
      <c r="BF465" s="69">
        <f t="shared" si="144"/>
        <v>0</v>
      </c>
      <c r="BG465" s="69">
        <f t="shared" si="144"/>
        <v>0</v>
      </c>
      <c r="BH465" s="70"/>
      <c r="BI465" s="68"/>
      <c r="BJ465" s="68"/>
      <c r="BK465" s="35"/>
      <c r="BL465" s="245"/>
      <c r="BM465" s="245"/>
      <c r="BN465" s="41"/>
      <c r="BO465" s="143"/>
      <c r="BP465" s="20"/>
      <c r="BS465" s="19"/>
    </row>
    <row r="466" spans="1:69" ht="108.75">
      <c r="A466" s="1">
        <f>A449+1</f>
        <v>261</v>
      </c>
      <c r="B466" s="213" t="s">
        <v>796</v>
      </c>
      <c r="C466" s="14" t="s">
        <v>71</v>
      </c>
      <c r="D466" s="4" t="s">
        <v>48</v>
      </c>
      <c r="E466" s="45">
        <f t="shared" si="140"/>
        <v>0.02</v>
      </c>
      <c r="F466" s="45">
        <v>0.02</v>
      </c>
      <c r="G466" s="80">
        <f>SUM(H466:M466,Q466,U466,Y466:BG466)</f>
        <v>0</v>
      </c>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10" t="s">
        <v>797</v>
      </c>
      <c r="BI466" s="14" t="s">
        <v>71</v>
      </c>
      <c r="BJ466" s="14" t="s">
        <v>798</v>
      </c>
      <c r="BK466" s="12" t="s">
        <v>68</v>
      </c>
      <c r="BL466" s="99" t="s">
        <v>193</v>
      </c>
      <c r="BM466" s="246" t="s">
        <v>194</v>
      </c>
      <c r="BN466" s="13" t="s">
        <v>1025</v>
      </c>
      <c r="BO466" s="15" t="s">
        <v>1147</v>
      </c>
      <c r="BQ466" s="17"/>
    </row>
    <row r="467" spans="1:69" ht="15">
      <c r="A467" s="66" t="s">
        <v>799</v>
      </c>
      <c r="B467" s="34" t="s">
        <v>800</v>
      </c>
      <c r="C467" s="128"/>
      <c r="D467" s="36" t="s">
        <v>50</v>
      </c>
      <c r="E467" s="81">
        <f t="shared" si="140"/>
        <v>9.219999999999997</v>
      </c>
      <c r="F467" s="87">
        <f aca="true" t="shared" si="145" ref="F467:AK467">SUM(F468:F497)</f>
        <v>0.74</v>
      </c>
      <c r="G467" s="87">
        <f t="shared" si="145"/>
        <v>8.479999999999997</v>
      </c>
      <c r="H467" s="87">
        <f t="shared" si="145"/>
        <v>0.78</v>
      </c>
      <c r="I467" s="87">
        <f t="shared" si="145"/>
        <v>0.66</v>
      </c>
      <c r="J467" s="87">
        <f t="shared" si="145"/>
        <v>0</v>
      </c>
      <c r="K467" s="87">
        <f t="shared" si="145"/>
        <v>1.34</v>
      </c>
      <c r="L467" s="87">
        <f t="shared" si="145"/>
        <v>0.5900000000000001</v>
      </c>
      <c r="M467" s="87">
        <f t="shared" si="145"/>
        <v>0</v>
      </c>
      <c r="N467" s="87">
        <f t="shared" si="145"/>
        <v>0</v>
      </c>
      <c r="O467" s="87">
        <f t="shared" si="145"/>
        <v>0</v>
      </c>
      <c r="P467" s="87">
        <f t="shared" si="145"/>
        <v>0</v>
      </c>
      <c r="Q467" s="87">
        <f t="shared" si="145"/>
        <v>0</v>
      </c>
      <c r="R467" s="87">
        <f t="shared" si="145"/>
        <v>0</v>
      </c>
      <c r="S467" s="87">
        <f t="shared" si="145"/>
        <v>0</v>
      </c>
      <c r="T467" s="87">
        <f t="shared" si="145"/>
        <v>0</v>
      </c>
      <c r="U467" s="87">
        <f t="shared" si="145"/>
        <v>3.62</v>
      </c>
      <c r="V467" s="87">
        <f t="shared" si="145"/>
        <v>2.21</v>
      </c>
      <c r="W467" s="87">
        <f t="shared" si="145"/>
        <v>0.26</v>
      </c>
      <c r="X467" s="87">
        <f t="shared" si="145"/>
        <v>1.1500000000000001</v>
      </c>
      <c r="Y467" s="87">
        <f t="shared" si="145"/>
        <v>0.03</v>
      </c>
      <c r="Z467" s="87">
        <f t="shared" si="145"/>
        <v>0</v>
      </c>
      <c r="AA467" s="87">
        <f t="shared" si="145"/>
        <v>0</v>
      </c>
      <c r="AB467" s="87">
        <f t="shared" si="145"/>
        <v>0</v>
      </c>
      <c r="AC467" s="87">
        <f t="shared" si="145"/>
        <v>0</v>
      </c>
      <c r="AD467" s="87">
        <f t="shared" si="145"/>
        <v>0</v>
      </c>
      <c r="AE467" s="87">
        <f t="shared" si="145"/>
        <v>0</v>
      </c>
      <c r="AF467" s="87">
        <f t="shared" si="145"/>
        <v>0.49</v>
      </c>
      <c r="AG467" s="87">
        <f t="shared" si="145"/>
        <v>0.02</v>
      </c>
      <c r="AH467" s="87">
        <f t="shared" si="145"/>
        <v>0</v>
      </c>
      <c r="AI467" s="87">
        <f t="shared" si="145"/>
        <v>0.04</v>
      </c>
      <c r="AJ467" s="87">
        <f t="shared" si="145"/>
        <v>0</v>
      </c>
      <c r="AK467" s="87">
        <f t="shared" si="145"/>
        <v>0.07</v>
      </c>
      <c r="AL467" s="87">
        <f aca="true" t="shared" si="146" ref="AL467:BG467">SUM(AL468:AL497)</f>
        <v>0</v>
      </c>
      <c r="AM467" s="87">
        <f t="shared" si="146"/>
        <v>0</v>
      </c>
      <c r="AN467" s="87">
        <f t="shared" si="146"/>
        <v>0</v>
      </c>
      <c r="AO467" s="87">
        <f t="shared" si="146"/>
        <v>0</v>
      </c>
      <c r="AP467" s="87">
        <f t="shared" si="146"/>
        <v>0</v>
      </c>
      <c r="AQ467" s="87">
        <f t="shared" si="146"/>
        <v>0</v>
      </c>
      <c r="AR467" s="87">
        <f t="shared" si="146"/>
        <v>0</v>
      </c>
      <c r="AS467" s="87">
        <f t="shared" si="146"/>
        <v>0</v>
      </c>
      <c r="AT467" s="87">
        <f t="shared" si="146"/>
        <v>0.05</v>
      </c>
      <c r="AU467" s="87">
        <f t="shared" si="146"/>
        <v>0</v>
      </c>
      <c r="AV467" s="87">
        <f t="shared" si="146"/>
        <v>0</v>
      </c>
      <c r="AW467" s="87">
        <f t="shared" si="146"/>
        <v>0</v>
      </c>
      <c r="AX467" s="87">
        <f t="shared" si="146"/>
        <v>0</v>
      </c>
      <c r="AY467" s="87">
        <f t="shared" si="146"/>
        <v>0</v>
      </c>
      <c r="AZ467" s="87">
        <f t="shared" si="146"/>
        <v>0</v>
      </c>
      <c r="BA467" s="87">
        <f t="shared" si="146"/>
        <v>0</v>
      </c>
      <c r="BB467" s="87">
        <f t="shared" si="146"/>
        <v>0</v>
      </c>
      <c r="BC467" s="87">
        <f t="shared" si="146"/>
        <v>0</v>
      </c>
      <c r="BD467" s="87">
        <f t="shared" si="146"/>
        <v>0.13</v>
      </c>
      <c r="BE467" s="87">
        <f t="shared" si="146"/>
        <v>0</v>
      </c>
      <c r="BF467" s="87">
        <f t="shared" si="146"/>
        <v>0</v>
      </c>
      <c r="BG467" s="87">
        <f t="shared" si="146"/>
        <v>0.66</v>
      </c>
      <c r="BH467" s="70"/>
      <c r="BI467" s="128"/>
      <c r="BJ467" s="36"/>
      <c r="BK467" s="168"/>
      <c r="BL467" s="13"/>
      <c r="BM467" s="36"/>
      <c r="BN467" s="13"/>
      <c r="BO467" s="15"/>
      <c r="BQ467" s="17"/>
    </row>
    <row r="468" spans="1:69" ht="62.25">
      <c r="A468" s="124">
        <f>A466+1</f>
        <v>262</v>
      </c>
      <c r="B468" s="15" t="s">
        <v>801</v>
      </c>
      <c r="C468" s="121" t="s">
        <v>65</v>
      </c>
      <c r="D468" s="13" t="s">
        <v>50</v>
      </c>
      <c r="E468" s="5">
        <f>F468+G468</f>
        <v>2.5799999999999996</v>
      </c>
      <c r="F468" s="73"/>
      <c r="G468" s="5">
        <f>SUM(H468:M468,Q468,U468,Y468:BG468)</f>
        <v>2.5799999999999996</v>
      </c>
      <c r="H468" s="74"/>
      <c r="I468" s="74">
        <v>0.5</v>
      </c>
      <c r="J468" s="74"/>
      <c r="K468" s="74"/>
      <c r="L468" s="74">
        <v>0.09</v>
      </c>
      <c r="M468" s="74"/>
      <c r="N468" s="74"/>
      <c r="O468" s="74"/>
      <c r="P468" s="74"/>
      <c r="Q468" s="74"/>
      <c r="R468" s="74"/>
      <c r="S468" s="74"/>
      <c r="T468" s="74"/>
      <c r="U468" s="6">
        <f>SUM(V468:X468)</f>
        <v>1.73</v>
      </c>
      <c r="V468" s="49">
        <f>1.2-0.5+0.1-0.07</f>
        <v>0.73</v>
      </c>
      <c r="W468" s="49"/>
      <c r="X468" s="74">
        <v>1</v>
      </c>
      <c r="Y468" s="74"/>
      <c r="Z468" s="74"/>
      <c r="AA468" s="74"/>
      <c r="AB468" s="74"/>
      <c r="AC468" s="74"/>
      <c r="AD468" s="74"/>
      <c r="AE468" s="74"/>
      <c r="AF468" s="74">
        <v>0.05</v>
      </c>
      <c r="AG468" s="74"/>
      <c r="AH468" s="74"/>
      <c r="AI468" s="74"/>
      <c r="AJ468" s="74"/>
      <c r="AK468" s="74"/>
      <c r="AL468" s="74"/>
      <c r="AM468" s="74"/>
      <c r="AN468" s="74"/>
      <c r="AO468" s="74"/>
      <c r="AP468" s="74"/>
      <c r="AQ468" s="74"/>
      <c r="AR468" s="74"/>
      <c r="AS468" s="74"/>
      <c r="AT468" s="74"/>
      <c r="AU468" s="74"/>
      <c r="AV468" s="74"/>
      <c r="AW468" s="74"/>
      <c r="AX468" s="74"/>
      <c r="AY468" s="74"/>
      <c r="AZ468" s="74"/>
      <c r="BA468" s="74"/>
      <c r="BB468" s="74"/>
      <c r="BC468" s="74"/>
      <c r="BD468" s="74">
        <v>0.11</v>
      </c>
      <c r="BE468" s="74"/>
      <c r="BF468" s="74"/>
      <c r="BG468" s="74">
        <v>0.1</v>
      </c>
      <c r="BH468" s="10" t="s">
        <v>296</v>
      </c>
      <c r="BI468" s="121" t="s">
        <v>65</v>
      </c>
      <c r="BJ468" s="13" t="s">
        <v>802</v>
      </c>
      <c r="BK468" s="12" t="s">
        <v>374</v>
      </c>
      <c r="BL468" s="13" t="s">
        <v>780</v>
      </c>
      <c r="BM468" s="14" t="s">
        <v>935</v>
      </c>
      <c r="BN468" s="13" t="s">
        <v>1025</v>
      </c>
      <c r="BO468" s="15" t="s">
        <v>1147</v>
      </c>
      <c r="BQ468" s="17"/>
    </row>
    <row r="469" spans="1:69" ht="46.5">
      <c r="A469" s="124">
        <f>+A468+1</f>
        <v>263</v>
      </c>
      <c r="B469" s="15" t="s">
        <v>803</v>
      </c>
      <c r="C469" s="121" t="s">
        <v>65</v>
      </c>
      <c r="D469" s="13" t="s">
        <v>50</v>
      </c>
      <c r="E469" s="5">
        <f t="shared" si="140"/>
        <v>0.4</v>
      </c>
      <c r="F469" s="45"/>
      <c r="G469" s="5">
        <f aca="true" t="shared" si="147" ref="G469:G497">SUM(H469:M469,Q469,U469,Y469:BG469)</f>
        <v>0.4</v>
      </c>
      <c r="H469" s="48"/>
      <c r="I469" s="48"/>
      <c r="J469" s="48"/>
      <c r="K469" s="48"/>
      <c r="L469" s="48"/>
      <c r="M469" s="48"/>
      <c r="N469" s="48"/>
      <c r="O469" s="48"/>
      <c r="P469" s="48"/>
      <c r="Q469" s="48"/>
      <c r="R469" s="48"/>
      <c r="S469" s="48"/>
      <c r="T469" s="48"/>
      <c r="U469" s="48">
        <f>SUM(V469:X469)</f>
        <v>0.22</v>
      </c>
      <c r="V469" s="48">
        <v>0.22</v>
      </c>
      <c r="W469" s="48"/>
      <c r="X469" s="48"/>
      <c r="Y469" s="48"/>
      <c r="Z469" s="48"/>
      <c r="AA469" s="48"/>
      <c r="AB469" s="48"/>
      <c r="AC469" s="48"/>
      <c r="AD469" s="48"/>
      <c r="AE469" s="48"/>
      <c r="AF469" s="48">
        <v>0.04</v>
      </c>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v>0.02</v>
      </c>
      <c r="BE469" s="10"/>
      <c r="BF469" s="10"/>
      <c r="BG469" s="10">
        <v>0.12</v>
      </c>
      <c r="BH469" s="10" t="s">
        <v>296</v>
      </c>
      <c r="BI469" s="121" t="s">
        <v>65</v>
      </c>
      <c r="BJ469" s="4" t="s">
        <v>804</v>
      </c>
      <c r="BK469" s="12" t="s">
        <v>386</v>
      </c>
      <c r="BL469" s="13" t="s">
        <v>805</v>
      </c>
      <c r="BM469" s="14" t="s">
        <v>194</v>
      </c>
      <c r="BN469" s="13" t="s">
        <v>1025</v>
      </c>
      <c r="BO469" s="15" t="s">
        <v>1147</v>
      </c>
      <c r="BQ469" s="17"/>
    </row>
    <row r="470" spans="1:71" s="93" customFormat="1" ht="46.5">
      <c r="A470" s="71">
        <f>A469+1</f>
        <v>264</v>
      </c>
      <c r="B470" s="259" t="s">
        <v>806</v>
      </c>
      <c r="C470" s="14" t="s">
        <v>122</v>
      </c>
      <c r="D470" s="4" t="s">
        <v>50</v>
      </c>
      <c r="E470" s="5">
        <v>0.33</v>
      </c>
      <c r="F470" s="73"/>
      <c r="G470" s="5">
        <f t="shared" si="147"/>
        <v>0.33000000000000007</v>
      </c>
      <c r="H470" s="48">
        <v>0.05</v>
      </c>
      <c r="I470" s="48">
        <v>0.15</v>
      </c>
      <c r="J470" s="48"/>
      <c r="K470" s="48">
        <v>0.1</v>
      </c>
      <c r="L470" s="48"/>
      <c r="M470" s="48"/>
      <c r="N470" s="48"/>
      <c r="O470" s="48"/>
      <c r="P470" s="48"/>
      <c r="Q470" s="48"/>
      <c r="R470" s="48"/>
      <c r="S470" s="48"/>
      <c r="T470" s="48"/>
      <c r="U470" s="48"/>
      <c r="V470" s="48"/>
      <c r="W470" s="48"/>
      <c r="X470" s="48"/>
      <c r="Y470" s="48"/>
      <c r="Z470" s="48"/>
      <c r="AA470" s="48"/>
      <c r="AB470" s="48"/>
      <c r="AC470" s="48"/>
      <c r="AD470" s="48"/>
      <c r="AE470" s="48"/>
      <c r="AF470" s="48">
        <v>0.03</v>
      </c>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t="s">
        <v>123</v>
      </c>
      <c r="BI470" s="14" t="s">
        <v>122</v>
      </c>
      <c r="BJ470" s="46" t="s">
        <v>807</v>
      </c>
      <c r="BK470" s="12" t="s">
        <v>374</v>
      </c>
      <c r="BL470" s="46" t="s">
        <v>190</v>
      </c>
      <c r="BM470" s="14" t="s">
        <v>935</v>
      </c>
      <c r="BN470" s="13" t="s">
        <v>1025</v>
      </c>
      <c r="BO470" s="179" t="s">
        <v>1147</v>
      </c>
      <c r="BP470" s="92"/>
      <c r="BS470" s="94"/>
    </row>
    <row r="471" spans="1:69" ht="46.5">
      <c r="A471" s="71">
        <f aca="true" t="shared" si="148" ref="A471:A476">A470+1</f>
        <v>265</v>
      </c>
      <c r="B471" s="259" t="s">
        <v>808</v>
      </c>
      <c r="C471" s="56" t="s">
        <v>106</v>
      </c>
      <c r="D471" s="4" t="s">
        <v>50</v>
      </c>
      <c r="E471" s="5">
        <f>F471+G471</f>
        <v>0.3</v>
      </c>
      <c r="F471" s="73"/>
      <c r="G471" s="5">
        <f t="shared" si="147"/>
        <v>0.3</v>
      </c>
      <c r="H471" s="48"/>
      <c r="I471" s="48"/>
      <c r="J471" s="48"/>
      <c r="K471" s="48"/>
      <c r="L471" s="48"/>
      <c r="M471" s="48"/>
      <c r="N471" s="48"/>
      <c r="O471" s="48"/>
      <c r="P471" s="48"/>
      <c r="Q471" s="48"/>
      <c r="R471" s="48"/>
      <c r="S471" s="48"/>
      <c r="T471" s="48"/>
      <c r="U471" s="48">
        <f>SUM(V471:X471)</f>
        <v>0.3</v>
      </c>
      <c r="V471" s="48">
        <v>0.3</v>
      </c>
      <c r="W471" s="48"/>
      <c r="X471" s="48"/>
      <c r="Y471" s="48"/>
      <c r="Z471" s="48"/>
      <c r="AA471" s="48"/>
      <c r="AB471" s="48"/>
      <c r="AC471" s="48"/>
      <c r="AD471" s="48"/>
      <c r="AE471" s="48"/>
      <c r="AF471" s="48"/>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t="s">
        <v>107</v>
      </c>
      <c r="BI471" s="56" t="s">
        <v>106</v>
      </c>
      <c r="BJ471" s="56" t="s">
        <v>809</v>
      </c>
      <c r="BK471" s="12" t="s">
        <v>120</v>
      </c>
      <c r="BL471" s="46" t="s">
        <v>190</v>
      </c>
      <c r="BM471" s="14" t="s">
        <v>935</v>
      </c>
      <c r="BN471" s="13" t="s">
        <v>1025</v>
      </c>
      <c r="BO471" s="15" t="s">
        <v>1147</v>
      </c>
      <c r="BQ471" s="17"/>
    </row>
    <row r="472" spans="1:68" ht="46.5">
      <c r="A472" s="71">
        <f t="shared" si="148"/>
        <v>266</v>
      </c>
      <c r="B472" s="259" t="s">
        <v>810</v>
      </c>
      <c r="C472" s="42" t="s">
        <v>138</v>
      </c>
      <c r="D472" s="4" t="s">
        <v>50</v>
      </c>
      <c r="E472" s="5">
        <f>F472+G472</f>
        <v>0.2</v>
      </c>
      <c r="F472" s="45"/>
      <c r="G472" s="5">
        <f t="shared" si="147"/>
        <v>0.2</v>
      </c>
      <c r="H472" s="80">
        <v>0.04</v>
      </c>
      <c r="I472" s="80"/>
      <c r="J472" s="80"/>
      <c r="K472" s="80">
        <v>0.13</v>
      </c>
      <c r="L472" s="80"/>
      <c r="M472" s="80"/>
      <c r="N472" s="80"/>
      <c r="O472" s="80"/>
      <c r="P472" s="80"/>
      <c r="Q472" s="80"/>
      <c r="R472" s="80"/>
      <c r="S472" s="80"/>
      <c r="T472" s="80"/>
      <c r="U472" s="80"/>
      <c r="V472" s="80"/>
      <c r="W472" s="80"/>
      <c r="X472" s="80"/>
      <c r="Y472" s="80"/>
      <c r="Z472" s="80"/>
      <c r="AA472" s="80"/>
      <c r="AB472" s="80"/>
      <c r="AC472" s="80"/>
      <c r="AD472" s="80"/>
      <c r="AE472" s="80"/>
      <c r="AF472" s="80">
        <v>0.03</v>
      </c>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10" t="s">
        <v>811</v>
      </c>
      <c r="BI472" s="42" t="s">
        <v>138</v>
      </c>
      <c r="BJ472" s="4" t="s">
        <v>812</v>
      </c>
      <c r="BK472" s="12" t="s">
        <v>374</v>
      </c>
      <c r="BL472" s="46" t="s">
        <v>190</v>
      </c>
      <c r="BM472" s="4" t="s">
        <v>194</v>
      </c>
      <c r="BN472" s="13" t="s">
        <v>1025</v>
      </c>
      <c r="BO472" s="15" t="s">
        <v>1147</v>
      </c>
      <c r="BP472" s="16" t="s">
        <v>1043</v>
      </c>
    </row>
    <row r="473" spans="1:69" ht="46.5">
      <c r="A473" s="71">
        <f t="shared" si="148"/>
        <v>267</v>
      </c>
      <c r="B473" s="259" t="s">
        <v>813</v>
      </c>
      <c r="C473" s="56" t="s">
        <v>154</v>
      </c>
      <c r="D473" s="4" t="s">
        <v>50</v>
      </c>
      <c r="E473" s="5">
        <f>F473+G473</f>
        <v>0.6400000000000001</v>
      </c>
      <c r="F473" s="119"/>
      <c r="G473" s="5">
        <f t="shared" si="147"/>
        <v>0.6400000000000001</v>
      </c>
      <c r="H473" s="48">
        <v>0.23</v>
      </c>
      <c r="I473" s="48"/>
      <c r="J473" s="48"/>
      <c r="K473" s="48">
        <v>0.04</v>
      </c>
      <c r="L473" s="48">
        <v>0.08</v>
      </c>
      <c r="M473" s="48"/>
      <c r="N473" s="53"/>
      <c r="O473" s="53"/>
      <c r="P473" s="53"/>
      <c r="Q473" s="53"/>
      <c r="R473" s="53"/>
      <c r="S473" s="53"/>
      <c r="T473" s="53"/>
      <c r="U473" s="48">
        <f>SUM(V473:X473)</f>
        <v>0.1</v>
      </c>
      <c r="V473" s="48">
        <v>0.1</v>
      </c>
      <c r="W473" s="48"/>
      <c r="X473" s="48"/>
      <c r="Y473" s="53"/>
      <c r="Z473" s="48"/>
      <c r="AA473" s="48"/>
      <c r="AB473" s="48"/>
      <c r="AC473" s="48"/>
      <c r="AD473" s="48"/>
      <c r="AE473" s="48"/>
      <c r="AF473" s="48">
        <v>0.02</v>
      </c>
      <c r="AG473" s="10">
        <v>0.02</v>
      </c>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v>0.15</v>
      </c>
      <c r="BH473" s="10" t="s">
        <v>155</v>
      </c>
      <c r="BI473" s="56" t="s">
        <v>154</v>
      </c>
      <c r="BJ473" s="14" t="s">
        <v>814</v>
      </c>
      <c r="BK473" s="12" t="s">
        <v>68</v>
      </c>
      <c r="BL473" s="13" t="s">
        <v>815</v>
      </c>
      <c r="BM473" s="14" t="s">
        <v>935</v>
      </c>
      <c r="BN473" s="13" t="s">
        <v>1025</v>
      </c>
      <c r="BO473" s="15" t="s">
        <v>1147</v>
      </c>
      <c r="BQ473" s="17"/>
    </row>
    <row r="474" spans="1:69" ht="46.5">
      <c r="A474" s="71">
        <f t="shared" si="148"/>
        <v>268</v>
      </c>
      <c r="B474" s="259" t="s">
        <v>816</v>
      </c>
      <c r="C474" s="56" t="s">
        <v>130</v>
      </c>
      <c r="D474" s="4" t="s">
        <v>50</v>
      </c>
      <c r="E474" s="5">
        <f>F474+G474</f>
        <v>0.21</v>
      </c>
      <c r="F474" s="73">
        <v>0.18</v>
      </c>
      <c r="G474" s="5">
        <f t="shared" si="147"/>
        <v>0.03</v>
      </c>
      <c r="H474" s="48"/>
      <c r="I474" s="48"/>
      <c r="J474" s="48"/>
      <c r="K474" s="48"/>
      <c r="L474" s="48"/>
      <c r="M474" s="48"/>
      <c r="N474" s="48"/>
      <c r="O474" s="48"/>
      <c r="P474" s="48"/>
      <c r="Q474" s="48"/>
      <c r="R474" s="48"/>
      <c r="S474" s="48"/>
      <c r="T474" s="48"/>
      <c r="U474" s="48">
        <f>SUM(V474:X474)</f>
        <v>0.03</v>
      </c>
      <c r="V474" s="48">
        <v>0.03</v>
      </c>
      <c r="W474" s="48"/>
      <c r="X474" s="48"/>
      <c r="Y474" s="48"/>
      <c r="Z474" s="48"/>
      <c r="AA474" s="48"/>
      <c r="AB474" s="48"/>
      <c r="AC474" s="48"/>
      <c r="AD474" s="48"/>
      <c r="AE474" s="48"/>
      <c r="AF474" s="48"/>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56" t="s">
        <v>131</v>
      </c>
      <c r="BI474" s="56" t="s">
        <v>130</v>
      </c>
      <c r="BJ474" s="14" t="s">
        <v>817</v>
      </c>
      <c r="BK474" s="12" t="s">
        <v>120</v>
      </c>
      <c r="BL474" s="13" t="s">
        <v>815</v>
      </c>
      <c r="BM474" s="14" t="s">
        <v>935</v>
      </c>
      <c r="BN474" s="13" t="s">
        <v>1025</v>
      </c>
      <c r="BO474" s="15" t="s">
        <v>1147</v>
      </c>
      <c r="BQ474" s="17"/>
    </row>
    <row r="475" spans="1:69" ht="46.5">
      <c r="A475" s="71">
        <f t="shared" si="148"/>
        <v>269</v>
      </c>
      <c r="B475" s="259" t="s">
        <v>818</v>
      </c>
      <c r="C475" s="77" t="s">
        <v>134</v>
      </c>
      <c r="D475" s="13" t="s">
        <v>50</v>
      </c>
      <c r="E475" s="5">
        <f>F475+G475</f>
        <v>0.52</v>
      </c>
      <c r="F475" s="45">
        <v>0.12</v>
      </c>
      <c r="G475" s="5">
        <f t="shared" si="147"/>
        <v>0.4</v>
      </c>
      <c r="H475" s="48">
        <v>0.27</v>
      </c>
      <c r="I475" s="48"/>
      <c r="J475" s="48"/>
      <c r="K475" s="48"/>
      <c r="L475" s="48"/>
      <c r="M475" s="48"/>
      <c r="N475" s="48"/>
      <c r="O475" s="48"/>
      <c r="P475" s="48"/>
      <c r="Q475" s="48"/>
      <c r="R475" s="48"/>
      <c r="S475" s="48"/>
      <c r="T475" s="48"/>
      <c r="U475" s="48"/>
      <c r="V475" s="48"/>
      <c r="W475" s="48"/>
      <c r="X475" s="48"/>
      <c r="Y475" s="48">
        <v>0.02</v>
      </c>
      <c r="Z475" s="48"/>
      <c r="AA475" s="48"/>
      <c r="AB475" s="48"/>
      <c r="AC475" s="48"/>
      <c r="AD475" s="48"/>
      <c r="AE475" s="48"/>
      <c r="AF475" s="48">
        <v>0.11</v>
      </c>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t="s">
        <v>373</v>
      </c>
      <c r="BI475" s="77" t="s">
        <v>134</v>
      </c>
      <c r="BJ475" s="14" t="s">
        <v>819</v>
      </c>
      <c r="BK475" s="12" t="s">
        <v>120</v>
      </c>
      <c r="BL475" s="46" t="s">
        <v>190</v>
      </c>
      <c r="BM475" s="14" t="s">
        <v>194</v>
      </c>
      <c r="BN475" s="13" t="s">
        <v>1025</v>
      </c>
      <c r="BO475" s="15" t="s">
        <v>1147</v>
      </c>
      <c r="BQ475" s="17"/>
    </row>
    <row r="476" spans="1:69" ht="46.5">
      <c r="A476" s="287">
        <f t="shared" si="148"/>
        <v>270</v>
      </c>
      <c r="B476" s="286" t="s">
        <v>820</v>
      </c>
      <c r="C476" s="77" t="s">
        <v>122</v>
      </c>
      <c r="D476" s="13" t="s">
        <v>50</v>
      </c>
      <c r="E476" s="44">
        <f>SUM(F476:G476)</f>
        <v>0.1</v>
      </c>
      <c r="F476" s="73"/>
      <c r="G476" s="5">
        <f>SUM(H476:BG476)-U476</f>
        <v>0.1</v>
      </c>
      <c r="H476" s="48"/>
      <c r="I476" s="62"/>
      <c r="J476" s="62"/>
      <c r="K476" s="48"/>
      <c r="L476" s="48"/>
      <c r="M476" s="48"/>
      <c r="N476" s="53"/>
      <c r="O476" s="53"/>
      <c r="P476" s="53"/>
      <c r="Q476" s="48">
        <f>R476+S476+T476</f>
        <v>0</v>
      </c>
      <c r="R476" s="48"/>
      <c r="S476" s="48"/>
      <c r="T476" s="48"/>
      <c r="U476" s="48"/>
      <c r="V476" s="48"/>
      <c r="W476" s="48"/>
      <c r="X476" s="48"/>
      <c r="Y476" s="48"/>
      <c r="Z476" s="48"/>
      <c r="AA476" s="48"/>
      <c r="AB476" s="48"/>
      <c r="AC476" s="48"/>
      <c r="AD476" s="48"/>
      <c r="AE476" s="48"/>
      <c r="AF476" s="48"/>
      <c r="AG476" s="10"/>
      <c r="AH476" s="10"/>
      <c r="AI476" s="10"/>
      <c r="AJ476" s="10"/>
      <c r="AK476" s="74"/>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v>0.1</v>
      </c>
      <c r="BH476" s="11" t="s">
        <v>123</v>
      </c>
      <c r="BI476" s="77" t="s">
        <v>122</v>
      </c>
      <c r="BJ476" s="14" t="s">
        <v>821</v>
      </c>
      <c r="BK476" s="12" t="s">
        <v>374</v>
      </c>
      <c r="BL476" s="46" t="s">
        <v>190</v>
      </c>
      <c r="BM476" s="13" t="s">
        <v>194</v>
      </c>
      <c r="BN476" s="13" t="s">
        <v>1025</v>
      </c>
      <c r="BO476" s="15" t="s">
        <v>1147</v>
      </c>
      <c r="BQ476" s="17"/>
    </row>
    <row r="477" spans="1:69" ht="46.5">
      <c r="A477" s="287"/>
      <c r="B477" s="286"/>
      <c r="C477" s="48" t="s">
        <v>71</v>
      </c>
      <c r="D477" s="13" t="s">
        <v>50</v>
      </c>
      <c r="E477" s="5">
        <f aca="true" t="shared" si="149" ref="E477:E502">F477+G477</f>
        <v>0.09999999999999999</v>
      </c>
      <c r="F477" s="45"/>
      <c r="G477" s="5">
        <f t="shared" si="147"/>
        <v>0.09999999999999999</v>
      </c>
      <c r="H477" s="120">
        <v>0.09</v>
      </c>
      <c r="I477" s="120"/>
      <c r="J477" s="120"/>
      <c r="K477" s="120"/>
      <c r="L477" s="120"/>
      <c r="M477" s="120"/>
      <c r="N477" s="120"/>
      <c r="O477" s="120"/>
      <c r="P477" s="120"/>
      <c r="Q477" s="120"/>
      <c r="R477" s="120"/>
      <c r="S477" s="120"/>
      <c r="T477" s="120"/>
      <c r="U477" s="48"/>
      <c r="V477" s="120"/>
      <c r="W477" s="120"/>
      <c r="X477" s="120"/>
      <c r="Y477" s="120"/>
      <c r="Z477" s="120"/>
      <c r="AA477" s="120"/>
      <c r="AB477" s="120"/>
      <c r="AC477" s="120"/>
      <c r="AD477" s="120"/>
      <c r="AE477" s="120"/>
      <c r="AF477" s="120">
        <v>0.01</v>
      </c>
      <c r="AG477" s="74"/>
      <c r="AH477" s="74"/>
      <c r="AI477" s="74"/>
      <c r="AJ477" s="74"/>
      <c r="AK477" s="74"/>
      <c r="AL477" s="74"/>
      <c r="AM477" s="74"/>
      <c r="AN477" s="74"/>
      <c r="AO477" s="74"/>
      <c r="AP477" s="74"/>
      <c r="AQ477" s="74"/>
      <c r="AR477" s="74"/>
      <c r="AS477" s="74"/>
      <c r="AT477" s="74"/>
      <c r="AU477" s="74"/>
      <c r="AV477" s="74"/>
      <c r="AW477" s="74"/>
      <c r="AX477" s="74"/>
      <c r="AY477" s="74"/>
      <c r="AZ477" s="74"/>
      <c r="BA477" s="74"/>
      <c r="BB477" s="74"/>
      <c r="BC477" s="74"/>
      <c r="BD477" s="74"/>
      <c r="BE477" s="74"/>
      <c r="BF477" s="74"/>
      <c r="BG477" s="74"/>
      <c r="BH477" s="10" t="s">
        <v>949</v>
      </c>
      <c r="BI477" s="48" t="s">
        <v>71</v>
      </c>
      <c r="BJ477" s="13" t="s">
        <v>822</v>
      </c>
      <c r="BK477" s="98" t="s">
        <v>374</v>
      </c>
      <c r="BL477" s="46" t="s">
        <v>190</v>
      </c>
      <c r="BM477" s="13" t="s">
        <v>194</v>
      </c>
      <c r="BN477" s="13" t="s">
        <v>1025</v>
      </c>
      <c r="BO477" s="15" t="s">
        <v>1147</v>
      </c>
      <c r="BQ477" s="17"/>
    </row>
    <row r="478" spans="1:69" ht="46.5">
      <c r="A478" s="287"/>
      <c r="B478" s="286"/>
      <c r="C478" s="121" t="s">
        <v>82</v>
      </c>
      <c r="D478" s="13" t="s">
        <v>50</v>
      </c>
      <c r="E478" s="5">
        <f t="shared" si="149"/>
        <v>0.25</v>
      </c>
      <c r="F478" s="45"/>
      <c r="G478" s="5">
        <f t="shared" si="147"/>
        <v>0.25</v>
      </c>
      <c r="H478" s="62"/>
      <c r="I478" s="62"/>
      <c r="J478" s="62"/>
      <c r="K478" s="62"/>
      <c r="L478" s="62">
        <v>0.25</v>
      </c>
      <c r="M478" s="62"/>
      <c r="N478" s="62"/>
      <c r="O478" s="62"/>
      <c r="P478" s="62"/>
      <c r="Q478" s="62"/>
      <c r="R478" s="62"/>
      <c r="S478" s="62"/>
      <c r="T478" s="62"/>
      <c r="U478" s="48"/>
      <c r="V478" s="120"/>
      <c r="W478" s="120"/>
      <c r="X478" s="62"/>
      <c r="Y478" s="62"/>
      <c r="Z478" s="62"/>
      <c r="AA478" s="62"/>
      <c r="AB478" s="62"/>
      <c r="AC478" s="62"/>
      <c r="AD478" s="62"/>
      <c r="AE478" s="62"/>
      <c r="AF478" s="62"/>
      <c r="AG478" s="74"/>
      <c r="AH478" s="74"/>
      <c r="AI478" s="74"/>
      <c r="AJ478" s="74"/>
      <c r="AK478" s="74"/>
      <c r="AL478" s="74"/>
      <c r="AM478" s="74"/>
      <c r="AN478" s="74"/>
      <c r="AO478" s="74"/>
      <c r="AP478" s="74"/>
      <c r="AQ478" s="74"/>
      <c r="AR478" s="74"/>
      <c r="AS478" s="74"/>
      <c r="AT478" s="74"/>
      <c r="AU478" s="74"/>
      <c r="AV478" s="74"/>
      <c r="AW478" s="74"/>
      <c r="AX478" s="74"/>
      <c r="AY478" s="74"/>
      <c r="AZ478" s="74"/>
      <c r="BA478" s="74"/>
      <c r="BB478" s="74"/>
      <c r="BC478" s="74"/>
      <c r="BD478" s="74"/>
      <c r="BE478" s="74"/>
      <c r="BF478" s="74"/>
      <c r="BG478" s="74"/>
      <c r="BH478" s="10" t="s">
        <v>83</v>
      </c>
      <c r="BI478" s="121" t="s">
        <v>82</v>
      </c>
      <c r="BJ478" s="13" t="s">
        <v>823</v>
      </c>
      <c r="BK478" s="12" t="s">
        <v>374</v>
      </c>
      <c r="BL478" s="46" t="s">
        <v>190</v>
      </c>
      <c r="BM478" s="13" t="s">
        <v>194</v>
      </c>
      <c r="BN478" s="13" t="s">
        <v>1025</v>
      </c>
      <c r="BO478" s="15" t="s">
        <v>1147</v>
      </c>
      <c r="BQ478" s="17"/>
    </row>
    <row r="479" spans="1:69" ht="46.5">
      <c r="A479" s="287"/>
      <c r="B479" s="286"/>
      <c r="C479" s="121" t="s">
        <v>87</v>
      </c>
      <c r="D479" s="13" t="s">
        <v>50</v>
      </c>
      <c r="E479" s="5">
        <f t="shared" si="149"/>
        <v>0.1</v>
      </c>
      <c r="F479" s="45"/>
      <c r="G479" s="5">
        <f t="shared" si="147"/>
        <v>0.1</v>
      </c>
      <c r="H479" s="62"/>
      <c r="I479" s="62"/>
      <c r="J479" s="62"/>
      <c r="K479" s="62">
        <v>0.1</v>
      </c>
      <c r="L479" s="62"/>
      <c r="M479" s="62"/>
      <c r="N479" s="62"/>
      <c r="O479" s="62"/>
      <c r="P479" s="62"/>
      <c r="Q479" s="62"/>
      <c r="R479" s="62"/>
      <c r="S479" s="62"/>
      <c r="T479" s="62"/>
      <c r="U479" s="48">
        <f>SUM(V479:X479)</f>
        <v>0</v>
      </c>
      <c r="V479" s="120"/>
      <c r="W479" s="120"/>
      <c r="X479" s="62"/>
      <c r="Y479" s="62"/>
      <c r="Z479" s="62"/>
      <c r="AA479" s="62"/>
      <c r="AB479" s="62"/>
      <c r="AC479" s="62"/>
      <c r="AD479" s="62"/>
      <c r="AE479" s="62"/>
      <c r="AF479" s="62"/>
      <c r="AG479" s="74"/>
      <c r="AH479" s="74"/>
      <c r="AI479" s="74"/>
      <c r="AJ479" s="74"/>
      <c r="AK479" s="74"/>
      <c r="AL479" s="74"/>
      <c r="AM479" s="74"/>
      <c r="AN479" s="74"/>
      <c r="AO479" s="74"/>
      <c r="AP479" s="74"/>
      <c r="AQ479" s="74"/>
      <c r="AR479" s="74"/>
      <c r="AS479" s="74"/>
      <c r="AT479" s="74"/>
      <c r="AU479" s="74"/>
      <c r="AV479" s="74"/>
      <c r="AW479" s="74"/>
      <c r="AX479" s="74"/>
      <c r="AY479" s="74"/>
      <c r="AZ479" s="74"/>
      <c r="BA479" s="74"/>
      <c r="BB479" s="74"/>
      <c r="BC479" s="74"/>
      <c r="BD479" s="74"/>
      <c r="BE479" s="74"/>
      <c r="BF479" s="74"/>
      <c r="BG479" s="74"/>
      <c r="BH479" s="48" t="s">
        <v>824</v>
      </c>
      <c r="BI479" s="121" t="s">
        <v>87</v>
      </c>
      <c r="BJ479" s="13" t="s">
        <v>825</v>
      </c>
      <c r="BK479" s="12" t="s">
        <v>965</v>
      </c>
      <c r="BL479" s="46" t="s">
        <v>190</v>
      </c>
      <c r="BM479" s="13" t="s">
        <v>194</v>
      </c>
      <c r="BN479" s="13" t="s">
        <v>1025</v>
      </c>
      <c r="BO479" s="15" t="s">
        <v>1147</v>
      </c>
      <c r="BQ479" s="17"/>
    </row>
    <row r="480" spans="1:69" ht="46.5">
      <c r="A480" s="287"/>
      <c r="B480" s="286"/>
      <c r="C480" s="121" t="s">
        <v>130</v>
      </c>
      <c r="D480" s="13" t="s">
        <v>50</v>
      </c>
      <c r="E480" s="5">
        <f t="shared" si="149"/>
        <v>0.1</v>
      </c>
      <c r="F480" s="45"/>
      <c r="G480" s="5">
        <f t="shared" si="147"/>
        <v>0.1</v>
      </c>
      <c r="H480" s="74"/>
      <c r="I480" s="74"/>
      <c r="J480" s="74"/>
      <c r="K480" s="74"/>
      <c r="L480" s="74"/>
      <c r="M480" s="74"/>
      <c r="N480" s="74"/>
      <c r="O480" s="74"/>
      <c r="P480" s="74"/>
      <c r="Q480" s="74"/>
      <c r="R480" s="74"/>
      <c r="S480" s="74"/>
      <c r="T480" s="74"/>
      <c r="U480" s="6">
        <f>SUM(V480:X480)</f>
        <v>0.1</v>
      </c>
      <c r="V480" s="49"/>
      <c r="W480" s="49">
        <v>0.1</v>
      </c>
      <c r="X480" s="74"/>
      <c r="Y480" s="74"/>
      <c r="Z480" s="74"/>
      <c r="AA480" s="74"/>
      <c r="AB480" s="74"/>
      <c r="AC480" s="74"/>
      <c r="AD480" s="74"/>
      <c r="AE480" s="74"/>
      <c r="AF480" s="74"/>
      <c r="AG480" s="74"/>
      <c r="AH480" s="74"/>
      <c r="AI480" s="74"/>
      <c r="AJ480" s="74"/>
      <c r="AK480" s="74"/>
      <c r="AL480" s="74"/>
      <c r="AM480" s="74"/>
      <c r="AN480" s="74"/>
      <c r="AO480" s="74"/>
      <c r="AP480" s="74"/>
      <c r="AQ480" s="74"/>
      <c r="AR480" s="74"/>
      <c r="AS480" s="74"/>
      <c r="AT480" s="74"/>
      <c r="AU480" s="74"/>
      <c r="AV480" s="74"/>
      <c r="AW480" s="74"/>
      <c r="AX480" s="74"/>
      <c r="AY480" s="74"/>
      <c r="AZ480" s="74"/>
      <c r="BA480" s="74"/>
      <c r="BB480" s="74"/>
      <c r="BC480" s="74"/>
      <c r="BD480" s="74"/>
      <c r="BE480" s="74"/>
      <c r="BF480" s="74"/>
      <c r="BG480" s="74"/>
      <c r="BH480" s="260" t="s">
        <v>131</v>
      </c>
      <c r="BI480" s="121" t="s">
        <v>130</v>
      </c>
      <c r="BJ480" s="13" t="s">
        <v>826</v>
      </c>
      <c r="BK480" s="12" t="s">
        <v>965</v>
      </c>
      <c r="BL480" s="13" t="s">
        <v>827</v>
      </c>
      <c r="BM480" s="13" t="s">
        <v>194</v>
      </c>
      <c r="BN480" s="13" t="s">
        <v>1025</v>
      </c>
      <c r="BO480" s="15" t="s">
        <v>1147</v>
      </c>
      <c r="BQ480" s="17"/>
    </row>
    <row r="481" spans="1:69" ht="46.5">
      <c r="A481" s="287"/>
      <c r="B481" s="286"/>
      <c r="C481" s="121" t="s">
        <v>134</v>
      </c>
      <c r="D481" s="13" t="s">
        <v>50</v>
      </c>
      <c r="E481" s="5">
        <f t="shared" si="149"/>
        <v>0.1</v>
      </c>
      <c r="F481" s="45"/>
      <c r="G481" s="5">
        <f t="shared" si="147"/>
        <v>0.1</v>
      </c>
      <c r="H481" s="74"/>
      <c r="I481" s="74"/>
      <c r="J481" s="74"/>
      <c r="K481" s="74">
        <v>0.04</v>
      </c>
      <c r="L481" s="74">
        <v>0.06</v>
      </c>
      <c r="M481" s="74"/>
      <c r="N481" s="74"/>
      <c r="O481" s="74"/>
      <c r="P481" s="74"/>
      <c r="Q481" s="74"/>
      <c r="R481" s="74"/>
      <c r="S481" s="74"/>
      <c r="T481" s="74"/>
      <c r="U481" s="6"/>
      <c r="V481" s="49"/>
      <c r="W481" s="49"/>
      <c r="X481" s="74"/>
      <c r="Y481" s="74"/>
      <c r="Z481" s="74"/>
      <c r="AA481" s="74"/>
      <c r="AB481" s="74"/>
      <c r="AC481" s="74"/>
      <c r="AD481" s="74"/>
      <c r="AE481" s="74"/>
      <c r="AF481" s="74"/>
      <c r="AG481" s="74"/>
      <c r="AH481" s="74"/>
      <c r="AI481" s="74"/>
      <c r="AJ481" s="74"/>
      <c r="AK481" s="74"/>
      <c r="AL481" s="74"/>
      <c r="AM481" s="74"/>
      <c r="AN481" s="74"/>
      <c r="AO481" s="74"/>
      <c r="AP481" s="74"/>
      <c r="AQ481" s="74"/>
      <c r="AR481" s="74"/>
      <c r="AS481" s="74"/>
      <c r="AT481" s="74"/>
      <c r="AU481" s="74"/>
      <c r="AV481" s="74"/>
      <c r="AW481" s="74"/>
      <c r="AX481" s="74"/>
      <c r="AY481" s="74"/>
      <c r="AZ481" s="74"/>
      <c r="BA481" s="74"/>
      <c r="BB481" s="74"/>
      <c r="BC481" s="74"/>
      <c r="BD481" s="74"/>
      <c r="BE481" s="74"/>
      <c r="BF481" s="74"/>
      <c r="BG481" s="74"/>
      <c r="BH481" s="10" t="s">
        <v>135</v>
      </c>
      <c r="BI481" s="121" t="s">
        <v>134</v>
      </c>
      <c r="BJ481" s="13" t="s">
        <v>1037</v>
      </c>
      <c r="BK481" s="98" t="s">
        <v>120</v>
      </c>
      <c r="BL481" s="46" t="s">
        <v>190</v>
      </c>
      <c r="BM481" s="13" t="s">
        <v>194</v>
      </c>
      <c r="BN481" s="13" t="s">
        <v>1025</v>
      </c>
      <c r="BO481" s="15" t="s">
        <v>1147</v>
      </c>
      <c r="BP481" s="16" t="s">
        <v>1032</v>
      </c>
      <c r="BQ481" s="17"/>
    </row>
    <row r="482" spans="1:67" ht="46.5">
      <c r="A482" s="287"/>
      <c r="B482" s="286"/>
      <c r="C482" s="56" t="s">
        <v>138</v>
      </c>
      <c r="D482" s="13" t="s">
        <v>50</v>
      </c>
      <c r="E482" s="5">
        <f t="shared" si="149"/>
        <v>0.1</v>
      </c>
      <c r="F482" s="45"/>
      <c r="G482" s="5">
        <f t="shared" si="147"/>
        <v>0.1</v>
      </c>
      <c r="H482" s="74">
        <v>0.02</v>
      </c>
      <c r="I482" s="62"/>
      <c r="J482" s="62"/>
      <c r="K482" s="62">
        <v>0.05</v>
      </c>
      <c r="L482" s="62">
        <v>0.02</v>
      </c>
      <c r="M482" s="62"/>
      <c r="N482" s="62"/>
      <c r="O482" s="62"/>
      <c r="P482" s="62"/>
      <c r="Q482" s="62"/>
      <c r="R482" s="62"/>
      <c r="S482" s="62"/>
      <c r="T482" s="62"/>
      <c r="U482" s="48">
        <f>SUM(V482:X482)</f>
        <v>0.01</v>
      </c>
      <c r="V482" s="120">
        <v>0.01</v>
      </c>
      <c r="W482" s="120"/>
      <c r="X482" s="62"/>
      <c r="Y482" s="62"/>
      <c r="Z482" s="62"/>
      <c r="AA482" s="62"/>
      <c r="AB482" s="62"/>
      <c r="AC482" s="62"/>
      <c r="AD482" s="62"/>
      <c r="AE482" s="62"/>
      <c r="AF482" s="62"/>
      <c r="AG482" s="74"/>
      <c r="AH482" s="74"/>
      <c r="AI482" s="74"/>
      <c r="AJ482" s="74"/>
      <c r="AK482" s="74"/>
      <c r="AL482" s="74"/>
      <c r="AM482" s="74"/>
      <c r="AN482" s="74"/>
      <c r="AO482" s="74"/>
      <c r="AP482" s="74"/>
      <c r="AQ482" s="74"/>
      <c r="AR482" s="74"/>
      <c r="AS482" s="74"/>
      <c r="AT482" s="74"/>
      <c r="AU482" s="74"/>
      <c r="AV482" s="74"/>
      <c r="AW482" s="74"/>
      <c r="AX482" s="74"/>
      <c r="AY482" s="74"/>
      <c r="AZ482" s="74"/>
      <c r="BA482" s="74"/>
      <c r="BB482" s="74"/>
      <c r="BC482" s="74"/>
      <c r="BD482" s="74"/>
      <c r="BE482" s="74"/>
      <c r="BF482" s="74"/>
      <c r="BG482" s="74"/>
      <c r="BH482" s="6" t="s">
        <v>139</v>
      </c>
      <c r="BI482" s="56" t="s">
        <v>138</v>
      </c>
      <c r="BJ482" s="13" t="s">
        <v>828</v>
      </c>
      <c r="BK482" s="98" t="s">
        <v>374</v>
      </c>
      <c r="BL482" s="46" t="s">
        <v>190</v>
      </c>
      <c r="BM482" s="14" t="s">
        <v>194</v>
      </c>
      <c r="BN482" s="13" t="s">
        <v>1025</v>
      </c>
      <c r="BO482" s="15" t="s">
        <v>1147</v>
      </c>
    </row>
    <row r="483" spans="1:69" ht="31.5" customHeight="1">
      <c r="A483" s="287"/>
      <c r="B483" s="286"/>
      <c r="C483" s="121" t="s">
        <v>91</v>
      </c>
      <c r="D483" s="13" t="s">
        <v>50</v>
      </c>
      <c r="E483" s="5">
        <f t="shared" si="149"/>
        <v>0.08</v>
      </c>
      <c r="F483" s="45">
        <v>0.05</v>
      </c>
      <c r="G483" s="5">
        <f t="shared" si="147"/>
        <v>0.03</v>
      </c>
      <c r="H483" s="74"/>
      <c r="I483" s="62"/>
      <c r="J483" s="62"/>
      <c r="K483" s="62"/>
      <c r="L483" s="62">
        <v>0.03</v>
      </c>
      <c r="M483" s="62"/>
      <c r="N483" s="62"/>
      <c r="O483" s="62"/>
      <c r="P483" s="62"/>
      <c r="Q483" s="62"/>
      <c r="R483" s="62"/>
      <c r="S483" s="62"/>
      <c r="T483" s="62"/>
      <c r="U483" s="48"/>
      <c r="V483" s="120"/>
      <c r="W483" s="120"/>
      <c r="X483" s="62"/>
      <c r="Y483" s="62"/>
      <c r="Z483" s="62"/>
      <c r="AA483" s="62"/>
      <c r="AB483" s="62"/>
      <c r="AC483" s="62"/>
      <c r="AD483" s="62"/>
      <c r="AE483" s="62"/>
      <c r="AF483" s="62"/>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10" t="s">
        <v>400</v>
      </c>
      <c r="BI483" s="121" t="s">
        <v>91</v>
      </c>
      <c r="BJ483" s="13" t="s">
        <v>829</v>
      </c>
      <c r="BK483" s="98" t="s">
        <v>374</v>
      </c>
      <c r="BL483" s="46" t="s">
        <v>190</v>
      </c>
      <c r="BM483" s="14" t="s">
        <v>194</v>
      </c>
      <c r="BN483" s="13" t="s">
        <v>1025</v>
      </c>
      <c r="BO483" s="15" t="s">
        <v>1147</v>
      </c>
      <c r="BQ483" s="17"/>
    </row>
    <row r="484" spans="1:69" ht="46.5">
      <c r="A484" s="287"/>
      <c r="B484" s="286"/>
      <c r="C484" s="121" t="s">
        <v>95</v>
      </c>
      <c r="D484" s="13" t="s">
        <v>50</v>
      </c>
      <c r="E484" s="5">
        <f t="shared" si="149"/>
        <v>0.09</v>
      </c>
      <c r="F484" s="45"/>
      <c r="G484" s="5">
        <f t="shared" si="147"/>
        <v>0.09</v>
      </c>
      <c r="H484" s="74"/>
      <c r="I484" s="62"/>
      <c r="J484" s="62"/>
      <c r="K484" s="62">
        <v>0.09</v>
      </c>
      <c r="L484" s="62"/>
      <c r="M484" s="62"/>
      <c r="N484" s="62"/>
      <c r="O484" s="62"/>
      <c r="P484" s="62"/>
      <c r="Q484" s="62"/>
      <c r="R484" s="62"/>
      <c r="S484" s="62"/>
      <c r="T484" s="62"/>
      <c r="U484" s="48"/>
      <c r="V484" s="120"/>
      <c r="W484" s="120"/>
      <c r="X484" s="62"/>
      <c r="Y484" s="62"/>
      <c r="Z484" s="62"/>
      <c r="AA484" s="62"/>
      <c r="AB484" s="62"/>
      <c r="AC484" s="62"/>
      <c r="AD484" s="62"/>
      <c r="AE484" s="62"/>
      <c r="AF484" s="62"/>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10" t="s">
        <v>96</v>
      </c>
      <c r="BI484" s="121" t="s">
        <v>95</v>
      </c>
      <c r="BJ484" s="13" t="s">
        <v>830</v>
      </c>
      <c r="BK484" s="12" t="s">
        <v>120</v>
      </c>
      <c r="BL484" s="46" t="s">
        <v>190</v>
      </c>
      <c r="BM484" s="13" t="s">
        <v>194</v>
      </c>
      <c r="BN484" s="13" t="s">
        <v>1025</v>
      </c>
      <c r="BO484" s="15" t="s">
        <v>1147</v>
      </c>
      <c r="BP484" s="16" t="s">
        <v>1046</v>
      </c>
      <c r="BQ484" s="17"/>
    </row>
    <row r="485" spans="1:69" ht="46.5">
      <c r="A485" s="287">
        <f>A476</f>
        <v>270</v>
      </c>
      <c r="B485" s="286" t="s">
        <v>820</v>
      </c>
      <c r="C485" s="121" t="s">
        <v>65</v>
      </c>
      <c r="D485" s="13" t="s">
        <v>50</v>
      </c>
      <c r="E485" s="5">
        <f t="shared" si="149"/>
        <v>0.1</v>
      </c>
      <c r="F485" s="45"/>
      <c r="G485" s="5">
        <f t="shared" si="147"/>
        <v>0.1</v>
      </c>
      <c r="H485" s="74"/>
      <c r="I485" s="62"/>
      <c r="J485" s="62"/>
      <c r="K485" s="62">
        <v>0.02</v>
      </c>
      <c r="L485" s="62">
        <v>0.06</v>
      </c>
      <c r="M485" s="62"/>
      <c r="N485" s="62"/>
      <c r="O485" s="62"/>
      <c r="P485" s="62"/>
      <c r="Q485" s="62"/>
      <c r="R485" s="62"/>
      <c r="S485" s="62"/>
      <c r="T485" s="62"/>
      <c r="U485" s="48"/>
      <c r="V485" s="120"/>
      <c r="W485" s="120"/>
      <c r="X485" s="62"/>
      <c r="Y485" s="62"/>
      <c r="Z485" s="62"/>
      <c r="AA485" s="62"/>
      <c r="AB485" s="62"/>
      <c r="AC485" s="62"/>
      <c r="AD485" s="62"/>
      <c r="AE485" s="62"/>
      <c r="AF485" s="62"/>
      <c r="AG485" s="74"/>
      <c r="AH485" s="74"/>
      <c r="AI485" s="74"/>
      <c r="AJ485" s="74"/>
      <c r="AK485" s="74">
        <v>0.02</v>
      </c>
      <c r="AL485" s="74"/>
      <c r="AM485" s="74"/>
      <c r="AN485" s="74"/>
      <c r="AO485" s="74"/>
      <c r="AP485" s="74"/>
      <c r="AQ485" s="74"/>
      <c r="AR485" s="74"/>
      <c r="AS485" s="74"/>
      <c r="AT485" s="74"/>
      <c r="AU485" s="74"/>
      <c r="AV485" s="74"/>
      <c r="AW485" s="74"/>
      <c r="AX485" s="74"/>
      <c r="AY485" s="74"/>
      <c r="AZ485" s="74"/>
      <c r="BA485" s="74"/>
      <c r="BB485" s="74"/>
      <c r="BC485" s="74"/>
      <c r="BD485" s="74"/>
      <c r="BE485" s="74"/>
      <c r="BF485" s="74"/>
      <c r="BG485" s="74"/>
      <c r="BH485" s="10" t="s">
        <v>66</v>
      </c>
      <c r="BI485" s="121" t="s">
        <v>65</v>
      </c>
      <c r="BJ485" s="4" t="s">
        <v>831</v>
      </c>
      <c r="BK485" s="12" t="s">
        <v>120</v>
      </c>
      <c r="BL485" s="46" t="s">
        <v>923</v>
      </c>
      <c r="BM485" s="14" t="s">
        <v>194</v>
      </c>
      <c r="BN485" s="13" t="s">
        <v>1025</v>
      </c>
      <c r="BO485" s="15" t="s">
        <v>1147</v>
      </c>
      <c r="BQ485" s="17"/>
    </row>
    <row r="486" spans="1:69" ht="46.5">
      <c r="A486" s="287"/>
      <c r="B486" s="286"/>
      <c r="C486" s="121" t="s">
        <v>145</v>
      </c>
      <c r="D486" s="13" t="s">
        <v>50</v>
      </c>
      <c r="E486" s="5">
        <f t="shared" si="149"/>
        <v>0.18</v>
      </c>
      <c r="F486" s="45"/>
      <c r="G486" s="5">
        <f t="shared" si="147"/>
        <v>0.18</v>
      </c>
      <c r="H486" s="74"/>
      <c r="I486" s="62"/>
      <c r="J486" s="62"/>
      <c r="K486" s="62">
        <v>0.18</v>
      </c>
      <c r="L486" s="62"/>
      <c r="M486" s="62"/>
      <c r="N486" s="62"/>
      <c r="O486" s="62"/>
      <c r="P486" s="62"/>
      <c r="Q486" s="62"/>
      <c r="R486" s="62"/>
      <c r="S486" s="62"/>
      <c r="T486" s="62"/>
      <c r="U486" s="48"/>
      <c r="V486" s="120"/>
      <c r="W486" s="120"/>
      <c r="X486" s="62"/>
      <c r="Y486" s="62"/>
      <c r="Z486" s="62"/>
      <c r="AA486" s="62"/>
      <c r="AB486" s="62"/>
      <c r="AC486" s="62"/>
      <c r="AD486" s="62"/>
      <c r="AE486" s="62"/>
      <c r="AF486" s="62"/>
      <c r="AG486" s="74"/>
      <c r="AH486" s="74"/>
      <c r="AI486" s="74"/>
      <c r="AJ486" s="74"/>
      <c r="AK486" s="74"/>
      <c r="AL486" s="74"/>
      <c r="AM486" s="74"/>
      <c r="AN486" s="74"/>
      <c r="AO486" s="74"/>
      <c r="AP486" s="74"/>
      <c r="AQ486" s="74"/>
      <c r="AR486" s="74"/>
      <c r="AS486" s="74"/>
      <c r="AT486" s="74"/>
      <c r="AU486" s="74"/>
      <c r="AV486" s="74"/>
      <c r="AW486" s="74"/>
      <c r="AX486" s="74"/>
      <c r="AY486" s="74"/>
      <c r="AZ486" s="74"/>
      <c r="BA486" s="74"/>
      <c r="BB486" s="74"/>
      <c r="BC486" s="74"/>
      <c r="BD486" s="74"/>
      <c r="BE486" s="74"/>
      <c r="BF486" s="74"/>
      <c r="BG486" s="74"/>
      <c r="BH486" s="260" t="s">
        <v>200</v>
      </c>
      <c r="BI486" s="121" t="s">
        <v>145</v>
      </c>
      <c r="BJ486" s="13" t="s">
        <v>832</v>
      </c>
      <c r="BK486" s="98" t="s">
        <v>374</v>
      </c>
      <c r="BL486" s="46" t="s">
        <v>190</v>
      </c>
      <c r="BM486" s="13" t="s">
        <v>194</v>
      </c>
      <c r="BN486" s="13" t="s">
        <v>1025</v>
      </c>
      <c r="BO486" s="15" t="s">
        <v>1147</v>
      </c>
      <c r="BQ486" s="17"/>
    </row>
    <row r="487" spans="1:69" ht="46.5">
      <c r="A487" s="287"/>
      <c r="B487" s="286"/>
      <c r="C487" s="14" t="s">
        <v>147</v>
      </c>
      <c r="D487" s="13" t="s">
        <v>50</v>
      </c>
      <c r="E487" s="5">
        <f t="shared" si="149"/>
        <v>0.1</v>
      </c>
      <c r="F487" s="45"/>
      <c r="G487" s="5">
        <f t="shared" si="147"/>
        <v>0.1</v>
      </c>
      <c r="H487" s="45"/>
      <c r="I487" s="232"/>
      <c r="J487" s="232"/>
      <c r="K487" s="232">
        <v>0.1</v>
      </c>
      <c r="L487" s="232"/>
      <c r="M487" s="232"/>
      <c r="N487" s="232"/>
      <c r="O487" s="232"/>
      <c r="P487" s="232"/>
      <c r="Q487" s="232"/>
      <c r="R487" s="232"/>
      <c r="S487" s="232"/>
      <c r="T487" s="232"/>
      <c r="U487" s="80"/>
      <c r="V487" s="232"/>
      <c r="W487" s="232"/>
      <c r="X487" s="232"/>
      <c r="Y487" s="232"/>
      <c r="Z487" s="232"/>
      <c r="AA487" s="232"/>
      <c r="AB487" s="232"/>
      <c r="AC487" s="232"/>
      <c r="AD487" s="232"/>
      <c r="AE487" s="232"/>
      <c r="AF487" s="232"/>
      <c r="AG487" s="45"/>
      <c r="AH487" s="45"/>
      <c r="AI487" s="45"/>
      <c r="AJ487" s="45"/>
      <c r="AK487" s="45"/>
      <c r="AL487" s="45"/>
      <c r="AM487" s="45"/>
      <c r="AN487" s="45"/>
      <c r="AO487" s="45"/>
      <c r="AP487" s="45"/>
      <c r="AQ487" s="45"/>
      <c r="AR487" s="45"/>
      <c r="AS487" s="45"/>
      <c r="AT487" s="45"/>
      <c r="AU487" s="45"/>
      <c r="AV487" s="45"/>
      <c r="AW487" s="45"/>
      <c r="AX487" s="45"/>
      <c r="AY487" s="45"/>
      <c r="AZ487" s="45"/>
      <c r="BA487" s="45"/>
      <c r="BB487" s="45"/>
      <c r="BC487" s="45"/>
      <c r="BD487" s="45"/>
      <c r="BE487" s="45"/>
      <c r="BF487" s="45"/>
      <c r="BG487" s="45"/>
      <c r="BH487" s="10" t="s">
        <v>473</v>
      </c>
      <c r="BI487" s="14" t="s">
        <v>147</v>
      </c>
      <c r="BJ487" s="14" t="s">
        <v>833</v>
      </c>
      <c r="BK487" s="98" t="s">
        <v>120</v>
      </c>
      <c r="BL487" s="46" t="s">
        <v>190</v>
      </c>
      <c r="BM487" s="14" t="s">
        <v>194</v>
      </c>
      <c r="BN487" s="13" t="s">
        <v>1025</v>
      </c>
      <c r="BO487" s="15" t="s">
        <v>1147</v>
      </c>
      <c r="BQ487" s="17"/>
    </row>
    <row r="488" spans="1:69" ht="46.5">
      <c r="A488" s="287"/>
      <c r="B488" s="286"/>
      <c r="C488" s="121" t="s">
        <v>150</v>
      </c>
      <c r="D488" s="13" t="s">
        <v>50</v>
      </c>
      <c r="E488" s="5">
        <f t="shared" si="149"/>
        <v>0.03</v>
      </c>
      <c r="F488" s="45"/>
      <c r="G488" s="5">
        <f t="shared" si="147"/>
        <v>0.03</v>
      </c>
      <c r="H488" s="74"/>
      <c r="I488" s="62">
        <v>0.01</v>
      </c>
      <c r="J488" s="62"/>
      <c r="K488" s="62"/>
      <c r="L488" s="62"/>
      <c r="M488" s="62"/>
      <c r="N488" s="62"/>
      <c r="O488" s="62"/>
      <c r="P488" s="62"/>
      <c r="Q488" s="62"/>
      <c r="R488" s="62"/>
      <c r="S488" s="62"/>
      <c r="T488" s="62"/>
      <c r="U488" s="48"/>
      <c r="V488" s="120"/>
      <c r="W488" s="120"/>
      <c r="X488" s="62"/>
      <c r="Y488" s="62"/>
      <c r="Z488" s="62"/>
      <c r="AA488" s="62"/>
      <c r="AB488" s="62"/>
      <c r="AC488" s="62"/>
      <c r="AD488" s="62"/>
      <c r="AE488" s="62"/>
      <c r="AF488" s="62"/>
      <c r="AG488" s="74"/>
      <c r="AH488" s="74"/>
      <c r="AI488" s="74"/>
      <c r="AJ488" s="74"/>
      <c r="AK488" s="74"/>
      <c r="AL488" s="74"/>
      <c r="AM488" s="74"/>
      <c r="AN488" s="74"/>
      <c r="AO488" s="74"/>
      <c r="AP488" s="74"/>
      <c r="AQ488" s="74"/>
      <c r="AR488" s="74"/>
      <c r="AS488" s="74"/>
      <c r="AT488" s="74"/>
      <c r="AU488" s="74"/>
      <c r="AV488" s="74"/>
      <c r="AW488" s="74"/>
      <c r="AX488" s="74"/>
      <c r="AY488" s="74"/>
      <c r="AZ488" s="74"/>
      <c r="BA488" s="74"/>
      <c r="BB488" s="74"/>
      <c r="BC488" s="74"/>
      <c r="BD488" s="74"/>
      <c r="BE488" s="74"/>
      <c r="BF488" s="74"/>
      <c r="BG488" s="74">
        <v>0.02</v>
      </c>
      <c r="BH488" s="10" t="s">
        <v>151</v>
      </c>
      <c r="BI488" s="121" t="s">
        <v>150</v>
      </c>
      <c r="BJ488" s="13" t="s">
        <v>834</v>
      </c>
      <c r="BK488" s="98" t="s">
        <v>120</v>
      </c>
      <c r="BL488" s="46" t="s">
        <v>190</v>
      </c>
      <c r="BM488" s="13" t="s">
        <v>194</v>
      </c>
      <c r="BN488" s="13" t="s">
        <v>1025</v>
      </c>
      <c r="BO488" s="15" t="s">
        <v>1147</v>
      </c>
      <c r="BQ488" s="17"/>
    </row>
    <row r="489" spans="1:69" ht="46.5">
      <c r="A489" s="287"/>
      <c r="B489" s="286"/>
      <c r="C489" s="121" t="s">
        <v>99</v>
      </c>
      <c r="D489" s="13" t="s">
        <v>50</v>
      </c>
      <c r="E489" s="5">
        <f t="shared" si="149"/>
        <v>0.17</v>
      </c>
      <c r="F489" s="45"/>
      <c r="G489" s="5">
        <f t="shared" si="147"/>
        <v>0.17</v>
      </c>
      <c r="H489" s="74"/>
      <c r="I489" s="62"/>
      <c r="J489" s="62"/>
      <c r="K489" s="62"/>
      <c r="L489" s="62"/>
      <c r="M489" s="62"/>
      <c r="N489" s="62"/>
      <c r="O489" s="62"/>
      <c r="P489" s="62"/>
      <c r="Q489" s="62"/>
      <c r="R489" s="62"/>
      <c r="S489" s="62"/>
      <c r="T489" s="62"/>
      <c r="U489" s="48"/>
      <c r="V489" s="120"/>
      <c r="W489" s="120"/>
      <c r="X489" s="62"/>
      <c r="Y489" s="62"/>
      <c r="Z489" s="62"/>
      <c r="AA489" s="62"/>
      <c r="AB489" s="62"/>
      <c r="AC489" s="62"/>
      <c r="AD489" s="62"/>
      <c r="AE489" s="62"/>
      <c r="AF489" s="62"/>
      <c r="AG489" s="74"/>
      <c r="AH489" s="74"/>
      <c r="AI489" s="74"/>
      <c r="AJ489" s="74"/>
      <c r="AK489" s="74"/>
      <c r="AL489" s="74"/>
      <c r="AM489" s="74"/>
      <c r="AN489" s="74"/>
      <c r="AO489" s="74"/>
      <c r="AP489" s="74"/>
      <c r="AQ489" s="74"/>
      <c r="AR489" s="74"/>
      <c r="AS489" s="74"/>
      <c r="AT489" s="74"/>
      <c r="AU489" s="74"/>
      <c r="AV489" s="74"/>
      <c r="AW489" s="74"/>
      <c r="AX489" s="74"/>
      <c r="AY489" s="74"/>
      <c r="AZ489" s="74"/>
      <c r="BA489" s="74"/>
      <c r="BB489" s="74"/>
      <c r="BC489" s="74"/>
      <c r="BD489" s="74"/>
      <c r="BE489" s="74"/>
      <c r="BF489" s="74"/>
      <c r="BG489" s="74">
        <v>0.17</v>
      </c>
      <c r="BH489" s="10" t="s">
        <v>100</v>
      </c>
      <c r="BI489" s="121" t="s">
        <v>99</v>
      </c>
      <c r="BJ489" s="13" t="s">
        <v>152</v>
      </c>
      <c r="BK489" s="12" t="s">
        <v>965</v>
      </c>
      <c r="BL489" s="46" t="s">
        <v>190</v>
      </c>
      <c r="BM489" s="13" t="s">
        <v>194</v>
      </c>
      <c r="BN489" s="13" t="s">
        <v>1025</v>
      </c>
      <c r="BO489" s="15" t="s">
        <v>1147</v>
      </c>
      <c r="BQ489" s="17"/>
    </row>
    <row r="490" spans="1:69" ht="46.5">
      <c r="A490" s="287"/>
      <c r="B490" s="286"/>
      <c r="C490" s="56" t="s">
        <v>106</v>
      </c>
      <c r="D490" s="13" t="s">
        <v>50</v>
      </c>
      <c r="E490" s="5">
        <f t="shared" si="149"/>
        <v>0.1</v>
      </c>
      <c r="F490" s="45"/>
      <c r="G490" s="5">
        <f t="shared" si="147"/>
        <v>0.1</v>
      </c>
      <c r="H490" s="49"/>
      <c r="I490" s="120"/>
      <c r="J490" s="120"/>
      <c r="K490" s="120"/>
      <c r="L490" s="120"/>
      <c r="M490" s="120"/>
      <c r="N490" s="120"/>
      <c r="O490" s="120"/>
      <c r="P490" s="120"/>
      <c r="Q490" s="120"/>
      <c r="R490" s="120"/>
      <c r="S490" s="120"/>
      <c r="T490" s="120"/>
      <c r="U490" s="48">
        <f>SUM(V490:X490)</f>
        <v>0.1</v>
      </c>
      <c r="V490" s="120"/>
      <c r="W490" s="120"/>
      <c r="X490" s="120">
        <v>0.1</v>
      </c>
      <c r="Y490" s="120"/>
      <c r="Z490" s="120"/>
      <c r="AA490" s="120"/>
      <c r="AB490" s="120"/>
      <c r="AC490" s="120"/>
      <c r="AD490" s="120"/>
      <c r="AE490" s="120"/>
      <c r="AF490" s="120"/>
      <c r="AG490" s="49"/>
      <c r="AH490" s="49"/>
      <c r="AI490" s="49"/>
      <c r="AJ490" s="49"/>
      <c r="AK490" s="49"/>
      <c r="AL490" s="49"/>
      <c r="AM490" s="49"/>
      <c r="AN490" s="49"/>
      <c r="AO490" s="49"/>
      <c r="AP490" s="49"/>
      <c r="AQ490" s="49"/>
      <c r="AR490" s="49"/>
      <c r="AS490" s="49"/>
      <c r="AT490" s="49"/>
      <c r="AU490" s="49"/>
      <c r="AV490" s="49"/>
      <c r="AW490" s="49"/>
      <c r="AX490" s="49"/>
      <c r="AY490" s="49"/>
      <c r="AZ490" s="49"/>
      <c r="BA490" s="49"/>
      <c r="BB490" s="49"/>
      <c r="BC490" s="49"/>
      <c r="BD490" s="49"/>
      <c r="BE490" s="49"/>
      <c r="BF490" s="49"/>
      <c r="BG490" s="49"/>
      <c r="BH490" s="10" t="s">
        <v>107</v>
      </c>
      <c r="BI490" s="56" t="s">
        <v>106</v>
      </c>
      <c r="BJ490" s="56" t="s">
        <v>835</v>
      </c>
      <c r="BK490" s="98" t="s">
        <v>374</v>
      </c>
      <c r="BL490" s="46" t="s">
        <v>190</v>
      </c>
      <c r="BM490" s="13" t="s">
        <v>194</v>
      </c>
      <c r="BN490" s="13" t="s">
        <v>1025</v>
      </c>
      <c r="BO490" s="15" t="s">
        <v>1147</v>
      </c>
      <c r="BQ490" s="17"/>
    </row>
    <row r="491" spans="1:69" ht="46.5">
      <c r="A491" s="287"/>
      <c r="B491" s="286"/>
      <c r="C491" s="56" t="s">
        <v>154</v>
      </c>
      <c r="D491" s="13" t="s">
        <v>50</v>
      </c>
      <c r="E491" s="5">
        <f t="shared" si="149"/>
        <v>0.1</v>
      </c>
      <c r="F491" s="45"/>
      <c r="G491" s="5">
        <f t="shared" si="147"/>
        <v>0.1</v>
      </c>
      <c r="H491" s="74"/>
      <c r="I491" s="62"/>
      <c r="J491" s="62"/>
      <c r="K491" s="62"/>
      <c r="L491" s="62"/>
      <c r="M491" s="62"/>
      <c r="N491" s="62"/>
      <c r="O491" s="62"/>
      <c r="P491" s="62"/>
      <c r="Q491" s="62"/>
      <c r="R491" s="62"/>
      <c r="S491" s="62"/>
      <c r="T491" s="62"/>
      <c r="U491" s="48">
        <f>SUM(V491:X491)</f>
        <v>0.1</v>
      </c>
      <c r="V491" s="120">
        <v>0.04</v>
      </c>
      <c r="W491" s="120">
        <v>0.06</v>
      </c>
      <c r="X491" s="62"/>
      <c r="Y491" s="62"/>
      <c r="Z491" s="62"/>
      <c r="AA491" s="62"/>
      <c r="AB491" s="62"/>
      <c r="AC491" s="62"/>
      <c r="AD491" s="62"/>
      <c r="AE491" s="62"/>
      <c r="AF491" s="62"/>
      <c r="AG491" s="74"/>
      <c r="AH491" s="74"/>
      <c r="AI491" s="74"/>
      <c r="AJ491" s="74"/>
      <c r="AK491" s="74"/>
      <c r="AL491" s="74"/>
      <c r="AM491" s="74"/>
      <c r="AN491" s="74"/>
      <c r="AO491" s="74"/>
      <c r="AP491" s="74"/>
      <c r="AQ491" s="74"/>
      <c r="AR491" s="74"/>
      <c r="AS491" s="74"/>
      <c r="AT491" s="74"/>
      <c r="AU491" s="74"/>
      <c r="AV491" s="74"/>
      <c r="AW491" s="74"/>
      <c r="AX491" s="74"/>
      <c r="AY491" s="74"/>
      <c r="AZ491" s="74"/>
      <c r="BA491" s="74"/>
      <c r="BB491" s="74"/>
      <c r="BC491" s="74"/>
      <c r="BD491" s="74"/>
      <c r="BE491" s="74"/>
      <c r="BF491" s="74"/>
      <c r="BG491" s="74"/>
      <c r="BH491" s="10" t="s">
        <v>155</v>
      </c>
      <c r="BI491" s="56" t="s">
        <v>154</v>
      </c>
      <c r="BJ491" s="14" t="s">
        <v>836</v>
      </c>
      <c r="BK491" s="98" t="s">
        <v>374</v>
      </c>
      <c r="BL491" s="46" t="s">
        <v>190</v>
      </c>
      <c r="BM491" s="14" t="s">
        <v>194</v>
      </c>
      <c r="BN491" s="13" t="s">
        <v>1025</v>
      </c>
      <c r="BO491" s="15" t="s">
        <v>1147</v>
      </c>
      <c r="BQ491" s="17"/>
    </row>
    <row r="492" spans="1:69" ht="54.75" customHeight="1">
      <c r="A492" s="71">
        <f>A476+1</f>
        <v>271</v>
      </c>
      <c r="B492" s="127" t="s">
        <v>837</v>
      </c>
      <c r="C492" s="14" t="s">
        <v>71</v>
      </c>
      <c r="D492" s="13" t="s">
        <v>50</v>
      </c>
      <c r="E492" s="5">
        <f t="shared" si="149"/>
        <v>0.2</v>
      </c>
      <c r="F492" s="73"/>
      <c r="G492" s="5">
        <f t="shared" si="147"/>
        <v>0.2</v>
      </c>
      <c r="H492" s="8"/>
      <c r="I492" s="120"/>
      <c r="J492" s="120"/>
      <c r="K492" s="48"/>
      <c r="L492" s="48"/>
      <c r="M492" s="48">
        <f>SUM(N492:P492)</f>
        <v>0</v>
      </c>
      <c r="N492" s="48"/>
      <c r="O492" s="48"/>
      <c r="P492" s="48"/>
      <c r="Q492" s="48">
        <f>R492+S492+T492</f>
        <v>0</v>
      </c>
      <c r="R492" s="48"/>
      <c r="S492" s="48"/>
      <c r="T492" s="48"/>
      <c r="U492" s="48">
        <f>SUM(V492:X492)</f>
        <v>0</v>
      </c>
      <c r="V492" s="48"/>
      <c r="W492" s="48"/>
      <c r="X492" s="48"/>
      <c r="Y492" s="48"/>
      <c r="Z492" s="48"/>
      <c r="AA492" s="48"/>
      <c r="AB492" s="48"/>
      <c r="AC492" s="48"/>
      <c r="AD492" s="48"/>
      <c r="AE492" s="48"/>
      <c r="AF492" s="48">
        <v>0.2</v>
      </c>
      <c r="AG492" s="10"/>
      <c r="AH492" s="10"/>
      <c r="AI492" s="10"/>
      <c r="AJ492" s="10"/>
      <c r="AK492" s="74"/>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t="s">
        <v>797</v>
      </c>
      <c r="BI492" s="14" t="s">
        <v>71</v>
      </c>
      <c r="BJ492" s="14"/>
      <c r="BK492" s="12" t="s">
        <v>374</v>
      </c>
      <c r="BL492" s="13" t="s">
        <v>838</v>
      </c>
      <c r="BM492" s="13" t="s">
        <v>935</v>
      </c>
      <c r="BN492" s="13" t="s">
        <v>1025</v>
      </c>
      <c r="BO492" s="15" t="s">
        <v>1147</v>
      </c>
      <c r="BQ492" s="17"/>
    </row>
    <row r="493" spans="1:69" ht="54.75" customHeight="1">
      <c r="A493" s="261">
        <f>A492+1</f>
        <v>272</v>
      </c>
      <c r="B493" s="47" t="s">
        <v>839</v>
      </c>
      <c r="C493" s="14" t="s">
        <v>71</v>
      </c>
      <c r="D493" s="13" t="s">
        <v>50</v>
      </c>
      <c r="E493" s="5">
        <f t="shared" si="149"/>
        <v>0.1</v>
      </c>
      <c r="F493" s="119"/>
      <c r="G493" s="5">
        <f t="shared" si="147"/>
        <v>0.1</v>
      </c>
      <c r="H493" s="48"/>
      <c r="I493" s="48"/>
      <c r="J493" s="48"/>
      <c r="K493" s="48"/>
      <c r="L493" s="48"/>
      <c r="M493" s="48">
        <f>SUM(N493:P493)</f>
        <v>0</v>
      </c>
      <c r="N493" s="48"/>
      <c r="O493" s="48"/>
      <c r="P493" s="48"/>
      <c r="Q493" s="48">
        <f>R493+S493+T493</f>
        <v>0</v>
      </c>
      <c r="R493" s="48"/>
      <c r="S493" s="48"/>
      <c r="T493" s="48"/>
      <c r="U493" s="48">
        <f>SUM(W493:X493)</f>
        <v>0.1</v>
      </c>
      <c r="V493" s="120"/>
      <c r="W493" s="48">
        <v>0.1</v>
      </c>
      <c r="X493" s="48"/>
      <c r="Y493" s="48"/>
      <c r="Z493" s="48"/>
      <c r="AA493" s="48"/>
      <c r="AB493" s="48"/>
      <c r="AC493" s="48"/>
      <c r="AD493" s="48"/>
      <c r="AE493" s="48"/>
      <c r="AF493" s="48"/>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t="s">
        <v>797</v>
      </c>
      <c r="BI493" s="14" t="s">
        <v>71</v>
      </c>
      <c r="BJ493" s="14"/>
      <c r="BK493" s="12" t="s">
        <v>374</v>
      </c>
      <c r="BL493" s="13" t="s">
        <v>840</v>
      </c>
      <c r="BM493" s="13" t="s">
        <v>935</v>
      </c>
      <c r="BN493" s="13" t="s">
        <v>1025</v>
      </c>
      <c r="BO493" s="15" t="s">
        <v>1147</v>
      </c>
      <c r="BQ493" s="17"/>
    </row>
    <row r="494" spans="1:69" ht="54.75" customHeight="1">
      <c r="A494" s="261">
        <f>A493+1</f>
        <v>273</v>
      </c>
      <c r="B494" s="47" t="s">
        <v>841</v>
      </c>
      <c r="C494" s="14" t="s">
        <v>71</v>
      </c>
      <c r="D494" s="4" t="s">
        <v>50</v>
      </c>
      <c r="E494" s="5">
        <f t="shared" si="149"/>
        <v>0.54</v>
      </c>
      <c r="F494" s="5">
        <v>0.19</v>
      </c>
      <c r="G494" s="5">
        <f t="shared" si="147"/>
        <v>0.35</v>
      </c>
      <c r="H494" s="48"/>
      <c r="I494" s="48"/>
      <c r="J494" s="48"/>
      <c r="K494" s="48"/>
      <c r="L494" s="48"/>
      <c r="M494" s="48"/>
      <c r="N494" s="48"/>
      <c r="O494" s="48"/>
      <c r="P494" s="48"/>
      <c r="Q494" s="48"/>
      <c r="R494" s="48"/>
      <c r="S494" s="48"/>
      <c r="T494" s="48"/>
      <c r="U494" s="48">
        <f>SUM(V494:X494)</f>
        <v>0.31</v>
      </c>
      <c r="V494" s="120">
        <v>0.31</v>
      </c>
      <c r="W494" s="120"/>
      <c r="X494" s="120"/>
      <c r="Y494" s="48"/>
      <c r="Z494" s="48"/>
      <c r="AA494" s="10"/>
      <c r="AB494" s="10"/>
      <c r="AC494" s="10"/>
      <c r="AD494" s="10"/>
      <c r="AE494" s="10"/>
      <c r="AF494" s="10"/>
      <c r="AG494" s="10"/>
      <c r="AH494" s="10"/>
      <c r="AI494" s="10">
        <v>0.04</v>
      </c>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82" t="s">
        <v>76</v>
      </c>
      <c r="BI494" s="14" t="s">
        <v>71</v>
      </c>
      <c r="BJ494" s="14" t="s">
        <v>910</v>
      </c>
      <c r="BK494" s="12" t="s">
        <v>120</v>
      </c>
      <c r="BL494" s="13" t="s">
        <v>838</v>
      </c>
      <c r="BM494" s="13" t="s">
        <v>935</v>
      </c>
      <c r="BN494" s="13" t="s">
        <v>1025</v>
      </c>
      <c r="BO494" s="15" t="s">
        <v>1147</v>
      </c>
      <c r="BQ494" s="17"/>
    </row>
    <row r="495" spans="1:69" ht="53.25" customHeight="1">
      <c r="A495" s="261">
        <f>A494+1</f>
        <v>274</v>
      </c>
      <c r="B495" s="179" t="s">
        <v>842</v>
      </c>
      <c r="C495" s="48" t="s">
        <v>71</v>
      </c>
      <c r="D495" s="46" t="s">
        <v>50</v>
      </c>
      <c r="E495" s="88">
        <f t="shared" si="149"/>
        <v>0.36</v>
      </c>
      <c r="F495" s="88">
        <v>0.2</v>
      </c>
      <c r="G495" s="5">
        <f t="shared" si="147"/>
        <v>0.16</v>
      </c>
      <c r="H495" s="48">
        <v>0</v>
      </c>
      <c r="I495" s="48">
        <v>0</v>
      </c>
      <c r="J495" s="48">
        <v>0</v>
      </c>
      <c r="K495" s="48">
        <v>0.06</v>
      </c>
      <c r="L495" s="48">
        <v>0</v>
      </c>
      <c r="M495" s="48">
        <v>0</v>
      </c>
      <c r="N495" s="48">
        <v>0</v>
      </c>
      <c r="O495" s="48">
        <v>0</v>
      </c>
      <c r="P495" s="48">
        <v>0</v>
      </c>
      <c r="Q495" s="48">
        <v>0</v>
      </c>
      <c r="R495" s="48">
        <v>0</v>
      </c>
      <c r="S495" s="48">
        <v>0</v>
      </c>
      <c r="T495" s="48">
        <v>0</v>
      </c>
      <c r="U495" s="48">
        <f>SUM(V495:X495)</f>
        <v>0.05</v>
      </c>
      <c r="V495" s="48">
        <v>0</v>
      </c>
      <c r="W495" s="48">
        <v>0</v>
      </c>
      <c r="X495" s="48">
        <v>0.05</v>
      </c>
      <c r="Y495" s="48">
        <v>0</v>
      </c>
      <c r="Z495" s="48">
        <v>0</v>
      </c>
      <c r="AA495" s="48">
        <v>0</v>
      </c>
      <c r="AB495" s="48">
        <v>0</v>
      </c>
      <c r="AC495" s="48">
        <v>0</v>
      </c>
      <c r="AD495" s="48"/>
      <c r="AE495" s="48"/>
      <c r="AF495" s="48"/>
      <c r="AG495" s="48">
        <v>0</v>
      </c>
      <c r="AH495" s="48">
        <v>0</v>
      </c>
      <c r="AI495" s="48">
        <v>0</v>
      </c>
      <c r="AJ495" s="48">
        <v>0</v>
      </c>
      <c r="AK495" s="48">
        <v>0.05</v>
      </c>
      <c r="AL495" s="48">
        <v>0</v>
      </c>
      <c r="AM495" s="48">
        <v>0</v>
      </c>
      <c r="AN495" s="48">
        <v>0</v>
      </c>
      <c r="AO495" s="48">
        <v>0</v>
      </c>
      <c r="AP495" s="48">
        <v>0</v>
      </c>
      <c r="AQ495" s="48">
        <v>0</v>
      </c>
      <c r="AR495" s="48">
        <v>0</v>
      </c>
      <c r="AS495" s="48">
        <v>0</v>
      </c>
      <c r="AT495" s="48">
        <v>0</v>
      </c>
      <c r="AU495" s="48">
        <v>0</v>
      </c>
      <c r="AV495" s="48">
        <v>0</v>
      </c>
      <c r="AW495" s="48">
        <v>0</v>
      </c>
      <c r="AX495" s="48">
        <v>0</v>
      </c>
      <c r="AY495" s="48">
        <v>0</v>
      </c>
      <c r="AZ495" s="48">
        <v>0</v>
      </c>
      <c r="BA495" s="48">
        <v>0</v>
      </c>
      <c r="BB495" s="48">
        <v>0</v>
      </c>
      <c r="BC495" s="48">
        <v>0</v>
      </c>
      <c r="BD495" s="48">
        <v>0</v>
      </c>
      <c r="BE495" s="48">
        <v>0</v>
      </c>
      <c r="BF495" s="48">
        <v>0</v>
      </c>
      <c r="BG495" s="48">
        <v>0</v>
      </c>
      <c r="BH495" s="48" t="s">
        <v>843</v>
      </c>
      <c r="BI495" s="48" t="s">
        <v>71</v>
      </c>
      <c r="BJ495" s="48" t="s">
        <v>844</v>
      </c>
      <c r="BK495" s="12" t="s">
        <v>120</v>
      </c>
      <c r="BL495" s="13" t="s">
        <v>838</v>
      </c>
      <c r="BM495" s="46" t="s">
        <v>935</v>
      </c>
      <c r="BN495" s="13" t="s">
        <v>1025</v>
      </c>
      <c r="BO495" s="15" t="s">
        <v>1147</v>
      </c>
      <c r="BQ495" s="17"/>
    </row>
    <row r="496" spans="1:69" ht="68.25" customHeight="1">
      <c r="A496" s="261">
        <f>A495+1</f>
        <v>275</v>
      </c>
      <c r="B496" s="262" t="s">
        <v>845</v>
      </c>
      <c r="C496" s="56" t="s">
        <v>82</v>
      </c>
      <c r="D496" s="13" t="s">
        <v>50</v>
      </c>
      <c r="E496" s="5">
        <f t="shared" si="149"/>
        <v>0.54</v>
      </c>
      <c r="F496" s="5"/>
      <c r="G496" s="5">
        <f t="shared" si="147"/>
        <v>0.54</v>
      </c>
      <c r="H496" s="48"/>
      <c r="I496" s="48"/>
      <c r="J496" s="48"/>
      <c r="K496" s="48">
        <v>0.34</v>
      </c>
      <c r="L496" s="48"/>
      <c r="M496" s="48">
        <f>SUM(N496:P496)</f>
        <v>0</v>
      </c>
      <c r="N496" s="48"/>
      <c r="O496" s="48"/>
      <c r="P496" s="48"/>
      <c r="Q496" s="48">
        <f>R496+S496+T496</f>
        <v>0</v>
      </c>
      <c r="R496" s="48"/>
      <c r="S496" s="48"/>
      <c r="T496" s="48"/>
      <c r="U496" s="48">
        <f>SUM(V496:X496)</f>
        <v>0.2</v>
      </c>
      <c r="V496" s="120">
        <v>0.2</v>
      </c>
      <c r="W496" s="48"/>
      <c r="X496" s="48"/>
      <c r="Y496" s="48"/>
      <c r="Z496" s="48"/>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60" t="s">
        <v>630</v>
      </c>
      <c r="BI496" s="56" t="s">
        <v>82</v>
      </c>
      <c r="BJ496" s="14" t="s">
        <v>846</v>
      </c>
      <c r="BK496" s="12" t="s">
        <v>374</v>
      </c>
      <c r="BL496" s="13" t="s">
        <v>838</v>
      </c>
      <c r="BM496" s="46" t="s">
        <v>935</v>
      </c>
      <c r="BN496" s="13" t="s">
        <v>1025</v>
      </c>
      <c r="BO496" s="15" t="s">
        <v>1147</v>
      </c>
      <c r="BQ496" s="17"/>
    </row>
    <row r="497" spans="1:69" ht="46.5">
      <c r="A497" s="261">
        <f>A496+1</f>
        <v>276</v>
      </c>
      <c r="B497" s="47" t="s">
        <v>847</v>
      </c>
      <c r="C497" s="56" t="s">
        <v>82</v>
      </c>
      <c r="D497" s="13" t="s">
        <v>50</v>
      </c>
      <c r="E497" s="45">
        <f t="shared" si="149"/>
        <v>0.5</v>
      </c>
      <c r="F497" s="5"/>
      <c r="G497" s="5">
        <f t="shared" si="147"/>
        <v>0.5</v>
      </c>
      <c r="H497" s="48">
        <v>0.08</v>
      </c>
      <c r="I497" s="48"/>
      <c r="J497" s="48"/>
      <c r="K497" s="48">
        <v>0.09</v>
      </c>
      <c r="L497" s="48"/>
      <c r="M497" s="48">
        <f>SUM(N497:P497)</f>
        <v>0</v>
      </c>
      <c r="N497" s="48"/>
      <c r="O497" s="48"/>
      <c r="P497" s="48"/>
      <c r="Q497" s="48">
        <f>R497+S497+T497</f>
        <v>0</v>
      </c>
      <c r="R497" s="48"/>
      <c r="S497" s="48"/>
      <c r="T497" s="48"/>
      <c r="U497" s="48">
        <f>SUM(V497:X497)</f>
        <v>0.27</v>
      </c>
      <c r="V497" s="120">
        <v>0.27</v>
      </c>
      <c r="W497" s="120"/>
      <c r="X497" s="120"/>
      <c r="Y497" s="120">
        <v>0.01</v>
      </c>
      <c r="Z497" s="120"/>
      <c r="AA497" s="49"/>
      <c r="AB497" s="49"/>
      <c r="AC497" s="49"/>
      <c r="AD497" s="49"/>
      <c r="AE497" s="49"/>
      <c r="AF497" s="49"/>
      <c r="AG497" s="49"/>
      <c r="AH497" s="49"/>
      <c r="AI497" s="49"/>
      <c r="AJ497" s="49"/>
      <c r="AK497" s="49"/>
      <c r="AL497" s="49"/>
      <c r="AM497" s="49"/>
      <c r="AN497" s="49"/>
      <c r="AO497" s="49"/>
      <c r="AP497" s="49"/>
      <c r="AQ497" s="49"/>
      <c r="AR497" s="49"/>
      <c r="AS497" s="49"/>
      <c r="AT497" s="49">
        <f>0.05</f>
        <v>0.05</v>
      </c>
      <c r="AU497" s="49"/>
      <c r="AV497" s="49"/>
      <c r="AW497" s="49"/>
      <c r="AX497" s="49"/>
      <c r="AY497" s="49"/>
      <c r="AZ497" s="49"/>
      <c r="BA497" s="49"/>
      <c r="BB497" s="49"/>
      <c r="BC497" s="49"/>
      <c r="BD497" s="49"/>
      <c r="BE497" s="49"/>
      <c r="BF497" s="49"/>
      <c r="BG497" s="49"/>
      <c r="BH497" s="11" t="s">
        <v>388</v>
      </c>
      <c r="BI497" s="56" t="s">
        <v>82</v>
      </c>
      <c r="BJ497" s="11" t="s">
        <v>848</v>
      </c>
      <c r="BK497" s="12" t="s">
        <v>120</v>
      </c>
      <c r="BL497" s="13" t="s">
        <v>840</v>
      </c>
      <c r="BM497" s="46" t="s">
        <v>935</v>
      </c>
      <c r="BN497" s="13" t="s">
        <v>1025</v>
      </c>
      <c r="BO497" s="15" t="s">
        <v>1147</v>
      </c>
      <c r="BQ497" s="17"/>
    </row>
    <row r="498" spans="1:69" ht="26.25" customHeight="1">
      <c r="A498" s="66" t="s">
        <v>849</v>
      </c>
      <c r="B498" s="143" t="s">
        <v>215</v>
      </c>
      <c r="C498" s="14"/>
      <c r="D498" s="36"/>
      <c r="E498" s="81">
        <f t="shared" si="149"/>
        <v>6.92</v>
      </c>
      <c r="F498" s="38">
        <f>SUM(F499:F503)</f>
        <v>0</v>
      </c>
      <c r="G498" s="38">
        <f>SUM(G499:G504)</f>
        <v>6.92</v>
      </c>
      <c r="H498" s="38">
        <f>SUM(H499:H504)</f>
        <v>0.21000000000000002</v>
      </c>
      <c r="I498" s="38">
        <f aca="true" t="shared" si="150" ref="I498:BG498">SUM(I499:I504)</f>
        <v>0.16</v>
      </c>
      <c r="J498" s="38">
        <f t="shared" si="150"/>
        <v>0</v>
      </c>
      <c r="K498" s="38">
        <f t="shared" si="150"/>
        <v>0.2</v>
      </c>
      <c r="L498" s="38">
        <f t="shared" si="150"/>
        <v>0</v>
      </c>
      <c r="M498" s="38">
        <f t="shared" si="150"/>
        <v>0</v>
      </c>
      <c r="N498" s="38">
        <f t="shared" si="150"/>
        <v>0</v>
      </c>
      <c r="O498" s="38">
        <f t="shared" si="150"/>
        <v>0</v>
      </c>
      <c r="P498" s="38">
        <f t="shared" si="150"/>
        <v>0</v>
      </c>
      <c r="Q498" s="38">
        <f t="shared" si="150"/>
        <v>0</v>
      </c>
      <c r="R498" s="38">
        <f t="shared" si="150"/>
        <v>0</v>
      </c>
      <c r="S498" s="38">
        <f t="shared" si="150"/>
        <v>0</v>
      </c>
      <c r="T498" s="38">
        <f t="shared" si="150"/>
        <v>0</v>
      </c>
      <c r="U498" s="38">
        <f t="shared" si="150"/>
        <v>5.32</v>
      </c>
      <c r="V498" s="38">
        <f t="shared" si="150"/>
        <v>4.5600000000000005</v>
      </c>
      <c r="W498" s="38">
        <f t="shared" si="150"/>
        <v>0.76</v>
      </c>
      <c r="X498" s="38">
        <f t="shared" si="150"/>
        <v>0</v>
      </c>
      <c r="Y498" s="38">
        <f t="shared" si="150"/>
        <v>0</v>
      </c>
      <c r="Z498" s="38">
        <f t="shared" si="150"/>
        <v>0</v>
      </c>
      <c r="AA498" s="38">
        <f t="shared" si="150"/>
        <v>0</v>
      </c>
      <c r="AB498" s="38">
        <f t="shared" si="150"/>
        <v>0</v>
      </c>
      <c r="AC498" s="38">
        <f t="shared" si="150"/>
        <v>0</v>
      </c>
      <c r="AD498" s="38">
        <f t="shared" si="150"/>
        <v>0</v>
      </c>
      <c r="AE498" s="38">
        <f t="shared" si="150"/>
        <v>0</v>
      </c>
      <c r="AF498" s="38">
        <f t="shared" si="150"/>
        <v>0.01</v>
      </c>
      <c r="AG498" s="38">
        <f t="shared" si="150"/>
        <v>0.02</v>
      </c>
      <c r="AH498" s="38">
        <f t="shared" si="150"/>
        <v>0</v>
      </c>
      <c r="AI498" s="38">
        <f t="shared" si="150"/>
        <v>0</v>
      </c>
      <c r="AJ498" s="38">
        <f t="shared" si="150"/>
        <v>0</v>
      </c>
      <c r="AK498" s="38">
        <f t="shared" si="150"/>
        <v>0</v>
      </c>
      <c r="AL498" s="38">
        <f t="shared" si="150"/>
        <v>0</v>
      </c>
      <c r="AM498" s="38">
        <f t="shared" si="150"/>
        <v>0</v>
      </c>
      <c r="AN498" s="38">
        <f t="shared" si="150"/>
        <v>0</v>
      </c>
      <c r="AO498" s="38">
        <f t="shared" si="150"/>
        <v>0</v>
      </c>
      <c r="AP498" s="38">
        <f t="shared" si="150"/>
        <v>0</v>
      </c>
      <c r="AQ498" s="38">
        <f t="shared" si="150"/>
        <v>0</v>
      </c>
      <c r="AR498" s="38">
        <f t="shared" si="150"/>
        <v>0</v>
      </c>
      <c r="AS498" s="38">
        <f t="shared" si="150"/>
        <v>0</v>
      </c>
      <c r="AT498" s="38">
        <f t="shared" si="150"/>
        <v>0</v>
      </c>
      <c r="AU498" s="38">
        <f t="shared" si="150"/>
        <v>0</v>
      </c>
      <c r="AV498" s="38">
        <f t="shared" si="150"/>
        <v>0</v>
      </c>
      <c r="AW498" s="38">
        <f t="shared" si="150"/>
        <v>0</v>
      </c>
      <c r="AX498" s="38">
        <f t="shared" si="150"/>
        <v>0</v>
      </c>
      <c r="AY498" s="38">
        <f t="shared" si="150"/>
        <v>0</v>
      </c>
      <c r="AZ498" s="38">
        <f t="shared" si="150"/>
        <v>0</v>
      </c>
      <c r="BA498" s="38">
        <f t="shared" si="150"/>
        <v>0</v>
      </c>
      <c r="BB498" s="38">
        <f t="shared" si="150"/>
        <v>0</v>
      </c>
      <c r="BC498" s="38">
        <f t="shared" si="150"/>
        <v>0</v>
      </c>
      <c r="BD498" s="38">
        <f t="shared" si="150"/>
        <v>0</v>
      </c>
      <c r="BE498" s="38">
        <f t="shared" si="150"/>
        <v>0</v>
      </c>
      <c r="BF498" s="38">
        <f t="shared" si="150"/>
        <v>0</v>
      </c>
      <c r="BG498" s="38">
        <f t="shared" si="150"/>
        <v>1</v>
      </c>
      <c r="BH498" s="38"/>
      <c r="BI498" s="14"/>
      <c r="BJ498" s="14"/>
      <c r="BK498" s="12"/>
      <c r="BL498" s="13"/>
      <c r="BM498" s="14"/>
      <c r="BN498" s="13"/>
      <c r="BO498" s="15"/>
      <c r="BQ498" s="17"/>
    </row>
    <row r="499" spans="1:67" ht="46.5">
      <c r="A499" s="124">
        <f>A497+1</f>
        <v>277</v>
      </c>
      <c r="B499" s="15" t="s">
        <v>850</v>
      </c>
      <c r="C499" s="14" t="s">
        <v>138</v>
      </c>
      <c r="D499" s="6" t="s">
        <v>216</v>
      </c>
      <c r="E499" s="5">
        <f>F499+G499</f>
        <v>4</v>
      </c>
      <c r="F499" s="5"/>
      <c r="G499" s="5">
        <f>SUM(H499:M499,Q499,U499,Y499:BG499)</f>
        <v>4</v>
      </c>
      <c r="H499" s="6"/>
      <c r="I499" s="7"/>
      <c r="J499" s="7"/>
      <c r="K499" s="7"/>
      <c r="L499" s="7"/>
      <c r="M499" s="10">
        <f>SUM(N499:P499)</f>
        <v>0</v>
      </c>
      <c r="N499" s="6"/>
      <c r="O499" s="6"/>
      <c r="P499" s="6"/>
      <c r="Q499" s="6"/>
      <c r="R499" s="6"/>
      <c r="S499" s="6"/>
      <c r="T499" s="6"/>
      <c r="U499" s="6">
        <f aca="true" t="shared" si="151" ref="U499:U504">SUM(V499:X499)</f>
        <v>4</v>
      </c>
      <c r="V499" s="6">
        <v>4</v>
      </c>
      <c r="W499" s="6"/>
      <c r="X499" s="6"/>
      <c r="Y499" s="263"/>
      <c r="Z499" s="6"/>
      <c r="AA499" s="7"/>
      <c r="AB499" s="7"/>
      <c r="AC499" s="6"/>
      <c r="AD499" s="7"/>
      <c r="AE499" s="7"/>
      <c r="AF499" s="7"/>
      <c r="AG499" s="7"/>
      <c r="AH499" s="7"/>
      <c r="AI499" s="7"/>
      <c r="AJ499" s="7"/>
      <c r="AK499" s="7"/>
      <c r="AL499" s="7"/>
      <c r="AM499" s="7"/>
      <c r="AN499" s="7"/>
      <c r="AO499" s="7"/>
      <c r="AP499" s="7"/>
      <c r="AQ499" s="7"/>
      <c r="AR499" s="6"/>
      <c r="AS499" s="7"/>
      <c r="AT499" s="7"/>
      <c r="AU499" s="7"/>
      <c r="AV499" s="7"/>
      <c r="AW499" s="7"/>
      <c r="AX499" s="7"/>
      <c r="AY499" s="7"/>
      <c r="AZ499" s="7"/>
      <c r="BA499" s="7"/>
      <c r="BB499" s="7"/>
      <c r="BC499" s="7"/>
      <c r="BD499" s="7"/>
      <c r="BE499" s="7"/>
      <c r="BF499" s="6"/>
      <c r="BG499" s="6"/>
      <c r="BH499" s="6" t="s">
        <v>851</v>
      </c>
      <c r="BI499" s="14" t="s">
        <v>138</v>
      </c>
      <c r="BJ499" s="12" t="s">
        <v>852</v>
      </c>
      <c r="BK499" s="12" t="s">
        <v>120</v>
      </c>
      <c r="BL499" s="46" t="s">
        <v>190</v>
      </c>
      <c r="BM499" s="14" t="s">
        <v>935</v>
      </c>
      <c r="BN499" s="13" t="s">
        <v>1025</v>
      </c>
      <c r="BO499" s="15" t="s">
        <v>1147</v>
      </c>
    </row>
    <row r="500" spans="1:69" ht="124.5">
      <c r="A500" s="284">
        <f>A499+1</f>
        <v>278</v>
      </c>
      <c r="B500" s="289" t="s">
        <v>853</v>
      </c>
      <c r="C500" s="14" t="s">
        <v>122</v>
      </c>
      <c r="D500" s="6" t="s">
        <v>216</v>
      </c>
      <c r="E500" s="5">
        <f t="shared" si="149"/>
        <v>0.72</v>
      </c>
      <c r="F500" s="45"/>
      <c r="G500" s="5">
        <v>0.72</v>
      </c>
      <c r="H500" s="10">
        <v>0.1</v>
      </c>
      <c r="I500" s="10">
        <v>0.16</v>
      </c>
      <c r="J500" s="10"/>
      <c r="K500" s="10">
        <v>0.2</v>
      </c>
      <c r="L500" s="10"/>
      <c r="M500" s="10"/>
      <c r="N500" s="10"/>
      <c r="O500" s="10"/>
      <c r="P500" s="10"/>
      <c r="Q500" s="6">
        <v>0</v>
      </c>
      <c r="R500" s="10"/>
      <c r="S500" s="10"/>
      <c r="T500" s="10"/>
      <c r="U500" s="6">
        <f t="shared" si="151"/>
        <v>0.26</v>
      </c>
      <c r="V500" s="50"/>
      <c r="W500" s="10">
        <v>0.26</v>
      </c>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51" t="s">
        <v>123</v>
      </c>
      <c r="BI500" s="14" t="s">
        <v>122</v>
      </c>
      <c r="BJ500" s="14" t="s">
        <v>854</v>
      </c>
      <c r="BK500" s="12" t="s">
        <v>120</v>
      </c>
      <c r="BL500" s="13" t="s">
        <v>372</v>
      </c>
      <c r="BM500" s="14" t="s">
        <v>935</v>
      </c>
      <c r="BN500" s="13" t="s">
        <v>1025</v>
      </c>
      <c r="BO500" s="15" t="s">
        <v>1147</v>
      </c>
      <c r="BQ500" s="17"/>
    </row>
    <row r="501" spans="1:69" ht="46.5">
      <c r="A501" s="284"/>
      <c r="B501" s="289"/>
      <c r="C501" s="14" t="s">
        <v>130</v>
      </c>
      <c r="D501" s="6" t="s">
        <v>216</v>
      </c>
      <c r="E501" s="5">
        <f t="shared" si="149"/>
        <v>0.2</v>
      </c>
      <c r="F501" s="45"/>
      <c r="G501" s="5">
        <f>SUM(H501:M501,Q501,U501,Y501:BG501)</f>
        <v>0.2</v>
      </c>
      <c r="H501" s="10"/>
      <c r="I501" s="10"/>
      <c r="J501" s="10"/>
      <c r="K501" s="10"/>
      <c r="L501" s="10"/>
      <c r="M501" s="10">
        <f>SUM(N501:P501)</f>
        <v>0</v>
      </c>
      <c r="N501" s="10"/>
      <c r="O501" s="10"/>
      <c r="P501" s="10"/>
      <c r="Q501" s="10"/>
      <c r="R501" s="10"/>
      <c r="S501" s="10"/>
      <c r="T501" s="10"/>
      <c r="U501" s="6">
        <f t="shared" si="151"/>
        <v>0.2</v>
      </c>
      <c r="V501" s="10">
        <v>0.2</v>
      </c>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t="s">
        <v>131</v>
      </c>
      <c r="BI501" s="14" t="s">
        <v>130</v>
      </c>
      <c r="BJ501" s="14" t="s">
        <v>855</v>
      </c>
      <c r="BK501" s="12" t="s">
        <v>120</v>
      </c>
      <c r="BL501" s="46" t="s">
        <v>190</v>
      </c>
      <c r="BM501" s="14" t="s">
        <v>935</v>
      </c>
      <c r="BN501" s="13" t="s">
        <v>1025</v>
      </c>
      <c r="BO501" s="15" t="s">
        <v>1147</v>
      </c>
      <c r="BQ501" s="17"/>
    </row>
    <row r="502" spans="1:69" ht="46.5">
      <c r="A502" s="284"/>
      <c r="B502" s="289"/>
      <c r="C502" s="14" t="s">
        <v>134</v>
      </c>
      <c r="D502" s="6" t="s">
        <v>216</v>
      </c>
      <c r="E502" s="5">
        <f t="shared" si="149"/>
        <v>0.25</v>
      </c>
      <c r="F502" s="45"/>
      <c r="G502" s="5">
        <f>SUM(H502:M502,Q502,U502,Y502:BG502)</f>
        <v>0.25</v>
      </c>
      <c r="H502" s="10"/>
      <c r="I502" s="10"/>
      <c r="J502" s="10"/>
      <c r="K502" s="10"/>
      <c r="L502" s="10"/>
      <c r="M502" s="10">
        <f>SUM(N502:P502)</f>
        <v>0</v>
      </c>
      <c r="N502" s="10"/>
      <c r="O502" s="10"/>
      <c r="P502" s="10"/>
      <c r="Q502" s="10"/>
      <c r="R502" s="10"/>
      <c r="S502" s="10"/>
      <c r="T502" s="10"/>
      <c r="U502" s="44">
        <f t="shared" si="151"/>
        <v>0.25</v>
      </c>
      <c r="V502" s="10">
        <v>0.25</v>
      </c>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t="s">
        <v>135</v>
      </c>
      <c r="BI502" s="14" t="s">
        <v>134</v>
      </c>
      <c r="BJ502" s="14" t="s">
        <v>856</v>
      </c>
      <c r="BK502" s="12" t="s">
        <v>120</v>
      </c>
      <c r="BL502" s="46" t="s">
        <v>190</v>
      </c>
      <c r="BM502" s="14" t="s">
        <v>935</v>
      </c>
      <c r="BN502" s="13" t="s">
        <v>1025</v>
      </c>
      <c r="BO502" s="15" t="s">
        <v>1147</v>
      </c>
      <c r="BQ502" s="17"/>
    </row>
    <row r="503" spans="1:69" ht="46.5">
      <c r="A503" s="284"/>
      <c r="B503" s="289"/>
      <c r="C503" s="56" t="s">
        <v>154</v>
      </c>
      <c r="D503" s="6" t="s">
        <v>216</v>
      </c>
      <c r="E503" s="5">
        <f>F503+G503</f>
        <v>0.75</v>
      </c>
      <c r="F503" s="45"/>
      <c r="G503" s="5">
        <f>SUM(H503:M503,Q503,U503,Y503:BG503)</f>
        <v>0.75</v>
      </c>
      <c r="H503" s="10">
        <v>0.11</v>
      </c>
      <c r="I503" s="10"/>
      <c r="J503" s="10"/>
      <c r="K503" s="10"/>
      <c r="L503" s="10"/>
      <c r="M503" s="10">
        <f>SUM(N503:P503)</f>
        <v>0</v>
      </c>
      <c r="N503" s="10"/>
      <c r="O503" s="10"/>
      <c r="P503" s="10"/>
      <c r="Q503" s="10"/>
      <c r="R503" s="10"/>
      <c r="S503" s="10"/>
      <c r="T503" s="10"/>
      <c r="U503" s="6">
        <f t="shared" si="151"/>
        <v>0.61</v>
      </c>
      <c r="V503" s="10">
        <v>0.11</v>
      </c>
      <c r="W503" s="10">
        <v>0.5</v>
      </c>
      <c r="X503" s="10"/>
      <c r="Y503" s="10"/>
      <c r="Z503" s="10"/>
      <c r="AA503" s="10"/>
      <c r="AB503" s="10"/>
      <c r="AC503" s="10"/>
      <c r="AD503" s="10"/>
      <c r="AE503" s="10"/>
      <c r="AF503" s="10">
        <v>0.01</v>
      </c>
      <c r="AG503" s="10">
        <v>0.02</v>
      </c>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t="s">
        <v>155</v>
      </c>
      <c r="BI503" s="56" t="s">
        <v>154</v>
      </c>
      <c r="BJ503" s="56" t="s">
        <v>857</v>
      </c>
      <c r="BK503" s="12" t="s">
        <v>374</v>
      </c>
      <c r="BL503" s="46" t="s">
        <v>190</v>
      </c>
      <c r="BM503" s="14" t="s">
        <v>935</v>
      </c>
      <c r="BN503" s="13" t="s">
        <v>1025</v>
      </c>
      <c r="BO503" s="15" t="s">
        <v>1147</v>
      </c>
      <c r="BQ503" s="17"/>
    </row>
    <row r="504" spans="1:69" ht="46.5">
      <c r="A504" s="1">
        <f>A500+1</f>
        <v>279</v>
      </c>
      <c r="B504" s="47" t="s">
        <v>858</v>
      </c>
      <c r="C504" s="121" t="s">
        <v>65</v>
      </c>
      <c r="D504" s="6" t="s">
        <v>216</v>
      </c>
      <c r="E504" s="5">
        <f>F504+G504</f>
        <v>1</v>
      </c>
      <c r="F504" s="73"/>
      <c r="G504" s="5">
        <f>SUM(H504:M504,Q504,U504,Y504:BG504)</f>
        <v>1</v>
      </c>
      <c r="H504" s="74"/>
      <c r="I504" s="74"/>
      <c r="J504" s="74"/>
      <c r="K504" s="74"/>
      <c r="L504" s="74"/>
      <c r="M504" s="10">
        <v>0</v>
      </c>
      <c r="N504" s="74"/>
      <c r="O504" s="74"/>
      <c r="P504" s="74"/>
      <c r="Q504" s="74"/>
      <c r="R504" s="74"/>
      <c r="S504" s="74"/>
      <c r="T504" s="74"/>
      <c r="U504" s="6">
        <f t="shared" si="151"/>
        <v>0</v>
      </c>
      <c r="V504" s="49"/>
      <c r="W504" s="49"/>
      <c r="X504" s="74"/>
      <c r="Y504" s="74"/>
      <c r="Z504" s="74"/>
      <c r="AA504" s="74"/>
      <c r="AB504" s="74"/>
      <c r="AC504" s="74"/>
      <c r="AD504" s="74"/>
      <c r="AE504" s="74"/>
      <c r="AF504" s="74"/>
      <c r="AG504" s="74"/>
      <c r="AH504" s="74"/>
      <c r="AI504" s="74"/>
      <c r="AJ504" s="74"/>
      <c r="AK504" s="74"/>
      <c r="AL504" s="74"/>
      <c r="AM504" s="74"/>
      <c r="AN504" s="74"/>
      <c r="AO504" s="74"/>
      <c r="AP504" s="74"/>
      <c r="AQ504" s="74"/>
      <c r="AR504" s="74"/>
      <c r="AS504" s="74"/>
      <c r="AT504" s="74"/>
      <c r="AU504" s="74"/>
      <c r="AV504" s="74"/>
      <c r="AW504" s="10"/>
      <c r="AX504" s="10"/>
      <c r="AY504" s="10"/>
      <c r="AZ504" s="10"/>
      <c r="BA504" s="10"/>
      <c r="BB504" s="10"/>
      <c r="BC504" s="10"/>
      <c r="BD504" s="10"/>
      <c r="BE504" s="10"/>
      <c r="BF504" s="10"/>
      <c r="BG504" s="10">
        <v>1</v>
      </c>
      <c r="BH504" s="60" t="s">
        <v>793</v>
      </c>
      <c r="BI504" s="121" t="s">
        <v>65</v>
      </c>
      <c r="BJ504" s="13"/>
      <c r="BK504" s="12" t="s">
        <v>374</v>
      </c>
      <c r="BL504" s="46" t="s">
        <v>923</v>
      </c>
      <c r="BM504" s="55" t="s">
        <v>194</v>
      </c>
      <c r="BN504" s="13" t="s">
        <v>1025</v>
      </c>
      <c r="BO504" s="15" t="s">
        <v>1147</v>
      </c>
      <c r="BQ504" s="17"/>
    </row>
    <row r="505" spans="1:71" s="100" customFormat="1" ht="24.75" customHeight="1">
      <c r="A505" s="66" t="s">
        <v>859</v>
      </c>
      <c r="B505" s="143" t="s">
        <v>860</v>
      </c>
      <c r="C505" s="264"/>
      <c r="D505" s="40"/>
      <c r="E505" s="81">
        <f>F505+G505</f>
        <v>122.32</v>
      </c>
      <c r="F505" s="123"/>
      <c r="G505" s="81">
        <f>SUM(H505:M505,Q505,U505,Y505:BG505)</f>
        <v>122.32</v>
      </c>
      <c r="H505" s="265">
        <f>H506</f>
        <v>0</v>
      </c>
      <c r="I505" s="265">
        <f aca="true" t="shared" si="152" ref="I505:BG505">I506</f>
        <v>58.32</v>
      </c>
      <c r="J505" s="265">
        <f t="shared" si="152"/>
        <v>0</v>
      </c>
      <c r="K505" s="265">
        <f t="shared" si="152"/>
        <v>64</v>
      </c>
      <c r="L505" s="265">
        <f t="shared" si="152"/>
        <v>0</v>
      </c>
      <c r="M505" s="265">
        <f t="shared" si="152"/>
        <v>0</v>
      </c>
      <c r="N505" s="265">
        <f t="shared" si="152"/>
        <v>0</v>
      </c>
      <c r="O505" s="265">
        <f t="shared" si="152"/>
        <v>0</v>
      </c>
      <c r="P505" s="265">
        <f t="shared" si="152"/>
        <v>0</v>
      </c>
      <c r="Q505" s="265">
        <f t="shared" si="152"/>
        <v>0</v>
      </c>
      <c r="R505" s="265">
        <f t="shared" si="152"/>
        <v>0</v>
      </c>
      <c r="S505" s="265">
        <f t="shared" si="152"/>
        <v>0</v>
      </c>
      <c r="T505" s="265">
        <f t="shared" si="152"/>
        <v>0</v>
      </c>
      <c r="U505" s="265">
        <f t="shared" si="152"/>
        <v>0</v>
      </c>
      <c r="V505" s="265">
        <f t="shared" si="152"/>
        <v>0</v>
      </c>
      <c r="W505" s="265">
        <f t="shared" si="152"/>
        <v>0</v>
      </c>
      <c r="X505" s="265">
        <f t="shared" si="152"/>
        <v>0</v>
      </c>
      <c r="Y505" s="265">
        <f t="shared" si="152"/>
        <v>0</v>
      </c>
      <c r="Z505" s="265">
        <f t="shared" si="152"/>
        <v>0</v>
      </c>
      <c r="AA505" s="265">
        <f t="shared" si="152"/>
        <v>0</v>
      </c>
      <c r="AB505" s="265">
        <f t="shared" si="152"/>
        <v>0</v>
      </c>
      <c r="AC505" s="265">
        <f t="shared" si="152"/>
        <v>0</v>
      </c>
      <c r="AD505" s="265">
        <f t="shared" si="152"/>
        <v>0</v>
      </c>
      <c r="AE505" s="265">
        <f t="shared" si="152"/>
        <v>0</v>
      </c>
      <c r="AF505" s="265">
        <f t="shared" si="152"/>
        <v>0</v>
      </c>
      <c r="AG505" s="265">
        <f t="shared" si="152"/>
        <v>0</v>
      </c>
      <c r="AH505" s="265">
        <f t="shared" si="152"/>
        <v>0</v>
      </c>
      <c r="AI505" s="265">
        <f t="shared" si="152"/>
        <v>0</v>
      </c>
      <c r="AJ505" s="265">
        <f t="shared" si="152"/>
        <v>0</v>
      </c>
      <c r="AK505" s="265">
        <f t="shared" si="152"/>
        <v>0</v>
      </c>
      <c r="AL505" s="265">
        <f t="shared" si="152"/>
        <v>0</v>
      </c>
      <c r="AM505" s="265">
        <f t="shared" si="152"/>
        <v>0</v>
      </c>
      <c r="AN505" s="265">
        <f t="shared" si="152"/>
        <v>0</v>
      </c>
      <c r="AO505" s="265">
        <f t="shared" si="152"/>
        <v>0</v>
      </c>
      <c r="AP505" s="265">
        <f t="shared" si="152"/>
        <v>0</v>
      </c>
      <c r="AQ505" s="265">
        <f t="shared" si="152"/>
        <v>0</v>
      </c>
      <c r="AR505" s="265">
        <f t="shared" si="152"/>
        <v>0</v>
      </c>
      <c r="AS505" s="265">
        <f t="shared" si="152"/>
        <v>0</v>
      </c>
      <c r="AT505" s="265">
        <f t="shared" si="152"/>
        <v>0</v>
      </c>
      <c r="AU505" s="265">
        <f t="shared" si="152"/>
        <v>0</v>
      </c>
      <c r="AV505" s="265">
        <f t="shared" si="152"/>
        <v>0</v>
      </c>
      <c r="AW505" s="265">
        <f t="shared" si="152"/>
        <v>0</v>
      </c>
      <c r="AX505" s="265">
        <f t="shared" si="152"/>
        <v>0</v>
      </c>
      <c r="AY505" s="265">
        <f t="shared" si="152"/>
        <v>0</v>
      </c>
      <c r="AZ505" s="265">
        <f t="shared" si="152"/>
        <v>0</v>
      </c>
      <c r="BA505" s="265">
        <f t="shared" si="152"/>
        <v>0</v>
      </c>
      <c r="BB505" s="265">
        <f t="shared" si="152"/>
        <v>0</v>
      </c>
      <c r="BC505" s="265">
        <f t="shared" si="152"/>
        <v>0</v>
      </c>
      <c r="BD505" s="265">
        <f t="shared" si="152"/>
        <v>0</v>
      </c>
      <c r="BE505" s="265">
        <f t="shared" si="152"/>
        <v>0</v>
      </c>
      <c r="BF505" s="265">
        <f t="shared" si="152"/>
        <v>0</v>
      </c>
      <c r="BG505" s="265">
        <f t="shared" si="152"/>
        <v>0</v>
      </c>
      <c r="BH505" s="70"/>
      <c r="BI505" s="264"/>
      <c r="BJ505" s="264"/>
      <c r="BK505" s="35"/>
      <c r="BL505" s="41"/>
      <c r="BM505" s="68"/>
      <c r="BN505" s="41"/>
      <c r="BO505" s="143"/>
      <c r="BP505" s="20"/>
      <c r="BS505" s="19"/>
    </row>
    <row r="506" spans="1:69" ht="70.5" customHeight="1">
      <c r="A506" s="1">
        <f>A504+1</f>
        <v>280</v>
      </c>
      <c r="B506" s="83" t="s">
        <v>861</v>
      </c>
      <c r="C506" s="56" t="s">
        <v>862</v>
      </c>
      <c r="D506" s="6" t="s">
        <v>863</v>
      </c>
      <c r="E506" s="45">
        <f>F506+G506</f>
        <v>122.32</v>
      </c>
      <c r="F506" s="5"/>
      <c r="G506" s="5">
        <f>SUM(H506:BG506)-U506-M506</f>
        <v>122.32</v>
      </c>
      <c r="H506" s="10"/>
      <c r="I506" s="10">
        <v>58.32</v>
      </c>
      <c r="J506" s="10"/>
      <c r="K506" s="10">
        <v>64</v>
      </c>
      <c r="L506" s="10"/>
      <c r="M506" s="10"/>
      <c r="N506" s="10"/>
      <c r="O506" s="10"/>
      <c r="P506" s="10"/>
      <c r="Q506" s="10"/>
      <c r="R506" s="10"/>
      <c r="S506" s="10"/>
      <c r="T506" s="10"/>
      <c r="U506" s="6"/>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56" t="s">
        <v>862</v>
      </c>
      <c r="BJ506" s="56"/>
      <c r="BK506" s="12" t="s">
        <v>386</v>
      </c>
      <c r="BL506" s="46" t="s">
        <v>190</v>
      </c>
      <c r="BM506" s="55" t="s">
        <v>941</v>
      </c>
      <c r="BN506" s="13" t="s">
        <v>1025</v>
      </c>
      <c r="BO506" s="15" t="s">
        <v>1147</v>
      </c>
      <c r="BQ506" s="17"/>
    </row>
    <row r="507" spans="1:69" ht="24" customHeight="1">
      <c r="A507" s="66" t="s">
        <v>859</v>
      </c>
      <c r="B507" s="143" t="s">
        <v>864</v>
      </c>
      <c r="C507" s="266"/>
      <c r="D507" s="36"/>
      <c r="E507" s="37">
        <f>SUM(F507:G507)</f>
        <v>104.6</v>
      </c>
      <c r="F507" s="251">
        <f>SUM(F508:F509)</f>
        <v>0</v>
      </c>
      <c r="G507" s="251">
        <f>SUM(G508:G509)</f>
        <v>104.6</v>
      </c>
      <c r="H507" s="251">
        <f>SUM(H508:H509)</f>
        <v>3.41</v>
      </c>
      <c r="I507" s="251">
        <f aca="true" t="shared" si="153" ref="I507:BG507">SUM(I508:I509)</f>
        <v>0.53</v>
      </c>
      <c r="J507" s="251">
        <f t="shared" si="153"/>
        <v>0</v>
      </c>
      <c r="K507" s="251">
        <f t="shared" si="153"/>
        <v>0</v>
      </c>
      <c r="L507" s="251">
        <f t="shared" si="153"/>
        <v>95.86</v>
      </c>
      <c r="M507" s="251">
        <f t="shared" si="153"/>
        <v>0</v>
      </c>
      <c r="N507" s="251">
        <f t="shared" si="153"/>
        <v>0</v>
      </c>
      <c r="O507" s="251">
        <f t="shared" si="153"/>
        <v>0</v>
      </c>
      <c r="P507" s="251">
        <f t="shared" si="153"/>
        <v>0</v>
      </c>
      <c r="Q507" s="251">
        <f t="shared" si="153"/>
        <v>0</v>
      </c>
      <c r="R507" s="251">
        <f t="shared" si="153"/>
        <v>0</v>
      </c>
      <c r="S507" s="251">
        <f t="shared" si="153"/>
        <v>0</v>
      </c>
      <c r="T507" s="251">
        <f t="shared" si="153"/>
        <v>0</v>
      </c>
      <c r="U507" s="251">
        <f t="shared" si="153"/>
        <v>3.87</v>
      </c>
      <c r="V507" s="251">
        <f t="shared" si="153"/>
        <v>3.87</v>
      </c>
      <c r="W507" s="251">
        <f t="shared" si="153"/>
        <v>0</v>
      </c>
      <c r="X507" s="251">
        <f t="shared" si="153"/>
        <v>0</v>
      </c>
      <c r="Y507" s="251">
        <f t="shared" si="153"/>
        <v>0.02</v>
      </c>
      <c r="Z507" s="251">
        <f t="shared" si="153"/>
        <v>0</v>
      </c>
      <c r="AA507" s="251">
        <f t="shared" si="153"/>
        <v>0</v>
      </c>
      <c r="AB507" s="251">
        <f t="shared" si="153"/>
        <v>0</v>
      </c>
      <c r="AC507" s="251">
        <f t="shared" si="153"/>
        <v>0</v>
      </c>
      <c r="AD507" s="251">
        <f t="shared" si="153"/>
        <v>0</v>
      </c>
      <c r="AE507" s="251">
        <f t="shared" si="153"/>
        <v>0</v>
      </c>
      <c r="AF507" s="251">
        <f t="shared" si="153"/>
        <v>0.91</v>
      </c>
      <c r="AG507" s="251">
        <f t="shared" si="153"/>
        <v>0</v>
      </c>
      <c r="AH507" s="251">
        <f t="shared" si="153"/>
        <v>0</v>
      </c>
      <c r="AI507" s="251">
        <f t="shared" si="153"/>
        <v>0</v>
      </c>
      <c r="AJ507" s="251">
        <f t="shared" si="153"/>
        <v>0</v>
      </c>
      <c r="AK507" s="251">
        <f t="shared" si="153"/>
        <v>0</v>
      </c>
      <c r="AL507" s="251">
        <f t="shared" si="153"/>
        <v>0</v>
      </c>
      <c r="AM507" s="251">
        <f t="shared" si="153"/>
        <v>0</v>
      </c>
      <c r="AN507" s="251">
        <f t="shared" si="153"/>
        <v>0</v>
      </c>
      <c r="AO507" s="251">
        <f t="shared" si="153"/>
        <v>0</v>
      </c>
      <c r="AP507" s="251">
        <f t="shared" si="153"/>
        <v>0</v>
      </c>
      <c r="AQ507" s="251">
        <f t="shared" si="153"/>
        <v>0</v>
      </c>
      <c r="AR507" s="251">
        <f t="shared" si="153"/>
        <v>0</v>
      </c>
      <c r="AS507" s="251">
        <f t="shared" si="153"/>
        <v>0</v>
      </c>
      <c r="AT507" s="251">
        <f t="shared" si="153"/>
        <v>0</v>
      </c>
      <c r="AU507" s="251">
        <f t="shared" si="153"/>
        <v>0</v>
      </c>
      <c r="AV507" s="251">
        <f t="shared" si="153"/>
        <v>0</v>
      </c>
      <c r="AW507" s="251">
        <f t="shared" si="153"/>
        <v>0</v>
      </c>
      <c r="AX507" s="251">
        <f t="shared" si="153"/>
        <v>0</v>
      </c>
      <c r="AY507" s="251">
        <f t="shared" si="153"/>
        <v>0</v>
      </c>
      <c r="AZ507" s="251">
        <f t="shared" si="153"/>
        <v>0</v>
      </c>
      <c r="BA507" s="251">
        <f t="shared" si="153"/>
        <v>0</v>
      </c>
      <c r="BB507" s="251">
        <f t="shared" si="153"/>
        <v>0</v>
      </c>
      <c r="BC507" s="251">
        <f t="shared" si="153"/>
        <v>0</v>
      </c>
      <c r="BD507" s="251">
        <f t="shared" si="153"/>
        <v>0</v>
      </c>
      <c r="BE507" s="251">
        <f t="shared" si="153"/>
        <v>0</v>
      </c>
      <c r="BF507" s="251">
        <f t="shared" si="153"/>
        <v>0</v>
      </c>
      <c r="BG507" s="251">
        <f t="shared" si="153"/>
        <v>0</v>
      </c>
      <c r="BH507" s="267"/>
      <c r="BI507" s="266"/>
      <c r="BJ507" s="41"/>
      <c r="BK507" s="238"/>
      <c r="BL507" s="41"/>
      <c r="BM507" s="41"/>
      <c r="BN507" s="13"/>
      <c r="BO507" s="15"/>
      <c r="BQ507" s="17"/>
    </row>
    <row r="508" spans="1:69" ht="108" customHeight="1">
      <c r="A508" s="1">
        <f>A506+1</f>
        <v>281</v>
      </c>
      <c r="B508" s="83" t="s">
        <v>865</v>
      </c>
      <c r="C508" s="121" t="s">
        <v>370</v>
      </c>
      <c r="D508" s="4" t="s">
        <v>13</v>
      </c>
      <c r="E508" s="45">
        <f aca="true" t="shared" si="154" ref="E508:E524">F508+G508</f>
        <v>103.69</v>
      </c>
      <c r="F508" s="5"/>
      <c r="G508" s="5">
        <f>SUM(H508:BG508)-U508-M508</f>
        <v>103.69</v>
      </c>
      <c r="H508" s="6">
        <v>3.41</v>
      </c>
      <c r="I508" s="7">
        <v>0.53</v>
      </c>
      <c r="J508" s="7"/>
      <c r="K508" s="7"/>
      <c r="L508" s="10">
        <v>95.86</v>
      </c>
      <c r="M508" s="10"/>
      <c r="N508" s="6"/>
      <c r="O508" s="6"/>
      <c r="P508" s="6"/>
      <c r="Q508" s="6"/>
      <c r="R508" s="6"/>
      <c r="S508" s="6"/>
      <c r="T508" s="6"/>
      <c r="U508" s="6">
        <f>SUM(V508:X508)</f>
        <v>3.87</v>
      </c>
      <c r="V508" s="49">
        <v>3.87</v>
      </c>
      <c r="W508" s="49"/>
      <c r="X508" s="49"/>
      <c r="Y508" s="49">
        <v>0.02</v>
      </c>
      <c r="Z508" s="49"/>
      <c r="AA508" s="49"/>
      <c r="AB508" s="49"/>
      <c r="AC508" s="49"/>
      <c r="AD508" s="49"/>
      <c r="AE508" s="49"/>
      <c r="AF508" s="49"/>
      <c r="AG508" s="49"/>
      <c r="AH508" s="49"/>
      <c r="AI508" s="49"/>
      <c r="AJ508" s="49"/>
      <c r="AK508" s="49"/>
      <c r="AL508" s="49"/>
      <c r="AM508" s="49"/>
      <c r="AN508" s="49"/>
      <c r="AO508" s="49"/>
      <c r="AP508" s="49"/>
      <c r="AQ508" s="49"/>
      <c r="AR508" s="49"/>
      <c r="AS508" s="49"/>
      <c r="AT508" s="10"/>
      <c r="AU508" s="49"/>
      <c r="AV508" s="49"/>
      <c r="AW508" s="49"/>
      <c r="AX508" s="49"/>
      <c r="AY508" s="49"/>
      <c r="AZ508" s="49"/>
      <c r="BA508" s="49"/>
      <c r="BB508" s="49"/>
      <c r="BC508" s="49"/>
      <c r="BD508" s="49"/>
      <c r="BE508" s="49"/>
      <c r="BF508" s="49"/>
      <c r="BG508" s="49"/>
      <c r="BH508" s="10" t="s">
        <v>254</v>
      </c>
      <c r="BI508" s="121" t="s">
        <v>370</v>
      </c>
      <c r="BJ508" s="14"/>
      <c r="BK508" s="12" t="s">
        <v>120</v>
      </c>
      <c r="BL508" s="46" t="s">
        <v>193</v>
      </c>
      <c r="BM508" s="55" t="s">
        <v>942</v>
      </c>
      <c r="BN508" s="13" t="s">
        <v>1025</v>
      </c>
      <c r="BO508" s="15" t="s">
        <v>1147</v>
      </c>
      <c r="BQ508" s="17"/>
    </row>
    <row r="509" spans="1:69" ht="129.75" customHeight="1">
      <c r="A509" s="188">
        <f>A508+1</f>
        <v>282</v>
      </c>
      <c r="B509" s="83" t="s">
        <v>866</v>
      </c>
      <c r="C509" s="14" t="s">
        <v>79</v>
      </c>
      <c r="D509" s="4" t="s">
        <v>13</v>
      </c>
      <c r="E509" s="45">
        <f t="shared" si="154"/>
        <v>0.91</v>
      </c>
      <c r="F509" s="5"/>
      <c r="G509" s="5">
        <f>SUM(H509:BG509)-U509-M509</f>
        <v>0.91</v>
      </c>
      <c r="H509" s="48">
        <v>0</v>
      </c>
      <c r="I509" s="48">
        <v>0</v>
      </c>
      <c r="J509" s="48">
        <v>0</v>
      </c>
      <c r="K509" s="48">
        <v>0</v>
      </c>
      <c r="L509" s="48">
        <v>0</v>
      </c>
      <c r="M509" s="48">
        <v>0</v>
      </c>
      <c r="N509" s="48">
        <v>0</v>
      </c>
      <c r="O509" s="48">
        <v>0</v>
      </c>
      <c r="P509" s="48">
        <v>0</v>
      </c>
      <c r="Q509" s="48">
        <v>0</v>
      </c>
      <c r="R509" s="48">
        <v>0</v>
      </c>
      <c r="S509" s="48">
        <v>0</v>
      </c>
      <c r="T509" s="48">
        <v>0</v>
      </c>
      <c r="U509" s="48">
        <v>0</v>
      </c>
      <c r="V509" s="48">
        <v>0</v>
      </c>
      <c r="W509" s="48">
        <v>0</v>
      </c>
      <c r="X509" s="48">
        <v>0</v>
      </c>
      <c r="Y509" s="48">
        <v>0</v>
      </c>
      <c r="Z509" s="48">
        <v>0</v>
      </c>
      <c r="AA509" s="48">
        <v>0</v>
      </c>
      <c r="AB509" s="48">
        <v>0</v>
      </c>
      <c r="AC509" s="48">
        <v>0</v>
      </c>
      <c r="AD509" s="48">
        <v>0</v>
      </c>
      <c r="AE509" s="48">
        <v>0</v>
      </c>
      <c r="AF509" s="48">
        <v>0.91</v>
      </c>
      <c r="AG509" s="48">
        <v>0</v>
      </c>
      <c r="AH509" s="48">
        <v>0</v>
      </c>
      <c r="AI509" s="48">
        <v>0</v>
      </c>
      <c r="AJ509" s="48">
        <v>0</v>
      </c>
      <c r="AK509" s="48">
        <v>0</v>
      </c>
      <c r="AL509" s="48">
        <v>0</v>
      </c>
      <c r="AM509" s="48">
        <v>0</v>
      </c>
      <c r="AN509" s="48">
        <v>0</v>
      </c>
      <c r="AO509" s="48">
        <v>0</v>
      </c>
      <c r="AP509" s="48">
        <v>0</v>
      </c>
      <c r="AQ509" s="48">
        <v>0</v>
      </c>
      <c r="AR509" s="48">
        <v>0</v>
      </c>
      <c r="AS509" s="48">
        <v>0</v>
      </c>
      <c r="AT509" s="48">
        <v>0</v>
      </c>
      <c r="AU509" s="48">
        <v>0</v>
      </c>
      <c r="AV509" s="48">
        <v>0</v>
      </c>
      <c r="AW509" s="48">
        <v>0</v>
      </c>
      <c r="AX509" s="48">
        <v>0</v>
      </c>
      <c r="AY509" s="48">
        <v>0</v>
      </c>
      <c r="AZ509" s="48">
        <v>0</v>
      </c>
      <c r="BA509" s="48">
        <v>0</v>
      </c>
      <c r="BB509" s="48">
        <v>0</v>
      </c>
      <c r="BC509" s="48">
        <v>0</v>
      </c>
      <c r="BD509" s="48">
        <v>0</v>
      </c>
      <c r="BE509" s="48">
        <v>0</v>
      </c>
      <c r="BF509" s="48">
        <v>0</v>
      </c>
      <c r="BG509" s="48">
        <v>0</v>
      </c>
      <c r="BH509" s="11" t="s">
        <v>254</v>
      </c>
      <c r="BI509" s="14" t="s">
        <v>79</v>
      </c>
      <c r="BJ509" s="14" t="s">
        <v>867</v>
      </c>
      <c r="BK509" s="12" t="s">
        <v>68</v>
      </c>
      <c r="BL509" s="13" t="s">
        <v>193</v>
      </c>
      <c r="BM509" s="14" t="s">
        <v>194</v>
      </c>
      <c r="BN509" s="13" t="s">
        <v>1025</v>
      </c>
      <c r="BO509" s="15" t="s">
        <v>1147</v>
      </c>
      <c r="BQ509" s="17"/>
    </row>
    <row r="510" spans="1:69" ht="21.75" customHeight="1">
      <c r="A510" s="66" t="s">
        <v>868</v>
      </c>
      <c r="B510" s="85" t="s">
        <v>869</v>
      </c>
      <c r="C510" s="84"/>
      <c r="D510" s="36"/>
      <c r="E510" s="69">
        <f t="shared" si="154"/>
        <v>1312.38</v>
      </c>
      <c r="F510" s="69">
        <v>0</v>
      </c>
      <c r="G510" s="69">
        <f>SUM(G511:G511)</f>
        <v>1312.38</v>
      </c>
      <c r="H510" s="69">
        <f>SUM(H511:H511)</f>
        <v>0.54</v>
      </c>
      <c r="I510" s="69">
        <f aca="true" t="shared" si="155" ref="I510:BG510">SUM(I511:I511)</f>
        <v>0.12</v>
      </c>
      <c r="J510" s="69">
        <f t="shared" si="155"/>
        <v>0</v>
      </c>
      <c r="K510" s="69">
        <f t="shared" si="155"/>
        <v>0.72</v>
      </c>
      <c r="L510" s="69">
        <f t="shared" si="155"/>
        <v>0</v>
      </c>
      <c r="M510" s="69">
        <f t="shared" si="155"/>
        <v>19.09</v>
      </c>
      <c r="N510" s="69">
        <f t="shared" si="155"/>
        <v>19.09</v>
      </c>
      <c r="O510" s="69">
        <f t="shared" si="155"/>
        <v>0</v>
      </c>
      <c r="P510" s="69">
        <f t="shared" si="155"/>
        <v>0</v>
      </c>
      <c r="Q510" s="69">
        <f t="shared" si="155"/>
        <v>0</v>
      </c>
      <c r="R510" s="69">
        <f t="shared" si="155"/>
        <v>0</v>
      </c>
      <c r="S510" s="69">
        <f t="shared" si="155"/>
        <v>0</v>
      </c>
      <c r="T510" s="69">
        <f t="shared" si="155"/>
        <v>0</v>
      </c>
      <c r="U510" s="69">
        <f t="shared" si="155"/>
        <v>1291.8</v>
      </c>
      <c r="V510" s="69">
        <f t="shared" si="155"/>
        <v>1291.8</v>
      </c>
      <c r="W510" s="69">
        <f t="shared" si="155"/>
        <v>0</v>
      </c>
      <c r="X510" s="69">
        <f t="shared" si="155"/>
        <v>0</v>
      </c>
      <c r="Y510" s="69">
        <f t="shared" si="155"/>
        <v>0.11</v>
      </c>
      <c r="Z510" s="69">
        <f t="shared" si="155"/>
        <v>0</v>
      </c>
      <c r="AA510" s="69">
        <f t="shared" si="155"/>
        <v>0</v>
      </c>
      <c r="AB510" s="69">
        <f t="shared" si="155"/>
        <v>0</v>
      </c>
      <c r="AC510" s="69">
        <f t="shared" si="155"/>
        <v>0</v>
      </c>
      <c r="AD510" s="69">
        <f t="shared" si="155"/>
        <v>0</v>
      </c>
      <c r="AE510" s="69">
        <f t="shared" si="155"/>
        <v>0</v>
      </c>
      <c r="AF510" s="69">
        <f t="shared" si="155"/>
        <v>0</v>
      </c>
      <c r="AG510" s="69">
        <f t="shared" si="155"/>
        <v>0</v>
      </c>
      <c r="AH510" s="69">
        <f t="shared" si="155"/>
        <v>0</v>
      </c>
      <c r="AI510" s="69">
        <f t="shared" si="155"/>
        <v>0</v>
      </c>
      <c r="AJ510" s="69">
        <f t="shared" si="155"/>
        <v>0</v>
      </c>
      <c r="AK510" s="69">
        <f t="shared" si="155"/>
        <v>0</v>
      </c>
      <c r="AL510" s="69">
        <f t="shared" si="155"/>
        <v>0</v>
      </c>
      <c r="AM510" s="69">
        <f t="shared" si="155"/>
        <v>0</v>
      </c>
      <c r="AN510" s="69">
        <f t="shared" si="155"/>
        <v>0</v>
      </c>
      <c r="AO510" s="69">
        <f t="shared" si="155"/>
        <v>0</v>
      </c>
      <c r="AP510" s="69">
        <f t="shared" si="155"/>
        <v>0</v>
      </c>
      <c r="AQ510" s="69">
        <f t="shared" si="155"/>
        <v>0</v>
      </c>
      <c r="AR510" s="69">
        <f t="shared" si="155"/>
        <v>0</v>
      </c>
      <c r="AS510" s="69">
        <f t="shared" si="155"/>
        <v>0</v>
      </c>
      <c r="AT510" s="69">
        <f t="shared" si="155"/>
        <v>0</v>
      </c>
      <c r="AU510" s="69">
        <f t="shared" si="155"/>
        <v>0</v>
      </c>
      <c r="AV510" s="69">
        <f t="shared" si="155"/>
        <v>0</v>
      </c>
      <c r="AW510" s="69">
        <f t="shared" si="155"/>
        <v>0</v>
      </c>
      <c r="AX510" s="69">
        <f t="shared" si="155"/>
        <v>0</v>
      </c>
      <c r="AY510" s="69">
        <f t="shared" si="155"/>
        <v>0</v>
      </c>
      <c r="AZ510" s="69">
        <f t="shared" si="155"/>
        <v>0</v>
      </c>
      <c r="BA510" s="69">
        <f t="shared" si="155"/>
        <v>0</v>
      </c>
      <c r="BB510" s="69">
        <f t="shared" si="155"/>
        <v>0</v>
      </c>
      <c r="BC510" s="69">
        <f t="shared" si="155"/>
        <v>0</v>
      </c>
      <c r="BD510" s="69">
        <f t="shared" si="155"/>
        <v>0</v>
      </c>
      <c r="BE510" s="69">
        <f t="shared" si="155"/>
        <v>0</v>
      </c>
      <c r="BF510" s="69">
        <f t="shared" si="155"/>
        <v>0</v>
      </c>
      <c r="BG510" s="69">
        <f t="shared" si="155"/>
        <v>0</v>
      </c>
      <c r="BH510" s="46"/>
      <c r="BI510" s="84"/>
      <c r="BJ510" s="46"/>
      <c r="BK510" s="46"/>
      <c r="BL510" s="46"/>
      <c r="BM510" s="46"/>
      <c r="BN510" s="13"/>
      <c r="BO510" s="15"/>
      <c r="BQ510" s="17"/>
    </row>
    <row r="511" spans="1:71" s="93" customFormat="1" ht="90.75" customHeight="1">
      <c r="A511" s="1">
        <f>A509+1</f>
        <v>283</v>
      </c>
      <c r="B511" s="118" t="s">
        <v>870</v>
      </c>
      <c r="C511" s="121" t="s">
        <v>370</v>
      </c>
      <c r="D511" s="4" t="s">
        <v>14</v>
      </c>
      <c r="E511" s="45">
        <f t="shared" si="154"/>
        <v>1312.38</v>
      </c>
      <c r="F511" s="73"/>
      <c r="G511" s="5">
        <f>SUM(H511:BG511)-U511-M511</f>
        <v>1312.38</v>
      </c>
      <c r="H511" s="10">
        <v>0.54</v>
      </c>
      <c r="I511" s="10">
        <v>0.12</v>
      </c>
      <c r="J511" s="10"/>
      <c r="K511" s="10">
        <v>0.72</v>
      </c>
      <c r="L511" s="10"/>
      <c r="M511" s="10">
        <v>19.09</v>
      </c>
      <c r="N511" s="10">
        <v>19.09</v>
      </c>
      <c r="O511" s="10"/>
      <c r="P511" s="10"/>
      <c r="Q511" s="10"/>
      <c r="R511" s="10"/>
      <c r="S511" s="10"/>
      <c r="T511" s="10"/>
      <c r="U511" s="6">
        <f>SUM(V511:X511)</f>
        <v>1291.8</v>
      </c>
      <c r="V511" s="76">
        <v>1291.8</v>
      </c>
      <c r="W511" s="76"/>
      <c r="X511" s="76"/>
      <c r="Y511" s="10">
        <v>0.11</v>
      </c>
      <c r="Z511" s="10"/>
      <c r="AA511" s="10"/>
      <c r="AB511" s="10"/>
      <c r="AC511" s="10"/>
      <c r="AD511" s="10"/>
      <c r="AE511" s="10"/>
      <c r="AF511" s="10"/>
      <c r="AG511" s="10"/>
      <c r="AH511" s="10"/>
      <c r="AI511" s="10"/>
      <c r="AJ511" s="10"/>
      <c r="AK511" s="10"/>
      <c r="AL511" s="10"/>
      <c r="AM511" s="10"/>
      <c r="AN511" s="10"/>
      <c r="AO511" s="10"/>
      <c r="AP511" s="10"/>
      <c r="AQ511" s="10"/>
      <c r="AR511" s="10"/>
      <c r="AS511" s="10"/>
      <c r="AT511" s="74"/>
      <c r="AU511" s="10"/>
      <c r="AV511" s="49"/>
      <c r="AW511" s="10"/>
      <c r="AX511" s="10"/>
      <c r="AY511" s="10"/>
      <c r="AZ511" s="10"/>
      <c r="BA511" s="10"/>
      <c r="BB511" s="10"/>
      <c r="BC511" s="10"/>
      <c r="BD511" s="10"/>
      <c r="BE511" s="10"/>
      <c r="BF511" s="10"/>
      <c r="BG511" s="10"/>
      <c r="BH511" s="10" t="s">
        <v>871</v>
      </c>
      <c r="BI511" s="121" t="s">
        <v>370</v>
      </c>
      <c r="BJ511" s="14"/>
      <c r="BK511" s="12" t="s">
        <v>120</v>
      </c>
      <c r="BL511" s="46" t="s">
        <v>190</v>
      </c>
      <c r="BM511" s="14" t="s">
        <v>943</v>
      </c>
      <c r="BN511" s="46" t="s">
        <v>1025</v>
      </c>
      <c r="BO511" s="179" t="s">
        <v>1147</v>
      </c>
      <c r="BP511" s="92"/>
      <c r="BS511" s="94"/>
    </row>
    <row r="512" spans="1:69" ht="15">
      <c r="A512" s="66" t="s">
        <v>872</v>
      </c>
      <c r="B512" s="85" t="s">
        <v>873</v>
      </c>
      <c r="C512" s="39"/>
      <c r="D512" s="36"/>
      <c r="E512" s="38">
        <f t="shared" si="154"/>
        <v>1.6099999999999999</v>
      </c>
      <c r="F512" s="38"/>
      <c r="G512" s="38">
        <f>SUM(G513:G517)</f>
        <v>1.6099999999999999</v>
      </c>
      <c r="H512" s="38">
        <f>SUM(H513:H517)</f>
        <v>0.9</v>
      </c>
      <c r="I512" s="38">
        <f aca="true" t="shared" si="156" ref="I512:BG512">SUM(I513:I517)</f>
        <v>0.42000000000000004</v>
      </c>
      <c r="J512" s="38">
        <f t="shared" si="156"/>
        <v>0</v>
      </c>
      <c r="K512" s="38">
        <f t="shared" si="156"/>
        <v>0.22</v>
      </c>
      <c r="L512" s="38">
        <f t="shared" si="156"/>
        <v>0.07</v>
      </c>
      <c r="M512" s="38">
        <f t="shared" si="156"/>
        <v>0</v>
      </c>
      <c r="N512" s="38">
        <f t="shared" si="156"/>
        <v>0</v>
      </c>
      <c r="O512" s="38">
        <f t="shared" si="156"/>
        <v>0</v>
      </c>
      <c r="P512" s="38">
        <f t="shared" si="156"/>
        <v>0</v>
      </c>
      <c r="Q512" s="38">
        <f t="shared" si="156"/>
        <v>0</v>
      </c>
      <c r="R512" s="38">
        <f t="shared" si="156"/>
        <v>0</v>
      </c>
      <c r="S512" s="38">
        <f t="shared" si="156"/>
        <v>0</v>
      </c>
      <c r="T512" s="38">
        <f t="shared" si="156"/>
        <v>0</v>
      </c>
      <c r="U512" s="38">
        <f t="shared" si="156"/>
        <v>0</v>
      </c>
      <c r="V512" s="38">
        <f t="shared" si="156"/>
        <v>0</v>
      </c>
      <c r="W512" s="38">
        <f t="shared" si="156"/>
        <v>0</v>
      </c>
      <c r="X512" s="38">
        <f t="shared" si="156"/>
        <v>0</v>
      </c>
      <c r="Y512" s="38">
        <f t="shared" si="156"/>
        <v>0</v>
      </c>
      <c r="Z512" s="38">
        <f t="shared" si="156"/>
        <v>0</v>
      </c>
      <c r="AA512" s="38">
        <f t="shared" si="156"/>
        <v>0</v>
      </c>
      <c r="AB512" s="38">
        <f t="shared" si="156"/>
        <v>0</v>
      </c>
      <c r="AC512" s="38">
        <f t="shared" si="156"/>
        <v>0</v>
      </c>
      <c r="AD512" s="38">
        <f t="shared" si="156"/>
        <v>0</v>
      </c>
      <c r="AE512" s="38">
        <f t="shared" si="156"/>
        <v>0</v>
      </c>
      <c r="AF512" s="38">
        <f t="shared" si="156"/>
        <v>0</v>
      </c>
      <c r="AG512" s="38">
        <f t="shared" si="156"/>
        <v>0</v>
      </c>
      <c r="AH512" s="38">
        <f t="shared" si="156"/>
        <v>0</v>
      </c>
      <c r="AI512" s="38">
        <f t="shared" si="156"/>
        <v>0</v>
      </c>
      <c r="AJ512" s="38">
        <f t="shared" si="156"/>
        <v>0</v>
      </c>
      <c r="AK512" s="38">
        <f t="shared" si="156"/>
        <v>0</v>
      </c>
      <c r="AL512" s="38">
        <f t="shared" si="156"/>
        <v>0</v>
      </c>
      <c r="AM512" s="38">
        <f t="shared" si="156"/>
        <v>0</v>
      </c>
      <c r="AN512" s="38">
        <f t="shared" si="156"/>
        <v>0</v>
      </c>
      <c r="AO512" s="38">
        <f t="shared" si="156"/>
        <v>0</v>
      </c>
      <c r="AP512" s="38">
        <f t="shared" si="156"/>
        <v>0</v>
      </c>
      <c r="AQ512" s="38">
        <f t="shared" si="156"/>
        <v>0</v>
      </c>
      <c r="AR512" s="38">
        <f t="shared" si="156"/>
        <v>0</v>
      </c>
      <c r="AS512" s="38">
        <f t="shared" si="156"/>
        <v>0</v>
      </c>
      <c r="AT512" s="38">
        <f t="shared" si="156"/>
        <v>0</v>
      </c>
      <c r="AU512" s="38">
        <f t="shared" si="156"/>
        <v>0</v>
      </c>
      <c r="AV512" s="38">
        <f t="shared" si="156"/>
        <v>0</v>
      </c>
      <c r="AW512" s="38">
        <f t="shared" si="156"/>
        <v>0</v>
      </c>
      <c r="AX512" s="38">
        <f t="shared" si="156"/>
        <v>0</v>
      </c>
      <c r="AY512" s="38">
        <f t="shared" si="156"/>
        <v>0</v>
      </c>
      <c r="AZ512" s="38">
        <f t="shared" si="156"/>
        <v>0</v>
      </c>
      <c r="BA512" s="38">
        <f t="shared" si="156"/>
        <v>0</v>
      </c>
      <c r="BB512" s="38">
        <f t="shared" si="156"/>
        <v>0</v>
      </c>
      <c r="BC512" s="38">
        <f t="shared" si="156"/>
        <v>0</v>
      </c>
      <c r="BD512" s="38">
        <f t="shared" si="156"/>
        <v>0</v>
      </c>
      <c r="BE512" s="38">
        <f t="shared" si="156"/>
        <v>0</v>
      </c>
      <c r="BF512" s="38">
        <f t="shared" si="156"/>
        <v>0</v>
      </c>
      <c r="BG512" s="38">
        <f t="shared" si="156"/>
        <v>0</v>
      </c>
      <c r="BH512" s="39"/>
      <c r="BI512" s="39"/>
      <c r="BJ512" s="39"/>
      <c r="BK512" s="39"/>
      <c r="BL512" s="39"/>
      <c r="BM512" s="39"/>
      <c r="BN512" s="13"/>
      <c r="BO512" s="15"/>
      <c r="BQ512" s="17"/>
    </row>
    <row r="513" spans="1:71" s="93" customFormat="1" ht="63" customHeight="1">
      <c r="A513" s="284">
        <f>A511+1</f>
        <v>284</v>
      </c>
      <c r="B513" s="288" t="s">
        <v>874</v>
      </c>
      <c r="C513" s="14" t="s">
        <v>79</v>
      </c>
      <c r="D513" s="4" t="s">
        <v>27</v>
      </c>
      <c r="E513" s="45">
        <f t="shared" si="154"/>
        <v>0.39</v>
      </c>
      <c r="F513" s="73"/>
      <c r="G513" s="5">
        <f>SUM(H513:M513,Q513,U513,Y513:BG513)</f>
        <v>0.39</v>
      </c>
      <c r="H513" s="46">
        <v>0.39</v>
      </c>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11" t="s">
        <v>254</v>
      </c>
      <c r="BI513" s="14" t="s">
        <v>79</v>
      </c>
      <c r="BJ513" s="14" t="s">
        <v>875</v>
      </c>
      <c r="BK513" s="12" t="s">
        <v>120</v>
      </c>
      <c r="BL513" s="46" t="s">
        <v>190</v>
      </c>
      <c r="BM513" s="14" t="s">
        <v>935</v>
      </c>
      <c r="BN513" s="46" t="s">
        <v>1025</v>
      </c>
      <c r="BO513" s="179" t="s">
        <v>1147</v>
      </c>
      <c r="BP513" s="92"/>
      <c r="BS513" s="94"/>
    </row>
    <row r="514" spans="1:71" s="93" customFormat="1" ht="46.5">
      <c r="A514" s="284"/>
      <c r="B514" s="288"/>
      <c r="C514" s="60" t="s">
        <v>122</v>
      </c>
      <c r="D514" s="4" t="s">
        <v>27</v>
      </c>
      <c r="E514" s="45">
        <f t="shared" si="154"/>
        <v>0.09000000000000001</v>
      </c>
      <c r="F514" s="73"/>
      <c r="G514" s="5">
        <f>SUM(H514:M514,Q514,U514,Y514:BG514)</f>
        <v>0.09000000000000001</v>
      </c>
      <c r="H514" s="46"/>
      <c r="I514" s="46">
        <v>0.02</v>
      </c>
      <c r="J514" s="46"/>
      <c r="K514" s="46"/>
      <c r="L514" s="46">
        <v>0.07</v>
      </c>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6"/>
      <c r="AL514" s="46"/>
      <c r="AM514" s="46"/>
      <c r="AN514" s="46"/>
      <c r="AO514" s="46"/>
      <c r="AP514" s="46"/>
      <c r="AQ514" s="46"/>
      <c r="AR514" s="46"/>
      <c r="AS514" s="46"/>
      <c r="AT514" s="46"/>
      <c r="AU514" s="46"/>
      <c r="AV514" s="46"/>
      <c r="AW514" s="46"/>
      <c r="AX514" s="46"/>
      <c r="AY514" s="46"/>
      <c r="AZ514" s="46"/>
      <c r="BA514" s="46"/>
      <c r="BB514" s="46"/>
      <c r="BC514" s="46"/>
      <c r="BD514" s="46"/>
      <c r="BE514" s="46"/>
      <c r="BF514" s="46"/>
      <c r="BG514" s="46"/>
      <c r="BH514" s="10" t="s">
        <v>876</v>
      </c>
      <c r="BI514" s="60" t="s">
        <v>122</v>
      </c>
      <c r="BJ514" s="14" t="s">
        <v>877</v>
      </c>
      <c r="BK514" s="12" t="s">
        <v>120</v>
      </c>
      <c r="BL514" s="46" t="s">
        <v>190</v>
      </c>
      <c r="BM514" s="13" t="s">
        <v>194</v>
      </c>
      <c r="BN514" s="46" t="s">
        <v>1025</v>
      </c>
      <c r="BO514" s="179" t="s">
        <v>1147</v>
      </c>
      <c r="BP514" s="92"/>
      <c r="BS514" s="94"/>
    </row>
    <row r="515" spans="1:71" s="93" customFormat="1" ht="46.5">
      <c r="A515" s="284"/>
      <c r="B515" s="288"/>
      <c r="C515" s="14" t="s">
        <v>145</v>
      </c>
      <c r="D515" s="4" t="s">
        <v>27</v>
      </c>
      <c r="E515" s="45">
        <f t="shared" si="154"/>
        <v>0.17</v>
      </c>
      <c r="F515" s="73"/>
      <c r="G515" s="5">
        <f>SUM(H515:M515,Q515,U515,Y515:BG515)</f>
        <v>0.17</v>
      </c>
      <c r="H515" s="46">
        <v>0.17</v>
      </c>
      <c r="I515" s="46"/>
      <c r="J515" s="46">
        <v>0</v>
      </c>
      <c r="K515" s="46"/>
      <c r="L515" s="46">
        <v>0</v>
      </c>
      <c r="M515" s="46">
        <v>0</v>
      </c>
      <c r="N515" s="46">
        <v>0</v>
      </c>
      <c r="O515" s="46">
        <v>0</v>
      </c>
      <c r="P515" s="46">
        <v>0</v>
      </c>
      <c r="Q515" s="46">
        <v>0</v>
      </c>
      <c r="R515" s="46">
        <v>0</v>
      </c>
      <c r="S515" s="46">
        <v>0</v>
      </c>
      <c r="T515" s="46">
        <v>0</v>
      </c>
      <c r="U515" s="46">
        <v>0</v>
      </c>
      <c r="V515" s="46">
        <v>0</v>
      </c>
      <c r="W515" s="46">
        <v>0</v>
      </c>
      <c r="X515" s="46">
        <v>0</v>
      </c>
      <c r="Y515" s="46">
        <v>0</v>
      </c>
      <c r="Z515" s="46">
        <v>0</v>
      </c>
      <c r="AA515" s="46">
        <v>0</v>
      </c>
      <c r="AB515" s="46">
        <v>0</v>
      </c>
      <c r="AC515" s="46">
        <v>0</v>
      </c>
      <c r="AD515" s="46">
        <v>0</v>
      </c>
      <c r="AE515" s="46">
        <v>0</v>
      </c>
      <c r="AF515" s="46">
        <v>0</v>
      </c>
      <c r="AG515" s="46">
        <v>0</v>
      </c>
      <c r="AH515" s="46">
        <v>0</v>
      </c>
      <c r="AI515" s="46">
        <v>0</v>
      </c>
      <c r="AJ515" s="46">
        <v>0</v>
      </c>
      <c r="AK515" s="46">
        <v>0</v>
      </c>
      <c r="AL515" s="46">
        <v>0</v>
      </c>
      <c r="AM515" s="46">
        <v>0</v>
      </c>
      <c r="AN515" s="46">
        <v>0</v>
      </c>
      <c r="AO515" s="46">
        <v>0</v>
      </c>
      <c r="AP515" s="46">
        <v>0</v>
      </c>
      <c r="AQ515" s="46">
        <v>0</v>
      </c>
      <c r="AR515" s="46">
        <v>0</v>
      </c>
      <c r="AS515" s="46">
        <v>0</v>
      </c>
      <c r="AT515" s="46">
        <v>0</v>
      </c>
      <c r="AU515" s="46">
        <v>0</v>
      </c>
      <c r="AV515" s="46">
        <v>0</v>
      </c>
      <c r="AW515" s="46">
        <v>0</v>
      </c>
      <c r="AX515" s="46">
        <v>0</v>
      </c>
      <c r="AY515" s="46">
        <v>0</v>
      </c>
      <c r="AZ515" s="46">
        <v>0</v>
      </c>
      <c r="BA515" s="46">
        <v>0</v>
      </c>
      <c r="BB515" s="46">
        <v>0</v>
      </c>
      <c r="BC515" s="46">
        <v>0</v>
      </c>
      <c r="BD515" s="46">
        <v>0</v>
      </c>
      <c r="BE515" s="46">
        <v>0</v>
      </c>
      <c r="BF515" s="46">
        <v>0</v>
      </c>
      <c r="BG515" s="46">
        <v>0</v>
      </c>
      <c r="BH515" s="11" t="s">
        <v>657</v>
      </c>
      <c r="BI515" s="14" t="s">
        <v>145</v>
      </c>
      <c r="BJ515" s="177" t="s">
        <v>878</v>
      </c>
      <c r="BK515" s="12" t="s">
        <v>967</v>
      </c>
      <c r="BL515" s="46" t="s">
        <v>190</v>
      </c>
      <c r="BM515" s="14" t="s">
        <v>935</v>
      </c>
      <c r="BN515" s="46" t="s">
        <v>1025</v>
      </c>
      <c r="BO515" s="179" t="s">
        <v>1147</v>
      </c>
      <c r="BP515" s="92"/>
      <c r="BS515" s="94"/>
    </row>
    <row r="516" spans="1:71" s="93" customFormat="1" ht="93">
      <c r="A516" s="284"/>
      <c r="B516" s="288"/>
      <c r="C516" s="121" t="s">
        <v>99</v>
      </c>
      <c r="D516" s="4" t="s">
        <v>27</v>
      </c>
      <c r="E516" s="45">
        <f t="shared" si="154"/>
        <v>0.38</v>
      </c>
      <c r="F516" s="73"/>
      <c r="G516" s="5">
        <f>SUM(H516:M516,Q516,U516,Y516:BG516)</f>
        <v>0.38</v>
      </c>
      <c r="H516" s="48">
        <v>0.13</v>
      </c>
      <c r="I516" s="48">
        <f>0.14</f>
        <v>0.14</v>
      </c>
      <c r="J516" s="48"/>
      <c r="K516" s="48">
        <v>0.11</v>
      </c>
      <c r="L516" s="48"/>
      <c r="M516" s="48"/>
      <c r="N516" s="48"/>
      <c r="O516" s="48"/>
      <c r="P516" s="48"/>
      <c r="Q516" s="48"/>
      <c r="R516" s="48"/>
      <c r="S516" s="48"/>
      <c r="T516" s="48"/>
      <c r="U516" s="48"/>
      <c r="V516" s="48"/>
      <c r="W516" s="48"/>
      <c r="X516" s="48"/>
      <c r="Y516" s="62"/>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c r="BH516" s="11" t="s">
        <v>254</v>
      </c>
      <c r="BI516" s="121" t="s">
        <v>99</v>
      </c>
      <c r="BJ516" s="177" t="s">
        <v>879</v>
      </c>
      <c r="BK516" s="12" t="s">
        <v>120</v>
      </c>
      <c r="BL516" s="46" t="s">
        <v>190</v>
      </c>
      <c r="BM516" s="121" t="s">
        <v>194</v>
      </c>
      <c r="BN516" s="46" t="s">
        <v>1025</v>
      </c>
      <c r="BO516" s="179" t="s">
        <v>1147</v>
      </c>
      <c r="BP516" s="92"/>
      <c r="BS516" s="94"/>
    </row>
    <row r="517" spans="1:71" s="93" customFormat="1" ht="108.75">
      <c r="A517" s="284"/>
      <c r="B517" s="288"/>
      <c r="C517" s="14" t="s">
        <v>106</v>
      </c>
      <c r="D517" s="4" t="s">
        <v>27</v>
      </c>
      <c r="E517" s="45">
        <f t="shared" si="154"/>
        <v>0.58</v>
      </c>
      <c r="F517" s="73"/>
      <c r="G517" s="5">
        <f>SUM(H517:M517,Q517,U517,Y517:BG517)</f>
        <v>0.58</v>
      </c>
      <c r="H517" s="48">
        <v>0.21</v>
      </c>
      <c r="I517" s="48">
        <v>0.26</v>
      </c>
      <c r="J517" s="48"/>
      <c r="K517" s="48">
        <v>0.11</v>
      </c>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c r="BH517" s="11" t="s">
        <v>934</v>
      </c>
      <c r="BI517" s="14" t="s">
        <v>106</v>
      </c>
      <c r="BJ517" s="4" t="s">
        <v>880</v>
      </c>
      <c r="BK517" s="12" t="s">
        <v>120</v>
      </c>
      <c r="BL517" s="46" t="s">
        <v>190</v>
      </c>
      <c r="BM517" s="14" t="s">
        <v>935</v>
      </c>
      <c r="BN517" s="46" t="s">
        <v>1025</v>
      </c>
      <c r="BO517" s="179" t="s">
        <v>1147</v>
      </c>
      <c r="BP517" s="92"/>
      <c r="BS517" s="94"/>
    </row>
    <row r="518" spans="1:69" ht="15">
      <c r="A518" s="66" t="s">
        <v>881</v>
      </c>
      <c r="B518" s="85" t="s">
        <v>882</v>
      </c>
      <c r="C518" s="39"/>
      <c r="D518" s="36" t="s">
        <v>28</v>
      </c>
      <c r="E518" s="38">
        <f t="shared" si="154"/>
        <v>58.7</v>
      </c>
      <c r="F518" s="38">
        <f aca="true" t="shared" si="157" ref="F518:AK518">SUM(F519:F532)</f>
        <v>0</v>
      </c>
      <c r="G518" s="38">
        <f t="shared" si="157"/>
        <v>58.7</v>
      </c>
      <c r="H518" s="38">
        <f t="shared" si="157"/>
        <v>1.5100000000000002</v>
      </c>
      <c r="I518" s="38">
        <f t="shared" si="157"/>
        <v>1.03</v>
      </c>
      <c r="J518" s="38">
        <f t="shared" si="157"/>
        <v>0</v>
      </c>
      <c r="K518" s="38">
        <f t="shared" si="157"/>
        <v>3.54</v>
      </c>
      <c r="L518" s="38">
        <f t="shared" si="157"/>
        <v>0.41000000000000003</v>
      </c>
      <c r="M518" s="38">
        <f t="shared" si="157"/>
        <v>2.92</v>
      </c>
      <c r="N518" s="38">
        <f t="shared" si="157"/>
        <v>0</v>
      </c>
      <c r="O518" s="38">
        <f t="shared" si="157"/>
        <v>0</v>
      </c>
      <c r="P518" s="38">
        <f t="shared" si="157"/>
        <v>0</v>
      </c>
      <c r="Q518" s="38">
        <f t="shared" si="157"/>
        <v>0</v>
      </c>
      <c r="R518" s="38">
        <f t="shared" si="157"/>
        <v>0</v>
      </c>
      <c r="S518" s="38">
        <f t="shared" si="157"/>
        <v>0</v>
      </c>
      <c r="T518" s="38">
        <f t="shared" si="157"/>
        <v>0</v>
      </c>
      <c r="U518" s="38">
        <f t="shared" si="157"/>
        <v>48.6</v>
      </c>
      <c r="V518" s="38">
        <f t="shared" si="157"/>
        <v>31.37</v>
      </c>
      <c r="W518" s="38">
        <f t="shared" si="157"/>
        <v>10.669999999999998</v>
      </c>
      <c r="X518" s="38">
        <f t="shared" si="157"/>
        <v>6.5600000000000005</v>
      </c>
      <c r="Y518" s="38">
        <f t="shared" si="157"/>
        <v>0.48</v>
      </c>
      <c r="Z518" s="38">
        <f t="shared" si="157"/>
        <v>0</v>
      </c>
      <c r="AA518" s="38">
        <f t="shared" si="157"/>
        <v>0</v>
      </c>
      <c r="AB518" s="38">
        <f t="shared" si="157"/>
        <v>0</v>
      </c>
      <c r="AC518" s="38">
        <f t="shared" si="157"/>
        <v>0</v>
      </c>
      <c r="AD518" s="38">
        <f t="shared" si="157"/>
        <v>0</v>
      </c>
      <c r="AE518" s="38">
        <f t="shared" si="157"/>
        <v>0</v>
      </c>
      <c r="AF518" s="38">
        <f t="shared" si="157"/>
        <v>0.04</v>
      </c>
      <c r="AG518" s="38">
        <f t="shared" si="157"/>
        <v>0</v>
      </c>
      <c r="AH518" s="38">
        <f t="shared" si="157"/>
        <v>0</v>
      </c>
      <c r="AI518" s="38">
        <f t="shared" si="157"/>
        <v>0</v>
      </c>
      <c r="AJ518" s="38">
        <f t="shared" si="157"/>
        <v>0</v>
      </c>
      <c r="AK518" s="38">
        <f t="shared" si="157"/>
        <v>0</v>
      </c>
      <c r="AL518" s="38">
        <f aca="true" t="shared" si="158" ref="AL518:BG518">SUM(AL519:AL532)</f>
        <v>0</v>
      </c>
      <c r="AM518" s="38">
        <f t="shared" si="158"/>
        <v>0</v>
      </c>
      <c r="AN518" s="38">
        <f t="shared" si="158"/>
        <v>0</v>
      </c>
      <c r="AO518" s="38">
        <f t="shared" si="158"/>
        <v>0</v>
      </c>
      <c r="AP518" s="38">
        <f t="shared" si="158"/>
        <v>0</v>
      </c>
      <c r="AQ518" s="38">
        <f t="shared" si="158"/>
        <v>0</v>
      </c>
      <c r="AR518" s="38">
        <f t="shared" si="158"/>
        <v>0</v>
      </c>
      <c r="AS518" s="38">
        <f t="shared" si="158"/>
        <v>0</v>
      </c>
      <c r="AT518" s="38">
        <f t="shared" si="158"/>
        <v>0</v>
      </c>
      <c r="AU518" s="38">
        <f t="shared" si="158"/>
        <v>0</v>
      </c>
      <c r="AV518" s="38">
        <f t="shared" si="158"/>
        <v>0</v>
      </c>
      <c r="AW518" s="38">
        <f t="shared" si="158"/>
        <v>0</v>
      </c>
      <c r="AX518" s="38">
        <f t="shared" si="158"/>
        <v>0</v>
      </c>
      <c r="AY518" s="38">
        <f t="shared" si="158"/>
        <v>0</v>
      </c>
      <c r="AZ518" s="38">
        <f t="shared" si="158"/>
        <v>0</v>
      </c>
      <c r="BA518" s="38">
        <f t="shared" si="158"/>
        <v>0</v>
      </c>
      <c r="BB518" s="38">
        <f t="shared" si="158"/>
        <v>0</v>
      </c>
      <c r="BC518" s="38">
        <f t="shared" si="158"/>
        <v>0</v>
      </c>
      <c r="BD518" s="38">
        <f t="shared" si="158"/>
        <v>0</v>
      </c>
      <c r="BE518" s="38">
        <f t="shared" si="158"/>
        <v>0</v>
      </c>
      <c r="BF518" s="38">
        <f t="shared" si="158"/>
        <v>0</v>
      </c>
      <c r="BG518" s="38">
        <f t="shared" si="158"/>
        <v>0.17</v>
      </c>
      <c r="BH518" s="39"/>
      <c r="BI518" s="39"/>
      <c r="BJ518" s="39"/>
      <c r="BK518" s="39"/>
      <c r="BL518" s="39"/>
      <c r="BM518" s="39"/>
      <c r="BN518" s="13"/>
      <c r="BO518" s="15"/>
      <c r="BQ518" s="17"/>
    </row>
    <row r="519" spans="1:69" ht="46.5">
      <c r="A519" s="284">
        <f>+A513+1</f>
        <v>285</v>
      </c>
      <c r="B519" s="289" t="s">
        <v>1015</v>
      </c>
      <c r="C519" s="60" t="s">
        <v>71</v>
      </c>
      <c r="D519" s="4" t="s">
        <v>28</v>
      </c>
      <c r="E519" s="45">
        <f t="shared" si="154"/>
        <v>1.5</v>
      </c>
      <c r="F519" s="73"/>
      <c r="G519" s="5">
        <f aca="true" t="shared" si="159" ref="G519:G532">SUM(H519:M519,Q519,U519,Y519:BG519)</f>
        <v>1.5</v>
      </c>
      <c r="H519" s="48"/>
      <c r="I519" s="48"/>
      <c r="J519" s="48"/>
      <c r="K519" s="48"/>
      <c r="L519" s="48"/>
      <c r="M519" s="48"/>
      <c r="N519" s="48"/>
      <c r="O519" s="48"/>
      <c r="P519" s="48"/>
      <c r="Q519" s="48"/>
      <c r="R519" s="48"/>
      <c r="S519" s="48"/>
      <c r="T519" s="48"/>
      <c r="U519" s="80">
        <f aca="true" t="shared" si="160" ref="U519:U532">SUM(V519:X519)</f>
        <v>1.5</v>
      </c>
      <c r="V519" s="48">
        <v>1.5</v>
      </c>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60" t="s">
        <v>72</v>
      </c>
      <c r="BI519" s="60" t="s">
        <v>71</v>
      </c>
      <c r="BJ519" s="60" t="s">
        <v>883</v>
      </c>
      <c r="BK519" s="12" t="s">
        <v>120</v>
      </c>
      <c r="BL519" s="46" t="s">
        <v>190</v>
      </c>
      <c r="BM519" s="14" t="s">
        <v>194</v>
      </c>
      <c r="BN519" s="13" t="s">
        <v>1025</v>
      </c>
      <c r="BO519" s="15" t="s">
        <v>1147</v>
      </c>
      <c r="BQ519" s="17"/>
    </row>
    <row r="520" spans="1:69" ht="46.5">
      <c r="A520" s="284"/>
      <c r="B520" s="289"/>
      <c r="C520" s="60" t="s">
        <v>82</v>
      </c>
      <c r="D520" s="4" t="s">
        <v>28</v>
      </c>
      <c r="E520" s="45">
        <f t="shared" si="154"/>
        <v>0.07</v>
      </c>
      <c r="F520" s="73"/>
      <c r="G520" s="5">
        <f t="shared" si="159"/>
        <v>0.07</v>
      </c>
      <c r="H520" s="46"/>
      <c r="I520" s="46">
        <v>0.07</v>
      </c>
      <c r="J520" s="46"/>
      <c r="K520" s="46"/>
      <c r="L520" s="46"/>
      <c r="M520" s="46"/>
      <c r="N520" s="46"/>
      <c r="O520" s="46"/>
      <c r="P520" s="46"/>
      <c r="Q520" s="46"/>
      <c r="R520" s="46"/>
      <c r="S520" s="46"/>
      <c r="T520" s="46"/>
      <c r="U520" s="80">
        <f t="shared" si="160"/>
        <v>0</v>
      </c>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c r="BC520" s="46"/>
      <c r="BD520" s="46"/>
      <c r="BE520" s="46"/>
      <c r="BF520" s="46"/>
      <c r="BG520" s="46"/>
      <c r="BH520" s="60" t="s">
        <v>884</v>
      </c>
      <c r="BI520" s="60" t="s">
        <v>82</v>
      </c>
      <c r="BJ520" s="14" t="s">
        <v>885</v>
      </c>
      <c r="BK520" s="12" t="s">
        <v>120</v>
      </c>
      <c r="BL520" s="46" t="s">
        <v>190</v>
      </c>
      <c r="BM520" s="14" t="s">
        <v>194</v>
      </c>
      <c r="BN520" s="13" t="s">
        <v>1025</v>
      </c>
      <c r="BO520" s="15" t="s">
        <v>1147</v>
      </c>
      <c r="BQ520" s="17"/>
    </row>
    <row r="521" spans="1:69" ht="46.5">
      <c r="A521" s="284"/>
      <c r="B521" s="289"/>
      <c r="C521" s="60" t="s">
        <v>87</v>
      </c>
      <c r="D521" s="4" t="s">
        <v>28</v>
      </c>
      <c r="E521" s="45">
        <f t="shared" si="154"/>
        <v>0.1</v>
      </c>
      <c r="F521" s="73"/>
      <c r="G521" s="5">
        <f t="shared" si="159"/>
        <v>0.1</v>
      </c>
      <c r="H521" s="10"/>
      <c r="I521" s="10"/>
      <c r="J521" s="10"/>
      <c r="K521" s="10"/>
      <c r="L521" s="10"/>
      <c r="M521" s="10"/>
      <c r="N521" s="10"/>
      <c r="O521" s="10"/>
      <c r="P521" s="10"/>
      <c r="Q521" s="6"/>
      <c r="R521" s="10"/>
      <c r="S521" s="10"/>
      <c r="T521" s="10"/>
      <c r="U521" s="80">
        <f t="shared" si="160"/>
        <v>0.1</v>
      </c>
      <c r="V521" s="10"/>
      <c r="W521" s="74">
        <v>0.1</v>
      </c>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1" t="s">
        <v>495</v>
      </c>
      <c r="BI521" s="60" t="s">
        <v>87</v>
      </c>
      <c r="BJ521" s="14" t="s">
        <v>886</v>
      </c>
      <c r="BK521" s="12" t="s">
        <v>120</v>
      </c>
      <c r="BL521" s="46" t="s">
        <v>190</v>
      </c>
      <c r="BM521" s="14" t="s">
        <v>194</v>
      </c>
      <c r="BN521" s="13" t="s">
        <v>1025</v>
      </c>
      <c r="BO521" s="15" t="s">
        <v>1147</v>
      </c>
      <c r="BQ521" s="17"/>
    </row>
    <row r="522" spans="1:69" ht="168" customHeight="1">
      <c r="A522" s="284">
        <f>A519</f>
        <v>285</v>
      </c>
      <c r="B522" s="283" t="s">
        <v>1015</v>
      </c>
      <c r="C522" s="60" t="s">
        <v>122</v>
      </c>
      <c r="D522" s="4" t="s">
        <v>28</v>
      </c>
      <c r="E522" s="45">
        <f t="shared" si="154"/>
        <v>1.4100000000000001</v>
      </c>
      <c r="F522" s="73"/>
      <c r="G522" s="5">
        <f t="shared" si="159"/>
        <v>1.4100000000000001</v>
      </c>
      <c r="H522" s="48">
        <v>0.04</v>
      </c>
      <c r="I522" s="48">
        <v>0</v>
      </c>
      <c r="J522" s="48">
        <v>0</v>
      </c>
      <c r="K522" s="48">
        <v>1.24</v>
      </c>
      <c r="L522" s="48">
        <v>0.13</v>
      </c>
      <c r="M522" s="48">
        <v>0</v>
      </c>
      <c r="N522" s="48">
        <v>0</v>
      </c>
      <c r="O522" s="48">
        <v>0</v>
      </c>
      <c r="P522" s="48">
        <v>0</v>
      </c>
      <c r="Q522" s="48">
        <v>0</v>
      </c>
      <c r="R522" s="48">
        <v>0</v>
      </c>
      <c r="S522" s="48">
        <v>0</v>
      </c>
      <c r="T522" s="48">
        <v>0</v>
      </c>
      <c r="U522" s="80">
        <f t="shared" si="160"/>
        <v>0</v>
      </c>
      <c r="V522" s="48">
        <v>0</v>
      </c>
      <c r="W522" s="48">
        <v>0</v>
      </c>
      <c r="X522" s="48">
        <v>0</v>
      </c>
      <c r="Y522" s="48">
        <v>0</v>
      </c>
      <c r="Z522" s="48">
        <v>0</v>
      </c>
      <c r="AA522" s="48">
        <v>0</v>
      </c>
      <c r="AB522" s="48">
        <v>0</v>
      </c>
      <c r="AC522" s="48">
        <v>0</v>
      </c>
      <c r="AD522" s="48">
        <v>0</v>
      </c>
      <c r="AE522" s="48">
        <v>0</v>
      </c>
      <c r="AF522" s="48">
        <v>0</v>
      </c>
      <c r="AG522" s="48">
        <v>0</v>
      </c>
      <c r="AH522" s="48">
        <v>0</v>
      </c>
      <c r="AI522" s="48">
        <v>0</v>
      </c>
      <c r="AJ522" s="48">
        <v>0</v>
      </c>
      <c r="AK522" s="48">
        <v>0</v>
      </c>
      <c r="AL522" s="48">
        <v>0</v>
      </c>
      <c r="AM522" s="48">
        <v>0</v>
      </c>
      <c r="AN522" s="48">
        <v>0</v>
      </c>
      <c r="AO522" s="48">
        <v>0</v>
      </c>
      <c r="AP522" s="48">
        <v>0</v>
      </c>
      <c r="AQ522" s="48">
        <v>0</v>
      </c>
      <c r="AR522" s="48">
        <v>0</v>
      </c>
      <c r="AS522" s="48">
        <v>0</v>
      </c>
      <c r="AT522" s="48">
        <v>0</v>
      </c>
      <c r="AU522" s="48">
        <v>0</v>
      </c>
      <c r="AV522" s="48">
        <v>0</v>
      </c>
      <c r="AW522" s="48">
        <v>0</v>
      </c>
      <c r="AX522" s="48">
        <v>0</v>
      </c>
      <c r="AY522" s="48">
        <v>0</v>
      </c>
      <c r="AZ522" s="48">
        <v>0</v>
      </c>
      <c r="BA522" s="48">
        <v>0</v>
      </c>
      <c r="BB522" s="48">
        <v>0</v>
      </c>
      <c r="BC522" s="48">
        <v>0</v>
      </c>
      <c r="BD522" s="48">
        <v>0</v>
      </c>
      <c r="BE522" s="48">
        <v>0</v>
      </c>
      <c r="BF522" s="48">
        <v>0</v>
      </c>
      <c r="BG522" s="48">
        <v>0</v>
      </c>
      <c r="BH522" s="60" t="s">
        <v>887</v>
      </c>
      <c r="BI522" s="60" t="s">
        <v>122</v>
      </c>
      <c r="BJ522" s="60" t="s">
        <v>888</v>
      </c>
      <c r="BK522" s="12" t="s">
        <v>120</v>
      </c>
      <c r="BL522" s="46" t="s">
        <v>190</v>
      </c>
      <c r="BM522" s="14" t="s">
        <v>944</v>
      </c>
      <c r="BN522" s="13" t="s">
        <v>1025</v>
      </c>
      <c r="BO522" s="15" t="s">
        <v>1147</v>
      </c>
      <c r="BQ522" s="17"/>
    </row>
    <row r="523" spans="1:69" ht="280.5">
      <c r="A523" s="284"/>
      <c r="B523" s="283"/>
      <c r="C523" s="121" t="s">
        <v>122</v>
      </c>
      <c r="D523" s="4" t="s">
        <v>28</v>
      </c>
      <c r="E523" s="45">
        <f t="shared" si="154"/>
        <v>7.7</v>
      </c>
      <c r="F523" s="73"/>
      <c r="G523" s="5">
        <f t="shared" si="159"/>
        <v>7.7</v>
      </c>
      <c r="H523" s="48">
        <v>0.18</v>
      </c>
      <c r="I523" s="48">
        <v>0.3</v>
      </c>
      <c r="J523" s="48">
        <v>0</v>
      </c>
      <c r="K523" s="48">
        <v>1.6900000000000002</v>
      </c>
      <c r="L523" s="48">
        <v>0</v>
      </c>
      <c r="M523" s="48">
        <v>0</v>
      </c>
      <c r="N523" s="48">
        <v>0</v>
      </c>
      <c r="O523" s="48">
        <v>0</v>
      </c>
      <c r="P523" s="48">
        <v>0</v>
      </c>
      <c r="Q523" s="48">
        <v>0</v>
      </c>
      <c r="R523" s="48">
        <v>0</v>
      </c>
      <c r="S523" s="48">
        <v>0</v>
      </c>
      <c r="T523" s="48">
        <v>0</v>
      </c>
      <c r="U523" s="80">
        <f t="shared" si="160"/>
        <v>5.08</v>
      </c>
      <c r="V523" s="48">
        <v>0</v>
      </c>
      <c r="W523" s="48">
        <v>5.08</v>
      </c>
      <c r="X523" s="48">
        <v>0</v>
      </c>
      <c r="Y523" s="48">
        <v>0.45</v>
      </c>
      <c r="Z523" s="48">
        <v>0</v>
      </c>
      <c r="AA523" s="48">
        <v>0</v>
      </c>
      <c r="AB523" s="48">
        <v>0</v>
      </c>
      <c r="AC523" s="48">
        <v>0</v>
      </c>
      <c r="AD523" s="48">
        <v>0</v>
      </c>
      <c r="AE523" s="48">
        <v>0</v>
      </c>
      <c r="AF523" s="48">
        <v>0</v>
      </c>
      <c r="AG523" s="48">
        <v>0</v>
      </c>
      <c r="AH523" s="48">
        <v>0</v>
      </c>
      <c r="AI523" s="48">
        <v>0</v>
      </c>
      <c r="AJ523" s="48">
        <v>0</v>
      </c>
      <c r="AK523" s="48">
        <v>0</v>
      </c>
      <c r="AL523" s="48">
        <v>0</v>
      </c>
      <c r="AM523" s="48">
        <v>0</v>
      </c>
      <c r="AN523" s="48">
        <v>0</v>
      </c>
      <c r="AO523" s="48">
        <v>0</v>
      </c>
      <c r="AP523" s="48">
        <v>0</v>
      </c>
      <c r="AQ523" s="48">
        <v>0</v>
      </c>
      <c r="AR523" s="48">
        <v>0</v>
      </c>
      <c r="AS523" s="48">
        <v>0</v>
      </c>
      <c r="AT523" s="48">
        <v>0</v>
      </c>
      <c r="AU523" s="48">
        <v>0</v>
      </c>
      <c r="AV523" s="48">
        <v>0</v>
      </c>
      <c r="AW523" s="48">
        <v>0</v>
      </c>
      <c r="AX523" s="48">
        <v>0</v>
      </c>
      <c r="AY523" s="48">
        <v>0</v>
      </c>
      <c r="AZ523" s="48">
        <v>0</v>
      </c>
      <c r="BA523" s="48">
        <v>0</v>
      </c>
      <c r="BB523" s="48">
        <v>0</v>
      </c>
      <c r="BC523" s="48">
        <v>0</v>
      </c>
      <c r="BD523" s="48">
        <v>0</v>
      </c>
      <c r="BE523" s="48">
        <v>0</v>
      </c>
      <c r="BF523" s="48">
        <v>0</v>
      </c>
      <c r="BG523" s="48">
        <v>0</v>
      </c>
      <c r="BH523" s="10" t="s">
        <v>889</v>
      </c>
      <c r="BI523" s="121" t="s">
        <v>122</v>
      </c>
      <c r="BJ523" s="13" t="s">
        <v>890</v>
      </c>
      <c r="BK523" s="268" t="s">
        <v>120</v>
      </c>
      <c r="BL523" s="46" t="s">
        <v>190</v>
      </c>
      <c r="BM523" s="13" t="s">
        <v>194</v>
      </c>
      <c r="BN523" s="13" t="s">
        <v>1025</v>
      </c>
      <c r="BO523" s="15" t="s">
        <v>1147</v>
      </c>
      <c r="BQ523" s="17"/>
    </row>
    <row r="524" spans="1:67" ht="46.5">
      <c r="A524" s="284"/>
      <c r="B524" s="283"/>
      <c r="C524" s="14" t="s">
        <v>138</v>
      </c>
      <c r="D524" s="4" t="s">
        <v>28</v>
      </c>
      <c r="E524" s="45">
        <f t="shared" si="154"/>
        <v>14.999999999999998</v>
      </c>
      <c r="F524" s="73"/>
      <c r="G524" s="5">
        <f t="shared" si="159"/>
        <v>14.999999999999998</v>
      </c>
      <c r="H524" s="46">
        <v>0.79</v>
      </c>
      <c r="I524" s="46"/>
      <c r="J524" s="46"/>
      <c r="K524" s="46">
        <v>0.08</v>
      </c>
      <c r="L524" s="46">
        <v>0.14</v>
      </c>
      <c r="M524" s="46"/>
      <c r="N524" s="46"/>
      <c r="O524" s="46"/>
      <c r="P524" s="46"/>
      <c r="Q524" s="46"/>
      <c r="R524" s="46">
        <v>0</v>
      </c>
      <c r="S524" s="46">
        <v>0</v>
      </c>
      <c r="T524" s="46">
        <v>0</v>
      </c>
      <c r="U524" s="80">
        <f>SUM(V524:X524)</f>
        <v>13.85</v>
      </c>
      <c r="V524" s="46">
        <v>13.85</v>
      </c>
      <c r="W524" s="46"/>
      <c r="X524" s="46"/>
      <c r="Y524" s="46"/>
      <c r="Z524" s="46"/>
      <c r="AA524" s="46"/>
      <c r="AB524" s="46"/>
      <c r="AC524" s="46"/>
      <c r="AD524" s="46"/>
      <c r="AE524" s="46"/>
      <c r="AF524" s="46">
        <v>0.04</v>
      </c>
      <c r="AG524" s="46"/>
      <c r="AH524" s="46"/>
      <c r="AI524" s="46"/>
      <c r="AJ524" s="46"/>
      <c r="AK524" s="46"/>
      <c r="AL524" s="46"/>
      <c r="AM524" s="46"/>
      <c r="AN524" s="46"/>
      <c r="AO524" s="46"/>
      <c r="AP524" s="46"/>
      <c r="AQ524" s="46"/>
      <c r="AR524" s="46"/>
      <c r="AS524" s="46"/>
      <c r="AT524" s="46"/>
      <c r="AU524" s="46"/>
      <c r="AV524" s="46"/>
      <c r="AW524" s="46"/>
      <c r="AX524" s="46"/>
      <c r="AY524" s="46"/>
      <c r="AZ524" s="46"/>
      <c r="BA524" s="46"/>
      <c r="BB524" s="46"/>
      <c r="BC524" s="46"/>
      <c r="BD524" s="46"/>
      <c r="BE524" s="46"/>
      <c r="BF524" s="46"/>
      <c r="BG524" s="46">
        <v>0.1</v>
      </c>
      <c r="BH524" s="60" t="s">
        <v>281</v>
      </c>
      <c r="BI524" s="14" t="s">
        <v>138</v>
      </c>
      <c r="BJ524" s="60" t="s">
        <v>891</v>
      </c>
      <c r="BK524" s="12" t="s">
        <v>374</v>
      </c>
      <c r="BL524" s="46" t="s">
        <v>190</v>
      </c>
      <c r="BM524" s="14" t="s">
        <v>935</v>
      </c>
      <c r="BN524" s="13" t="s">
        <v>1025</v>
      </c>
      <c r="BO524" s="15" t="s">
        <v>1147</v>
      </c>
    </row>
    <row r="525" spans="1:67" ht="46.5">
      <c r="A525" s="284"/>
      <c r="B525" s="283"/>
      <c r="C525" s="14" t="s">
        <v>138</v>
      </c>
      <c r="D525" s="4" t="s">
        <v>28</v>
      </c>
      <c r="E525" s="45">
        <f>F525+G525</f>
        <v>0.41000000000000003</v>
      </c>
      <c r="F525" s="73"/>
      <c r="G525" s="5">
        <f t="shared" si="159"/>
        <v>0.41000000000000003</v>
      </c>
      <c r="H525" s="80">
        <v>0.05</v>
      </c>
      <c r="I525" s="80"/>
      <c r="J525" s="80"/>
      <c r="K525" s="80">
        <v>0.12</v>
      </c>
      <c r="L525" s="80">
        <v>0.14</v>
      </c>
      <c r="M525" s="80"/>
      <c r="N525" s="80"/>
      <c r="O525" s="80"/>
      <c r="P525" s="80"/>
      <c r="Q525" s="80"/>
      <c r="R525" s="80"/>
      <c r="S525" s="80"/>
      <c r="T525" s="80"/>
      <c r="U525" s="80">
        <f t="shared" si="160"/>
        <v>0.1</v>
      </c>
      <c r="V525" s="80"/>
      <c r="W525" s="80">
        <v>0.1</v>
      </c>
      <c r="X525" s="80"/>
      <c r="Y525" s="80"/>
      <c r="Z525" s="80"/>
      <c r="AA525" s="80"/>
      <c r="AB525" s="80"/>
      <c r="AC525" s="80"/>
      <c r="AD525" s="80"/>
      <c r="AE525" s="80"/>
      <c r="AF525" s="80"/>
      <c r="AG525" s="80"/>
      <c r="AH525" s="80"/>
      <c r="AI525" s="80"/>
      <c r="AJ525" s="80"/>
      <c r="AK525" s="80"/>
      <c r="AL525" s="80"/>
      <c r="AM525" s="80"/>
      <c r="AN525" s="80"/>
      <c r="AO525" s="80"/>
      <c r="AP525" s="80"/>
      <c r="AQ525" s="80"/>
      <c r="AR525" s="80"/>
      <c r="AS525" s="80"/>
      <c r="AT525" s="80"/>
      <c r="AU525" s="80"/>
      <c r="AV525" s="80"/>
      <c r="AW525" s="80"/>
      <c r="AX525" s="80"/>
      <c r="AY525" s="80"/>
      <c r="AZ525" s="80"/>
      <c r="BA525" s="80"/>
      <c r="BB525" s="80"/>
      <c r="BC525" s="80"/>
      <c r="BD525" s="80"/>
      <c r="BE525" s="80"/>
      <c r="BF525" s="80"/>
      <c r="BG525" s="80"/>
      <c r="BH525" s="60" t="s">
        <v>892</v>
      </c>
      <c r="BI525" s="14" t="s">
        <v>138</v>
      </c>
      <c r="BJ525" s="60" t="s">
        <v>893</v>
      </c>
      <c r="BK525" s="12" t="s">
        <v>374</v>
      </c>
      <c r="BL525" s="46" t="s">
        <v>190</v>
      </c>
      <c r="BM525" s="14" t="s">
        <v>194</v>
      </c>
      <c r="BN525" s="13" t="s">
        <v>1025</v>
      </c>
      <c r="BO525" s="15" t="s">
        <v>1147</v>
      </c>
    </row>
    <row r="526" spans="1:69" ht="46.5">
      <c r="A526" s="284"/>
      <c r="B526" s="283"/>
      <c r="C526" s="14" t="s">
        <v>145</v>
      </c>
      <c r="D526" s="4" t="s">
        <v>28</v>
      </c>
      <c r="E526" s="45">
        <f aca="true" t="shared" si="161" ref="E526:E532">F526+G526</f>
        <v>5</v>
      </c>
      <c r="F526" s="73"/>
      <c r="G526" s="5">
        <f t="shared" si="159"/>
        <v>5</v>
      </c>
      <c r="H526" s="46">
        <v>0.37</v>
      </c>
      <c r="I526" s="46">
        <v>0.08</v>
      </c>
      <c r="J526" s="46"/>
      <c r="K526" s="46">
        <v>0.09</v>
      </c>
      <c r="L526" s="46"/>
      <c r="M526" s="46"/>
      <c r="N526" s="46"/>
      <c r="O526" s="46"/>
      <c r="P526" s="46"/>
      <c r="Q526" s="46"/>
      <c r="R526" s="46"/>
      <c r="S526" s="46"/>
      <c r="T526" s="46"/>
      <c r="U526" s="80">
        <f t="shared" si="160"/>
        <v>4.39</v>
      </c>
      <c r="V526" s="46"/>
      <c r="W526" s="46">
        <v>4.39</v>
      </c>
      <c r="X526" s="46"/>
      <c r="Y526" s="46"/>
      <c r="Z526" s="46"/>
      <c r="AA526" s="46"/>
      <c r="AB526" s="46"/>
      <c r="AC526" s="46"/>
      <c r="AD526" s="46"/>
      <c r="AE526" s="46"/>
      <c r="AF526" s="46"/>
      <c r="AG526" s="46"/>
      <c r="AH526" s="46"/>
      <c r="AI526" s="46"/>
      <c r="AJ526" s="46"/>
      <c r="AK526" s="46"/>
      <c r="AL526" s="46"/>
      <c r="AM526" s="46"/>
      <c r="AN526" s="46"/>
      <c r="AO526" s="46"/>
      <c r="AP526" s="46"/>
      <c r="AQ526" s="46"/>
      <c r="AR526" s="46"/>
      <c r="AS526" s="46"/>
      <c r="AT526" s="46"/>
      <c r="AU526" s="46"/>
      <c r="AV526" s="46"/>
      <c r="AW526" s="46"/>
      <c r="AX526" s="46"/>
      <c r="AY526" s="46"/>
      <c r="AZ526" s="46"/>
      <c r="BA526" s="46"/>
      <c r="BB526" s="46"/>
      <c r="BC526" s="46"/>
      <c r="BD526" s="46"/>
      <c r="BE526" s="46"/>
      <c r="BF526" s="46"/>
      <c r="BG526" s="46">
        <v>0.07</v>
      </c>
      <c r="BH526" s="10" t="s">
        <v>894</v>
      </c>
      <c r="BI526" s="14" t="s">
        <v>145</v>
      </c>
      <c r="BJ526" s="177" t="s">
        <v>895</v>
      </c>
      <c r="BK526" s="12" t="s">
        <v>120</v>
      </c>
      <c r="BL526" s="46" t="s">
        <v>190</v>
      </c>
      <c r="BM526" s="13" t="s">
        <v>935</v>
      </c>
      <c r="BN526" s="13" t="s">
        <v>1025</v>
      </c>
      <c r="BO526" s="15" t="s">
        <v>1147</v>
      </c>
      <c r="BQ526" s="17"/>
    </row>
    <row r="527" spans="1:69" ht="46.5">
      <c r="A527" s="284"/>
      <c r="B527" s="283"/>
      <c r="C527" s="13" t="s">
        <v>147</v>
      </c>
      <c r="D527" s="4" t="s">
        <v>28</v>
      </c>
      <c r="E527" s="45">
        <f t="shared" si="161"/>
        <v>2</v>
      </c>
      <c r="F527" s="73"/>
      <c r="G527" s="5">
        <f t="shared" si="159"/>
        <v>2</v>
      </c>
      <c r="H527" s="5"/>
      <c r="I527" s="5"/>
      <c r="J527" s="5"/>
      <c r="K527" s="5"/>
      <c r="L527" s="5"/>
      <c r="M527" s="80"/>
      <c r="N527" s="80"/>
      <c r="O527" s="80"/>
      <c r="P527" s="80"/>
      <c r="Q527" s="80"/>
      <c r="R527" s="80"/>
      <c r="S527" s="80"/>
      <c r="T527" s="80"/>
      <c r="U527" s="80">
        <f t="shared" si="160"/>
        <v>2</v>
      </c>
      <c r="V527" s="80">
        <v>1</v>
      </c>
      <c r="W527" s="80">
        <v>1</v>
      </c>
      <c r="X527" s="80"/>
      <c r="Y527" s="80"/>
      <c r="Z527" s="80"/>
      <c r="AA527" s="80"/>
      <c r="AB527" s="80"/>
      <c r="AC527" s="80"/>
      <c r="AD527" s="80"/>
      <c r="AE527" s="80"/>
      <c r="AF527" s="80"/>
      <c r="AG527" s="80"/>
      <c r="AH527" s="80"/>
      <c r="AI527" s="80"/>
      <c r="AJ527" s="80"/>
      <c r="AK527" s="80"/>
      <c r="AL527" s="80"/>
      <c r="AM527" s="80"/>
      <c r="AN527" s="80"/>
      <c r="AO527" s="80"/>
      <c r="AP527" s="80"/>
      <c r="AQ527" s="80"/>
      <c r="AR527" s="80"/>
      <c r="AS527" s="80"/>
      <c r="AT527" s="80"/>
      <c r="AU527" s="80"/>
      <c r="AV527" s="80"/>
      <c r="AW527" s="80"/>
      <c r="AX527" s="80"/>
      <c r="AY527" s="80"/>
      <c r="AZ527" s="80"/>
      <c r="BA527" s="80"/>
      <c r="BB527" s="80"/>
      <c r="BC527" s="80"/>
      <c r="BD527" s="80"/>
      <c r="BE527" s="80"/>
      <c r="BF527" s="80"/>
      <c r="BG527" s="80"/>
      <c r="BH527" s="121" t="s">
        <v>896</v>
      </c>
      <c r="BI527" s="13" t="s">
        <v>147</v>
      </c>
      <c r="BJ527" s="14" t="s">
        <v>897</v>
      </c>
      <c r="BK527" s="12" t="s">
        <v>120</v>
      </c>
      <c r="BL527" s="46" t="s">
        <v>190</v>
      </c>
      <c r="BM527" s="14" t="s">
        <v>935</v>
      </c>
      <c r="BN527" s="13" t="s">
        <v>1025</v>
      </c>
      <c r="BO527" s="15" t="s">
        <v>1147</v>
      </c>
      <c r="BQ527" s="17"/>
    </row>
    <row r="528" spans="1:69" ht="62.25">
      <c r="A528" s="284"/>
      <c r="B528" s="283"/>
      <c r="C528" s="42" t="s">
        <v>106</v>
      </c>
      <c r="D528" s="4" t="s">
        <v>28</v>
      </c>
      <c r="E528" s="45">
        <f t="shared" si="161"/>
        <v>5</v>
      </c>
      <c r="F528" s="73"/>
      <c r="G528" s="5">
        <f t="shared" si="159"/>
        <v>5</v>
      </c>
      <c r="H528" s="48"/>
      <c r="I528" s="48">
        <v>0.58</v>
      </c>
      <c r="J528" s="48"/>
      <c r="K528" s="48">
        <v>0.29</v>
      </c>
      <c r="L528" s="48"/>
      <c r="M528" s="48"/>
      <c r="N528" s="48"/>
      <c r="O528" s="48"/>
      <c r="P528" s="48"/>
      <c r="Q528" s="48"/>
      <c r="R528" s="48"/>
      <c r="S528" s="48"/>
      <c r="T528" s="48"/>
      <c r="U528" s="80">
        <f t="shared" si="160"/>
        <v>4.13</v>
      </c>
      <c r="V528" s="48"/>
      <c r="W528" s="48"/>
      <c r="X528" s="48">
        <v>4.13</v>
      </c>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c r="BH528" s="60" t="s">
        <v>107</v>
      </c>
      <c r="BI528" s="42" t="s">
        <v>106</v>
      </c>
      <c r="BJ528" s="60" t="s">
        <v>898</v>
      </c>
      <c r="BK528" s="12" t="s">
        <v>120</v>
      </c>
      <c r="BL528" s="46" t="s">
        <v>190</v>
      </c>
      <c r="BM528" s="13" t="s">
        <v>935</v>
      </c>
      <c r="BN528" s="13" t="s">
        <v>1025</v>
      </c>
      <c r="BO528" s="15" t="s">
        <v>1147</v>
      </c>
      <c r="BQ528" s="17"/>
    </row>
    <row r="529" spans="1:69" ht="46.5">
      <c r="A529" s="284"/>
      <c r="B529" s="283"/>
      <c r="C529" s="14" t="s">
        <v>134</v>
      </c>
      <c r="D529" s="4" t="s">
        <v>28</v>
      </c>
      <c r="E529" s="45">
        <f t="shared" si="161"/>
        <v>7.449999999999999</v>
      </c>
      <c r="F529" s="73"/>
      <c r="G529" s="5">
        <f t="shared" si="159"/>
        <v>7.449999999999999</v>
      </c>
      <c r="H529" s="48">
        <v>0</v>
      </c>
      <c r="I529" s="48">
        <v>0</v>
      </c>
      <c r="J529" s="48">
        <v>0</v>
      </c>
      <c r="K529" s="48">
        <v>0</v>
      </c>
      <c r="L529" s="48">
        <v>0</v>
      </c>
      <c r="M529" s="48">
        <v>0</v>
      </c>
      <c r="N529" s="48">
        <v>0</v>
      </c>
      <c r="O529" s="48">
        <v>0</v>
      </c>
      <c r="P529" s="48">
        <v>0</v>
      </c>
      <c r="Q529" s="48">
        <v>0</v>
      </c>
      <c r="R529" s="48">
        <v>0</v>
      </c>
      <c r="S529" s="48">
        <v>0</v>
      </c>
      <c r="T529" s="48">
        <v>0</v>
      </c>
      <c r="U529" s="80">
        <f t="shared" si="160"/>
        <v>7.449999999999999</v>
      </c>
      <c r="V529" s="48">
        <v>5.02</v>
      </c>
      <c r="W529" s="48">
        <v>0</v>
      </c>
      <c r="X529" s="48">
        <v>2.43</v>
      </c>
      <c r="Y529" s="48">
        <v>0</v>
      </c>
      <c r="Z529" s="48">
        <v>0</v>
      </c>
      <c r="AA529" s="48">
        <v>0</v>
      </c>
      <c r="AB529" s="48">
        <v>0</v>
      </c>
      <c r="AC529" s="48">
        <v>0</v>
      </c>
      <c r="AD529" s="48">
        <v>0</v>
      </c>
      <c r="AE529" s="48">
        <v>0</v>
      </c>
      <c r="AF529" s="48">
        <v>0</v>
      </c>
      <c r="AG529" s="48">
        <v>0</v>
      </c>
      <c r="AH529" s="48">
        <v>0</v>
      </c>
      <c r="AI529" s="48">
        <v>0</v>
      </c>
      <c r="AJ529" s="48">
        <v>0</v>
      </c>
      <c r="AK529" s="48">
        <v>0</v>
      </c>
      <c r="AL529" s="48">
        <v>0</v>
      </c>
      <c r="AM529" s="48">
        <v>0</v>
      </c>
      <c r="AN529" s="48">
        <v>0</v>
      </c>
      <c r="AO529" s="48">
        <v>0</v>
      </c>
      <c r="AP529" s="48">
        <v>0</v>
      </c>
      <c r="AQ529" s="48">
        <v>0</v>
      </c>
      <c r="AR529" s="48">
        <v>0</v>
      </c>
      <c r="AS529" s="48">
        <v>0</v>
      </c>
      <c r="AT529" s="48">
        <v>0</v>
      </c>
      <c r="AU529" s="48">
        <v>0</v>
      </c>
      <c r="AV529" s="48">
        <v>0</v>
      </c>
      <c r="AW529" s="48">
        <v>0</v>
      </c>
      <c r="AX529" s="48">
        <v>0</v>
      </c>
      <c r="AY529" s="48">
        <v>0</v>
      </c>
      <c r="AZ529" s="48">
        <v>0</v>
      </c>
      <c r="BA529" s="48">
        <v>0</v>
      </c>
      <c r="BB529" s="48">
        <v>0</v>
      </c>
      <c r="BC529" s="48">
        <v>0</v>
      </c>
      <c r="BD529" s="48">
        <v>0</v>
      </c>
      <c r="BE529" s="48">
        <v>0</v>
      </c>
      <c r="BF529" s="48">
        <v>0</v>
      </c>
      <c r="BG529" s="48">
        <v>0</v>
      </c>
      <c r="BH529" s="10" t="s">
        <v>243</v>
      </c>
      <c r="BI529" s="14" t="s">
        <v>134</v>
      </c>
      <c r="BJ529" s="14" t="s">
        <v>899</v>
      </c>
      <c r="BK529" s="12" t="s">
        <v>374</v>
      </c>
      <c r="BL529" s="46" t="s">
        <v>190</v>
      </c>
      <c r="BM529" s="14" t="s">
        <v>194</v>
      </c>
      <c r="BN529" s="13" t="s">
        <v>1025</v>
      </c>
      <c r="BO529" s="15" t="s">
        <v>1147</v>
      </c>
      <c r="BQ529" s="17"/>
    </row>
    <row r="530" spans="1:69" ht="46.5">
      <c r="A530" s="284"/>
      <c r="B530" s="283"/>
      <c r="C530" s="60" t="s">
        <v>154</v>
      </c>
      <c r="D530" s="4" t="s">
        <v>28</v>
      </c>
      <c r="E530" s="45">
        <f t="shared" si="161"/>
        <v>3</v>
      </c>
      <c r="F530" s="73"/>
      <c r="G530" s="5">
        <f t="shared" si="159"/>
        <v>3</v>
      </c>
      <c r="H530" s="48">
        <v>0.08</v>
      </c>
      <c r="I530" s="48"/>
      <c r="J530" s="48"/>
      <c r="K530" s="48"/>
      <c r="L530" s="48"/>
      <c r="M530" s="48">
        <v>2.92</v>
      </c>
      <c r="N530" s="48">
        <v>0</v>
      </c>
      <c r="O530" s="48">
        <v>0</v>
      </c>
      <c r="P530" s="48">
        <v>0</v>
      </c>
      <c r="Q530" s="48">
        <v>0</v>
      </c>
      <c r="R530" s="48">
        <v>0</v>
      </c>
      <c r="S530" s="48">
        <v>0</v>
      </c>
      <c r="T530" s="48">
        <v>0</v>
      </c>
      <c r="U530" s="80">
        <f t="shared" si="160"/>
        <v>0</v>
      </c>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c r="BH530" s="60" t="s">
        <v>900</v>
      </c>
      <c r="BI530" s="60" t="s">
        <v>154</v>
      </c>
      <c r="BJ530" s="60" t="s">
        <v>901</v>
      </c>
      <c r="BK530" s="12" t="s">
        <v>120</v>
      </c>
      <c r="BL530" s="46" t="s">
        <v>190</v>
      </c>
      <c r="BM530" s="14" t="s">
        <v>935</v>
      </c>
      <c r="BN530" s="13" t="s">
        <v>1025</v>
      </c>
      <c r="BO530" s="15" t="s">
        <v>1147</v>
      </c>
      <c r="BQ530" s="17"/>
    </row>
    <row r="531" spans="1:69" ht="46.5">
      <c r="A531" s="284"/>
      <c r="B531" s="283"/>
      <c r="C531" s="60" t="s">
        <v>154</v>
      </c>
      <c r="D531" s="4" t="s">
        <v>28</v>
      </c>
      <c r="E531" s="45">
        <f t="shared" si="161"/>
        <v>0.06</v>
      </c>
      <c r="F531" s="73"/>
      <c r="G531" s="5">
        <f t="shared" si="159"/>
        <v>0.06</v>
      </c>
      <c r="H531" s="48"/>
      <c r="I531" s="48"/>
      <c r="J531" s="48"/>
      <c r="K531" s="48">
        <v>0.03</v>
      </c>
      <c r="L531" s="48"/>
      <c r="M531" s="48"/>
      <c r="N531" s="48"/>
      <c r="O531" s="48"/>
      <c r="P531" s="48"/>
      <c r="Q531" s="48"/>
      <c r="R531" s="48"/>
      <c r="S531" s="48"/>
      <c r="T531" s="48"/>
      <c r="U531" s="80">
        <f t="shared" si="160"/>
        <v>0</v>
      </c>
      <c r="V531" s="48"/>
      <c r="W531" s="48"/>
      <c r="X531" s="48"/>
      <c r="Y531" s="48">
        <v>0.03</v>
      </c>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c r="BH531" s="60" t="s">
        <v>155</v>
      </c>
      <c r="BI531" s="60" t="s">
        <v>154</v>
      </c>
      <c r="BJ531" s="60" t="s">
        <v>902</v>
      </c>
      <c r="BK531" s="12" t="s">
        <v>68</v>
      </c>
      <c r="BL531" s="46" t="s">
        <v>190</v>
      </c>
      <c r="BM531" s="14" t="s">
        <v>194</v>
      </c>
      <c r="BN531" s="13" t="s">
        <v>1025</v>
      </c>
      <c r="BO531" s="15" t="s">
        <v>1147</v>
      </c>
      <c r="BQ531" s="17"/>
    </row>
    <row r="532" spans="1:69" ht="46.5">
      <c r="A532" s="284"/>
      <c r="B532" s="283"/>
      <c r="C532" s="60" t="s">
        <v>79</v>
      </c>
      <c r="D532" s="4" t="s">
        <v>28</v>
      </c>
      <c r="E532" s="45">
        <f t="shared" si="161"/>
        <v>10</v>
      </c>
      <c r="F532" s="73"/>
      <c r="G532" s="5">
        <f t="shared" si="159"/>
        <v>10</v>
      </c>
      <c r="H532" s="48"/>
      <c r="I532" s="48"/>
      <c r="J532" s="48"/>
      <c r="K532" s="48"/>
      <c r="L532" s="48"/>
      <c r="M532" s="48"/>
      <c r="N532" s="48"/>
      <c r="O532" s="48"/>
      <c r="P532" s="48"/>
      <c r="Q532" s="48"/>
      <c r="R532" s="48"/>
      <c r="S532" s="48"/>
      <c r="T532" s="48"/>
      <c r="U532" s="80">
        <f t="shared" si="160"/>
        <v>10</v>
      </c>
      <c r="V532" s="48">
        <v>10</v>
      </c>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c r="BH532" s="60" t="s">
        <v>255</v>
      </c>
      <c r="BI532" s="60" t="s">
        <v>79</v>
      </c>
      <c r="BJ532" s="60" t="s">
        <v>903</v>
      </c>
      <c r="BK532" s="12" t="s">
        <v>374</v>
      </c>
      <c r="BL532" s="46" t="s">
        <v>190</v>
      </c>
      <c r="BM532" s="14" t="s">
        <v>194</v>
      </c>
      <c r="BN532" s="13" t="s">
        <v>1025</v>
      </c>
      <c r="BO532" s="15" t="s">
        <v>1147</v>
      </c>
      <c r="BQ532" s="17"/>
    </row>
    <row r="533" spans="1:69" ht="15">
      <c r="A533" s="66" t="s">
        <v>904</v>
      </c>
      <c r="B533" s="34" t="s">
        <v>905</v>
      </c>
      <c r="C533" s="68"/>
      <c r="D533" s="36"/>
      <c r="E533" s="269">
        <f>SUM(E534:E535)</f>
        <v>1389.2700000000002</v>
      </c>
      <c r="F533" s="269">
        <f>SUM(F534:F535)</f>
        <v>300</v>
      </c>
      <c r="G533" s="269">
        <f>SUM(G534:G535)</f>
        <v>1089.2700000000002</v>
      </c>
      <c r="H533" s="269">
        <f>SUM(H534:H535)</f>
        <v>0</v>
      </c>
      <c r="I533" s="269">
        <f aca="true" t="shared" si="162" ref="I533:BG533">SUM(I534:I535)</f>
        <v>0</v>
      </c>
      <c r="J533" s="269">
        <f t="shared" si="162"/>
        <v>0</v>
      </c>
      <c r="K533" s="269">
        <f t="shared" si="162"/>
        <v>0</v>
      </c>
      <c r="L533" s="269">
        <f t="shared" si="162"/>
        <v>0</v>
      </c>
      <c r="M533" s="269" t="s">
        <v>906</v>
      </c>
      <c r="N533" s="269">
        <f t="shared" si="162"/>
        <v>0</v>
      </c>
      <c r="O533" s="269">
        <f t="shared" si="162"/>
        <v>0</v>
      </c>
      <c r="P533" s="269">
        <f t="shared" si="162"/>
        <v>0</v>
      </c>
      <c r="Q533" s="269">
        <f t="shared" si="162"/>
        <v>0</v>
      </c>
      <c r="R533" s="269">
        <f t="shared" si="162"/>
        <v>0</v>
      </c>
      <c r="S533" s="269">
        <f t="shared" si="162"/>
        <v>0</v>
      </c>
      <c r="T533" s="269">
        <f t="shared" si="162"/>
        <v>0</v>
      </c>
      <c r="U533" s="269">
        <f t="shared" si="162"/>
        <v>1089.2700000000002</v>
      </c>
      <c r="V533" s="269">
        <f t="shared" si="162"/>
        <v>0</v>
      </c>
      <c r="W533" s="269">
        <f t="shared" si="162"/>
        <v>1089.2700000000002</v>
      </c>
      <c r="X533" s="269">
        <f t="shared" si="162"/>
        <v>0</v>
      </c>
      <c r="Y533" s="269">
        <f t="shared" si="162"/>
        <v>0</v>
      </c>
      <c r="Z533" s="269">
        <f t="shared" si="162"/>
        <v>0</v>
      </c>
      <c r="AA533" s="269">
        <f t="shared" si="162"/>
        <v>0</v>
      </c>
      <c r="AB533" s="269">
        <f t="shared" si="162"/>
        <v>0</v>
      </c>
      <c r="AC533" s="269">
        <f t="shared" si="162"/>
        <v>0</v>
      </c>
      <c r="AD533" s="269">
        <f t="shared" si="162"/>
        <v>0</v>
      </c>
      <c r="AE533" s="269">
        <f t="shared" si="162"/>
        <v>0</v>
      </c>
      <c r="AF533" s="269">
        <f t="shared" si="162"/>
        <v>0</v>
      </c>
      <c r="AG533" s="269">
        <f t="shared" si="162"/>
        <v>0</v>
      </c>
      <c r="AH533" s="269">
        <f t="shared" si="162"/>
        <v>0</v>
      </c>
      <c r="AI533" s="269">
        <f t="shared" si="162"/>
        <v>0</v>
      </c>
      <c r="AJ533" s="269">
        <f t="shared" si="162"/>
        <v>0</v>
      </c>
      <c r="AK533" s="269">
        <f t="shared" si="162"/>
        <v>0</v>
      </c>
      <c r="AL533" s="269">
        <f t="shared" si="162"/>
        <v>0</v>
      </c>
      <c r="AM533" s="269">
        <f t="shared" si="162"/>
        <v>0</v>
      </c>
      <c r="AN533" s="269">
        <f t="shared" si="162"/>
        <v>0</v>
      </c>
      <c r="AO533" s="269">
        <f t="shared" si="162"/>
        <v>0</v>
      </c>
      <c r="AP533" s="269">
        <f t="shared" si="162"/>
        <v>0</v>
      </c>
      <c r="AQ533" s="269">
        <f t="shared" si="162"/>
        <v>0</v>
      </c>
      <c r="AR533" s="269">
        <f t="shared" si="162"/>
        <v>0</v>
      </c>
      <c r="AS533" s="269">
        <f t="shared" si="162"/>
        <v>0</v>
      </c>
      <c r="AT533" s="269">
        <f t="shared" si="162"/>
        <v>0</v>
      </c>
      <c r="AU533" s="269">
        <f t="shared" si="162"/>
        <v>0</v>
      </c>
      <c r="AV533" s="269">
        <f t="shared" si="162"/>
        <v>0</v>
      </c>
      <c r="AW533" s="269">
        <f t="shared" si="162"/>
        <v>0</v>
      </c>
      <c r="AX533" s="269">
        <f t="shared" si="162"/>
        <v>0</v>
      </c>
      <c r="AY533" s="269">
        <f t="shared" si="162"/>
        <v>0</v>
      </c>
      <c r="AZ533" s="269">
        <f t="shared" si="162"/>
        <v>0</v>
      </c>
      <c r="BA533" s="269">
        <f t="shared" si="162"/>
        <v>0</v>
      </c>
      <c r="BB533" s="269">
        <f t="shared" si="162"/>
        <v>0</v>
      </c>
      <c r="BC533" s="269">
        <f t="shared" si="162"/>
        <v>0</v>
      </c>
      <c r="BD533" s="269">
        <f t="shared" si="162"/>
        <v>0</v>
      </c>
      <c r="BE533" s="269">
        <f t="shared" si="162"/>
        <v>0</v>
      </c>
      <c r="BF533" s="269">
        <f t="shared" si="162"/>
        <v>0</v>
      </c>
      <c r="BG533" s="269">
        <f t="shared" si="162"/>
        <v>0</v>
      </c>
      <c r="BH533" s="231"/>
      <c r="BI533" s="68"/>
      <c r="BJ533" s="68"/>
      <c r="BK533" s="35"/>
      <c r="BL533" s="41"/>
      <c r="BM533" s="41"/>
      <c r="BN533" s="13"/>
      <c r="BO533" s="15"/>
      <c r="BQ533" s="17"/>
    </row>
    <row r="534" spans="1:69" ht="54" customHeight="1">
      <c r="A534" s="71">
        <f>A519+1</f>
        <v>286</v>
      </c>
      <c r="B534" s="47" t="s">
        <v>907</v>
      </c>
      <c r="C534" s="14" t="s">
        <v>370</v>
      </c>
      <c r="D534" s="4" t="s">
        <v>24</v>
      </c>
      <c r="E534" s="45">
        <f>F534+G534</f>
        <v>1089.2700000000002</v>
      </c>
      <c r="F534" s="45"/>
      <c r="G534" s="5">
        <f>SUM(H534:M534,Q534,U534,Y534:BG534)</f>
        <v>1089.2700000000002</v>
      </c>
      <c r="H534" s="49"/>
      <c r="I534" s="49"/>
      <c r="J534" s="49"/>
      <c r="K534" s="49"/>
      <c r="L534" s="49"/>
      <c r="M534" s="49"/>
      <c r="N534" s="49"/>
      <c r="O534" s="49"/>
      <c r="P534" s="49"/>
      <c r="Q534" s="49"/>
      <c r="R534" s="49"/>
      <c r="S534" s="49"/>
      <c r="T534" s="49"/>
      <c r="U534" s="80">
        <f>SUM(V534:X534)</f>
        <v>1089.2700000000002</v>
      </c>
      <c r="V534" s="49"/>
      <c r="W534" s="49">
        <v>1089.2700000000002</v>
      </c>
      <c r="X534" s="49"/>
      <c r="Y534" s="49"/>
      <c r="Z534" s="49"/>
      <c r="AA534" s="49"/>
      <c r="AB534" s="49"/>
      <c r="AC534" s="49"/>
      <c r="AD534" s="49"/>
      <c r="AE534" s="49"/>
      <c r="AF534" s="49"/>
      <c r="AG534" s="49"/>
      <c r="AH534" s="49"/>
      <c r="AI534" s="49"/>
      <c r="AJ534" s="49"/>
      <c r="AK534" s="49"/>
      <c r="AL534" s="49"/>
      <c r="AM534" s="49"/>
      <c r="AN534" s="49"/>
      <c r="AO534" s="49"/>
      <c r="AP534" s="49"/>
      <c r="AQ534" s="49"/>
      <c r="AR534" s="49"/>
      <c r="AS534" s="49"/>
      <c r="AT534" s="49"/>
      <c r="AU534" s="49"/>
      <c r="AV534" s="49"/>
      <c r="AW534" s="49"/>
      <c r="AX534" s="49"/>
      <c r="AY534" s="49"/>
      <c r="AZ534" s="49"/>
      <c r="BA534" s="49"/>
      <c r="BB534" s="49"/>
      <c r="BC534" s="49"/>
      <c r="BD534" s="49"/>
      <c r="BE534" s="49"/>
      <c r="BF534" s="49"/>
      <c r="BG534" s="49"/>
      <c r="BH534" s="60"/>
      <c r="BI534" s="14" t="s">
        <v>370</v>
      </c>
      <c r="BJ534" s="14"/>
      <c r="BK534" s="12" t="s">
        <v>908</v>
      </c>
      <c r="BL534" s="46" t="s">
        <v>190</v>
      </c>
      <c r="BM534" s="14" t="s">
        <v>194</v>
      </c>
      <c r="BN534" s="13" t="s">
        <v>1025</v>
      </c>
      <c r="BO534" s="15" t="s">
        <v>1147</v>
      </c>
      <c r="BQ534" s="17"/>
    </row>
    <row r="535" spans="1:71" s="100" customFormat="1" ht="54" customHeight="1">
      <c r="A535" s="270">
        <f>A534+1</f>
        <v>287</v>
      </c>
      <c r="B535" s="271" t="s">
        <v>909</v>
      </c>
      <c r="C535" s="121" t="s">
        <v>370</v>
      </c>
      <c r="D535" s="13" t="s">
        <v>23</v>
      </c>
      <c r="E535" s="45">
        <f>F535+G535</f>
        <v>300</v>
      </c>
      <c r="F535" s="45">
        <v>300</v>
      </c>
      <c r="G535" s="45"/>
      <c r="H535" s="74"/>
      <c r="I535" s="74"/>
      <c r="J535" s="74"/>
      <c r="K535" s="74"/>
      <c r="L535" s="74"/>
      <c r="M535" s="74"/>
      <c r="N535" s="74"/>
      <c r="O535" s="74"/>
      <c r="P535" s="74"/>
      <c r="Q535" s="74"/>
      <c r="R535" s="74"/>
      <c r="S535" s="74"/>
      <c r="T535" s="74"/>
      <c r="U535" s="74"/>
      <c r="V535" s="49"/>
      <c r="W535" s="49"/>
      <c r="X535" s="74"/>
      <c r="Y535" s="74"/>
      <c r="Z535" s="74"/>
      <c r="AA535" s="74"/>
      <c r="AB535" s="74"/>
      <c r="AC535" s="74"/>
      <c r="AD535" s="74"/>
      <c r="AE535" s="74"/>
      <c r="AF535" s="74"/>
      <c r="AG535" s="74"/>
      <c r="AH535" s="74"/>
      <c r="AI535" s="74"/>
      <c r="AJ535" s="74"/>
      <c r="AK535" s="74"/>
      <c r="AL535" s="74"/>
      <c r="AM535" s="74"/>
      <c r="AN535" s="74"/>
      <c r="AO535" s="74"/>
      <c r="AP535" s="74"/>
      <c r="AQ535" s="74"/>
      <c r="AR535" s="74"/>
      <c r="AS535" s="74"/>
      <c r="AT535" s="74"/>
      <c r="AU535" s="74"/>
      <c r="AV535" s="74"/>
      <c r="AW535" s="74"/>
      <c r="AX535" s="74"/>
      <c r="AY535" s="74"/>
      <c r="AZ535" s="74"/>
      <c r="BA535" s="74"/>
      <c r="BB535" s="74"/>
      <c r="BC535" s="74"/>
      <c r="BD535" s="74"/>
      <c r="BE535" s="74"/>
      <c r="BF535" s="74"/>
      <c r="BG535" s="74"/>
      <c r="BH535" s="10"/>
      <c r="BI535" s="121" t="s">
        <v>370</v>
      </c>
      <c r="BJ535" s="13"/>
      <c r="BK535" s="98" t="s">
        <v>120</v>
      </c>
      <c r="BL535" s="46" t="s">
        <v>190</v>
      </c>
      <c r="BM535" s="13" t="s">
        <v>935</v>
      </c>
      <c r="BN535" s="13" t="s">
        <v>1025</v>
      </c>
      <c r="BO535" s="15" t="s">
        <v>1147</v>
      </c>
      <c r="BP535" s="20"/>
      <c r="BS535" s="19"/>
    </row>
    <row r="536" spans="1:71" s="100" customFormat="1" ht="15">
      <c r="A536" s="272" t="s">
        <v>979</v>
      </c>
      <c r="B536" s="273" t="s">
        <v>980</v>
      </c>
      <c r="C536" s="68"/>
      <c r="D536" s="36"/>
      <c r="E536" s="39">
        <f>E537</f>
        <v>1</v>
      </c>
      <c r="F536" s="39">
        <f>F537</f>
        <v>1</v>
      </c>
      <c r="G536" s="39">
        <f>G537</f>
        <v>0</v>
      </c>
      <c r="H536" s="39">
        <f>H537</f>
        <v>0</v>
      </c>
      <c r="I536" s="39">
        <f aca="true" t="shared" si="163" ref="I536:BG536">I537</f>
        <v>0</v>
      </c>
      <c r="J536" s="39">
        <f t="shared" si="163"/>
        <v>0</v>
      </c>
      <c r="K536" s="39">
        <f t="shared" si="163"/>
        <v>0</v>
      </c>
      <c r="L536" s="39">
        <f t="shared" si="163"/>
        <v>0</v>
      </c>
      <c r="M536" s="39">
        <f t="shared" si="163"/>
        <v>0</v>
      </c>
      <c r="N536" s="39">
        <f t="shared" si="163"/>
        <v>0</v>
      </c>
      <c r="O536" s="39">
        <f t="shared" si="163"/>
        <v>0</v>
      </c>
      <c r="P536" s="39">
        <f t="shared" si="163"/>
        <v>0</v>
      </c>
      <c r="Q536" s="39">
        <f t="shared" si="163"/>
        <v>0</v>
      </c>
      <c r="R536" s="39">
        <f t="shared" si="163"/>
        <v>0</v>
      </c>
      <c r="S536" s="39">
        <f t="shared" si="163"/>
        <v>0</v>
      </c>
      <c r="T536" s="39">
        <f t="shared" si="163"/>
        <v>0</v>
      </c>
      <c r="U536" s="39">
        <f t="shared" si="163"/>
        <v>0</v>
      </c>
      <c r="V536" s="39">
        <f t="shared" si="163"/>
        <v>0</v>
      </c>
      <c r="W536" s="39">
        <f t="shared" si="163"/>
        <v>0</v>
      </c>
      <c r="X536" s="39">
        <f t="shared" si="163"/>
        <v>0</v>
      </c>
      <c r="Y536" s="39">
        <f t="shared" si="163"/>
        <v>0</v>
      </c>
      <c r="Z536" s="39">
        <f t="shared" si="163"/>
        <v>0</v>
      </c>
      <c r="AA536" s="39">
        <f t="shared" si="163"/>
        <v>0</v>
      </c>
      <c r="AB536" s="39">
        <f t="shared" si="163"/>
        <v>0</v>
      </c>
      <c r="AC536" s="39">
        <f t="shared" si="163"/>
        <v>0</v>
      </c>
      <c r="AD536" s="39">
        <f t="shared" si="163"/>
        <v>0</v>
      </c>
      <c r="AE536" s="39">
        <f t="shared" si="163"/>
        <v>0</v>
      </c>
      <c r="AF536" s="39">
        <f t="shared" si="163"/>
        <v>0</v>
      </c>
      <c r="AG536" s="39">
        <f t="shared" si="163"/>
        <v>0</v>
      </c>
      <c r="AH536" s="39">
        <f t="shared" si="163"/>
        <v>0</v>
      </c>
      <c r="AI536" s="39">
        <f t="shared" si="163"/>
        <v>0</v>
      </c>
      <c r="AJ536" s="39">
        <f t="shared" si="163"/>
        <v>0</v>
      </c>
      <c r="AK536" s="39">
        <f t="shared" si="163"/>
        <v>0</v>
      </c>
      <c r="AL536" s="39">
        <f t="shared" si="163"/>
        <v>0</v>
      </c>
      <c r="AM536" s="39">
        <f t="shared" si="163"/>
        <v>0</v>
      </c>
      <c r="AN536" s="39">
        <f t="shared" si="163"/>
        <v>0</v>
      </c>
      <c r="AO536" s="39">
        <f t="shared" si="163"/>
        <v>0</v>
      </c>
      <c r="AP536" s="39">
        <f t="shared" si="163"/>
        <v>0</v>
      </c>
      <c r="AQ536" s="39">
        <f t="shared" si="163"/>
        <v>0</v>
      </c>
      <c r="AR536" s="39">
        <f t="shared" si="163"/>
        <v>0</v>
      </c>
      <c r="AS536" s="39">
        <f t="shared" si="163"/>
        <v>0</v>
      </c>
      <c r="AT536" s="39">
        <f t="shared" si="163"/>
        <v>0</v>
      </c>
      <c r="AU536" s="39">
        <f t="shared" si="163"/>
        <v>0</v>
      </c>
      <c r="AV536" s="39">
        <f t="shared" si="163"/>
        <v>0</v>
      </c>
      <c r="AW536" s="39">
        <f t="shared" si="163"/>
        <v>0</v>
      </c>
      <c r="AX536" s="39">
        <f t="shared" si="163"/>
        <v>0</v>
      </c>
      <c r="AY536" s="39">
        <f t="shared" si="163"/>
        <v>0</v>
      </c>
      <c r="AZ536" s="39">
        <f t="shared" si="163"/>
        <v>0</v>
      </c>
      <c r="BA536" s="39">
        <f t="shared" si="163"/>
        <v>0</v>
      </c>
      <c r="BB536" s="39">
        <f t="shared" si="163"/>
        <v>0</v>
      </c>
      <c r="BC536" s="39">
        <f t="shared" si="163"/>
        <v>0</v>
      </c>
      <c r="BD536" s="39">
        <f t="shared" si="163"/>
        <v>0</v>
      </c>
      <c r="BE536" s="39">
        <f t="shared" si="163"/>
        <v>0</v>
      </c>
      <c r="BF536" s="39">
        <f t="shared" si="163"/>
        <v>0</v>
      </c>
      <c r="BG536" s="39">
        <f t="shared" si="163"/>
        <v>0</v>
      </c>
      <c r="BH536" s="70"/>
      <c r="BI536" s="68"/>
      <c r="BJ536" s="68"/>
      <c r="BK536" s="35"/>
      <c r="BL536" s="245"/>
      <c r="BM536" s="274"/>
      <c r="BN536" s="41"/>
      <c r="BO536" s="143"/>
      <c r="BP536" s="20"/>
      <c r="BS536" s="19"/>
    </row>
    <row r="537" spans="1:69" ht="68.25" customHeight="1">
      <c r="A537" s="1">
        <f>A535+1</f>
        <v>288</v>
      </c>
      <c r="B537" s="213" t="s">
        <v>981</v>
      </c>
      <c r="C537" s="121" t="s">
        <v>370</v>
      </c>
      <c r="D537" s="4"/>
      <c r="E537" s="45">
        <v>1</v>
      </c>
      <c r="F537" s="45">
        <v>1</v>
      </c>
      <c r="G537" s="80"/>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46"/>
      <c r="AL537" s="46"/>
      <c r="AM537" s="46"/>
      <c r="AN537" s="46"/>
      <c r="AO537" s="46"/>
      <c r="AP537" s="46"/>
      <c r="AQ537" s="46"/>
      <c r="AR537" s="46"/>
      <c r="AS537" s="46"/>
      <c r="AT537" s="46"/>
      <c r="AU537" s="46"/>
      <c r="AV537" s="46"/>
      <c r="AW537" s="46"/>
      <c r="AX537" s="46"/>
      <c r="AY537" s="46"/>
      <c r="AZ537" s="46"/>
      <c r="BA537" s="46"/>
      <c r="BB537" s="46"/>
      <c r="BC537" s="46"/>
      <c r="BD537" s="46"/>
      <c r="BE537" s="46"/>
      <c r="BF537" s="46"/>
      <c r="BG537" s="46"/>
      <c r="BH537" s="10" t="s">
        <v>254</v>
      </c>
      <c r="BI537" s="121" t="s">
        <v>370</v>
      </c>
      <c r="BJ537" s="14"/>
      <c r="BK537" s="12" t="s">
        <v>982</v>
      </c>
      <c r="BL537" s="99" t="s">
        <v>780</v>
      </c>
      <c r="BM537" s="246" t="s">
        <v>194</v>
      </c>
      <c r="BN537" s="13" t="s">
        <v>1025</v>
      </c>
      <c r="BO537" s="15" t="s">
        <v>1147</v>
      </c>
      <c r="BQ537" s="17"/>
    </row>
    <row r="543" spans="1:71" s="282" customFormat="1" ht="15">
      <c r="A543" s="187"/>
      <c r="B543" s="23"/>
      <c r="C543" s="187"/>
      <c r="D543" s="16"/>
      <c r="E543" s="275"/>
      <c r="F543" s="275"/>
      <c r="G543" s="275"/>
      <c r="H543" s="142"/>
      <c r="I543" s="142"/>
      <c r="J543" s="142"/>
      <c r="K543" s="142"/>
      <c r="L543" s="142"/>
      <c r="M543" s="142"/>
      <c r="N543" s="142"/>
      <c r="O543" s="142"/>
      <c r="P543" s="142"/>
      <c r="Q543" s="142"/>
      <c r="R543" s="142"/>
      <c r="S543" s="142"/>
      <c r="T543" s="142"/>
      <c r="U543" s="142"/>
      <c r="V543" s="276"/>
      <c r="W543" s="276"/>
      <c r="X543" s="142"/>
      <c r="Y543" s="142"/>
      <c r="Z543" s="142"/>
      <c r="AA543" s="142"/>
      <c r="AB543" s="142"/>
      <c r="AC543" s="142"/>
      <c r="AD543" s="142"/>
      <c r="AE543" s="142"/>
      <c r="AF543" s="142"/>
      <c r="AG543" s="142"/>
      <c r="AH543" s="142"/>
      <c r="AI543" s="142"/>
      <c r="AJ543" s="142"/>
      <c r="AK543" s="142"/>
      <c r="AL543" s="142"/>
      <c r="AM543" s="142"/>
      <c r="AN543" s="142"/>
      <c r="AO543" s="142"/>
      <c r="AP543" s="142"/>
      <c r="AQ543" s="142"/>
      <c r="AR543" s="142"/>
      <c r="AS543" s="142"/>
      <c r="AT543" s="142"/>
      <c r="AU543" s="142"/>
      <c r="AV543" s="142"/>
      <c r="AW543" s="142"/>
      <c r="AX543" s="142"/>
      <c r="AY543" s="142"/>
      <c r="AZ543" s="142"/>
      <c r="BA543" s="142"/>
      <c r="BB543" s="142"/>
      <c r="BC543" s="142"/>
      <c r="BD543" s="142"/>
      <c r="BE543" s="142"/>
      <c r="BF543" s="142"/>
      <c r="BG543" s="142"/>
      <c r="BH543" s="277"/>
      <c r="BI543" s="187"/>
      <c r="BJ543" s="278"/>
      <c r="BK543" s="279"/>
      <c r="BL543" s="280"/>
      <c r="BM543" s="16"/>
      <c r="BN543" s="279"/>
      <c r="BO543" s="281"/>
      <c r="BP543" s="279"/>
      <c r="BQ543" s="279"/>
      <c r="BS543" s="279"/>
    </row>
  </sheetData>
  <sheetProtection/>
  <mergeCells count="258">
    <mergeCell ref="BM44:BM48"/>
    <mergeCell ref="C44:C48"/>
    <mergeCell ref="C49:C53"/>
    <mergeCell ref="BI49:BI53"/>
    <mergeCell ref="BJ49:BJ53"/>
    <mergeCell ref="BL29:BL33"/>
    <mergeCell ref="BL5:BL6"/>
    <mergeCell ref="BM5:BM6"/>
    <mergeCell ref="BL8:BL11"/>
    <mergeCell ref="BL13:BL14"/>
    <mergeCell ref="BL16:BL18"/>
    <mergeCell ref="BL35:BL36"/>
    <mergeCell ref="BN5:BN6"/>
    <mergeCell ref="BO5:BO6"/>
    <mergeCell ref="BM20:BM24"/>
    <mergeCell ref="A49:A53"/>
    <mergeCell ref="BK49:BK53"/>
    <mergeCell ref="BL49:BL53"/>
    <mergeCell ref="BL38:BL43"/>
    <mergeCell ref="BM49:BM53"/>
    <mergeCell ref="BM38:BM43"/>
    <mergeCell ref="BK5:BK6"/>
    <mergeCell ref="BL247:BL248"/>
    <mergeCell ref="BL265:BL267"/>
    <mergeCell ref="A269:A273"/>
    <mergeCell ref="B269:B273"/>
    <mergeCell ref="A177:A182"/>
    <mergeCell ref="B177:B182"/>
    <mergeCell ref="BL244:BL245"/>
    <mergeCell ref="BL263:BL264"/>
    <mergeCell ref="BL249:BL252"/>
    <mergeCell ref="BL253:BL262"/>
    <mergeCell ref="BJ44:BJ48"/>
    <mergeCell ref="BK44:BK48"/>
    <mergeCell ref="BL44:BL48"/>
    <mergeCell ref="BL128:BL129"/>
    <mergeCell ref="A44:A48"/>
    <mergeCell ref="A38:A43"/>
    <mergeCell ref="C38:C43"/>
    <mergeCell ref="A59:A62"/>
    <mergeCell ref="B59:B62"/>
    <mergeCell ref="G5:G6"/>
    <mergeCell ref="C5:C6"/>
    <mergeCell ref="BI5:BI6"/>
    <mergeCell ref="BJ5:BJ6"/>
    <mergeCell ref="A288:A297"/>
    <mergeCell ref="B288:B297"/>
    <mergeCell ref="B40:B41"/>
    <mergeCell ref="BI38:BI43"/>
    <mergeCell ref="BJ38:BJ43"/>
    <mergeCell ref="BI44:BI48"/>
    <mergeCell ref="A1:B1"/>
    <mergeCell ref="A2:BM2"/>
    <mergeCell ref="A3:BM3"/>
    <mergeCell ref="A5:A6"/>
    <mergeCell ref="B5:B6"/>
    <mergeCell ref="D5:D6"/>
    <mergeCell ref="H5:BG5"/>
    <mergeCell ref="BH5:BH6"/>
    <mergeCell ref="E5:E6"/>
    <mergeCell ref="F5:F6"/>
    <mergeCell ref="C64:C69"/>
    <mergeCell ref="C121:C124"/>
    <mergeCell ref="A77:A90"/>
    <mergeCell ref="B77:B90"/>
    <mergeCell ref="A110:A112"/>
    <mergeCell ref="B110:B112"/>
    <mergeCell ref="B102:B109"/>
    <mergeCell ref="A102:A109"/>
    <mergeCell ref="A121:A124"/>
    <mergeCell ref="BH121:BH124"/>
    <mergeCell ref="BI121:BI124"/>
    <mergeCell ref="BJ121:BJ124"/>
    <mergeCell ref="BK121:BK124"/>
    <mergeCell ref="BL121:BL124"/>
    <mergeCell ref="BL20:BL28"/>
    <mergeCell ref="BK38:BK43"/>
    <mergeCell ref="BM121:BM124"/>
    <mergeCell ref="A64:A69"/>
    <mergeCell ref="BH64:BH69"/>
    <mergeCell ref="BI64:BI69"/>
    <mergeCell ref="BJ64:BJ69"/>
    <mergeCell ref="BK64:BK69"/>
    <mergeCell ref="BL64:BL69"/>
    <mergeCell ref="BM64:BM69"/>
    <mergeCell ref="C371:C374"/>
    <mergeCell ref="BK371:BK374"/>
    <mergeCell ref="BL371:BL374"/>
    <mergeCell ref="BH371:BH374"/>
    <mergeCell ref="BI371:BI374"/>
    <mergeCell ref="BJ371:BJ374"/>
    <mergeCell ref="BM371:BM374"/>
    <mergeCell ref="A366:A370"/>
    <mergeCell ref="BH366:BH370"/>
    <mergeCell ref="BI366:BI370"/>
    <mergeCell ref="BJ366:BJ370"/>
    <mergeCell ref="BK366:BK370"/>
    <mergeCell ref="BL366:BL370"/>
    <mergeCell ref="BM366:BM370"/>
    <mergeCell ref="A371:A374"/>
    <mergeCell ref="C366:C370"/>
    <mergeCell ref="BI376:BI379"/>
    <mergeCell ref="BJ376:BJ379"/>
    <mergeCell ref="BK376:BK379"/>
    <mergeCell ref="BL376:BL379"/>
    <mergeCell ref="C376:C379"/>
    <mergeCell ref="C380:C383"/>
    <mergeCell ref="BM376:BM379"/>
    <mergeCell ref="A380:A383"/>
    <mergeCell ref="BH380:BH383"/>
    <mergeCell ref="BI380:BI383"/>
    <mergeCell ref="BJ380:BJ383"/>
    <mergeCell ref="BK380:BK383"/>
    <mergeCell ref="BL380:BL383"/>
    <mergeCell ref="BM380:BM383"/>
    <mergeCell ref="A376:A379"/>
    <mergeCell ref="BH376:BH379"/>
    <mergeCell ref="BI384:BI387"/>
    <mergeCell ref="BJ384:BJ387"/>
    <mergeCell ref="BK384:BK387"/>
    <mergeCell ref="BL384:BL387"/>
    <mergeCell ref="C384:C387"/>
    <mergeCell ref="C388:C392"/>
    <mergeCell ref="BM384:BM387"/>
    <mergeCell ref="A388:A392"/>
    <mergeCell ref="BH388:BH392"/>
    <mergeCell ref="BI388:BI392"/>
    <mergeCell ref="BJ388:BJ392"/>
    <mergeCell ref="BK388:BK392"/>
    <mergeCell ref="BL388:BL392"/>
    <mergeCell ref="BM388:BM392"/>
    <mergeCell ref="A384:A387"/>
    <mergeCell ref="BH384:BH387"/>
    <mergeCell ref="C404:C406"/>
    <mergeCell ref="A404:A406"/>
    <mergeCell ref="BH404:BH406"/>
    <mergeCell ref="BI404:BI406"/>
    <mergeCell ref="BJ404:BJ406"/>
    <mergeCell ref="BK404:BK406"/>
    <mergeCell ref="BI393:BI400"/>
    <mergeCell ref="BJ393:BJ400"/>
    <mergeCell ref="BK393:BK400"/>
    <mergeCell ref="BL393:BL400"/>
    <mergeCell ref="C393:C400"/>
    <mergeCell ref="C401:C403"/>
    <mergeCell ref="BM393:BM400"/>
    <mergeCell ref="A401:A403"/>
    <mergeCell ref="BH401:BH403"/>
    <mergeCell ref="BI401:BI403"/>
    <mergeCell ref="BJ401:BJ403"/>
    <mergeCell ref="BK401:BK403"/>
    <mergeCell ref="BL401:BL403"/>
    <mergeCell ref="BM401:BM403"/>
    <mergeCell ref="A393:A400"/>
    <mergeCell ref="BH393:BH400"/>
    <mergeCell ref="BK425:BK427"/>
    <mergeCell ref="BH428:BH431"/>
    <mergeCell ref="BI428:BI431"/>
    <mergeCell ref="BJ428:BJ431"/>
    <mergeCell ref="BK428:BK431"/>
    <mergeCell ref="BM404:BM406"/>
    <mergeCell ref="BL404:BL406"/>
    <mergeCell ref="BJ407:BJ410"/>
    <mergeCell ref="BK407:BK410"/>
    <mergeCell ref="BL407:BL410"/>
    <mergeCell ref="BM407:BM410"/>
    <mergeCell ref="A428:A431"/>
    <mergeCell ref="C407:C410"/>
    <mergeCell ref="C428:C431"/>
    <mergeCell ref="C425:C427"/>
    <mergeCell ref="BM418:BM420"/>
    <mergeCell ref="A421:A423"/>
    <mergeCell ref="A418:A420"/>
    <mergeCell ref="A432:A434"/>
    <mergeCell ref="BH432:BH434"/>
    <mergeCell ref="BH425:BH427"/>
    <mergeCell ref="BI425:BI427"/>
    <mergeCell ref="A407:A410"/>
    <mergeCell ref="BH407:BH410"/>
    <mergeCell ref="BI407:BI410"/>
    <mergeCell ref="C421:C423"/>
    <mergeCell ref="A411:A414"/>
    <mergeCell ref="BH411:BH414"/>
    <mergeCell ref="BI411:BI414"/>
    <mergeCell ref="BJ411:BJ414"/>
    <mergeCell ref="BK411:BK414"/>
    <mergeCell ref="BL411:BL414"/>
    <mergeCell ref="C411:C414"/>
    <mergeCell ref="A415:A417"/>
    <mergeCell ref="BH415:BH417"/>
    <mergeCell ref="BI415:BI417"/>
    <mergeCell ref="BJ415:BJ417"/>
    <mergeCell ref="BK415:BK417"/>
    <mergeCell ref="BL415:BL417"/>
    <mergeCell ref="C415:C417"/>
    <mergeCell ref="BM435:BM437"/>
    <mergeCell ref="BH421:BH423"/>
    <mergeCell ref="BI421:BI423"/>
    <mergeCell ref="BJ421:BJ423"/>
    <mergeCell ref="C418:C420"/>
    <mergeCell ref="BM411:BM414"/>
    <mergeCell ref="BM415:BM417"/>
    <mergeCell ref="BM428:BM431"/>
    <mergeCell ref="BK421:BK423"/>
    <mergeCell ref="BL421:BL423"/>
    <mergeCell ref="BL438:BL440"/>
    <mergeCell ref="BM438:BM440"/>
    <mergeCell ref="BK432:BK434"/>
    <mergeCell ref="BL432:BL434"/>
    <mergeCell ref="BH418:BH420"/>
    <mergeCell ref="BI418:BI420"/>
    <mergeCell ref="BJ418:BJ420"/>
    <mergeCell ref="BK418:BK420"/>
    <mergeCell ref="BL418:BL420"/>
    <mergeCell ref="BM421:BM423"/>
    <mergeCell ref="A356:A363"/>
    <mergeCell ref="B356:B363"/>
    <mergeCell ref="B298:B302"/>
    <mergeCell ref="A298:A302"/>
    <mergeCell ref="A438:A440"/>
    <mergeCell ref="BM425:BM427"/>
    <mergeCell ref="A425:A427"/>
    <mergeCell ref="BL425:BL427"/>
    <mergeCell ref="BL435:BL437"/>
    <mergeCell ref="BL428:BL431"/>
    <mergeCell ref="C435:C437"/>
    <mergeCell ref="BM432:BM434"/>
    <mergeCell ref="BI432:BI434"/>
    <mergeCell ref="BJ432:BJ434"/>
    <mergeCell ref="A435:A437"/>
    <mergeCell ref="BH435:BH437"/>
    <mergeCell ref="BI435:BI437"/>
    <mergeCell ref="BJ435:BJ437"/>
    <mergeCell ref="BK435:BK437"/>
    <mergeCell ref="C432:C434"/>
    <mergeCell ref="C438:C440"/>
    <mergeCell ref="BH438:BH440"/>
    <mergeCell ref="BI438:BI440"/>
    <mergeCell ref="BJ438:BJ440"/>
    <mergeCell ref="BK438:BK440"/>
    <mergeCell ref="A442:A445"/>
    <mergeCell ref="B442:B445"/>
    <mergeCell ref="B485:B491"/>
    <mergeCell ref="A485:A491"/>
    <mergeCell ref="A519:A521"/>
    <mergeCell ref="B519:B521"/>
    <mergeCell ref="A500:A503"/>
    <mergeCell ref="B500:B503"/>
    <mergeCell ref="B522:B532"/>
    <mergeCell ref="A522:A532"/>
    <mergeCell ref="B449:B458"/>
    <mergeCell ref="A449:A458"/>
    <mergeCell ref="B459:B464"/>
    <mergeCell ref="A459:A464"/>
    <mergeCell ref="B476:B484"/>
    <mergeCell ref="A476:A484"/>
    <mergeCell ref="A513:A517"/>
    <mergeCell ref="B513:B517"/>
  </mergeCells>
  <printOptions horizontalCentered="1"/>
  <pageMargins left="0.5905511811023623" right="0.2362204724409449" top="0.4724409448818898" bottom="0.4724409448818898" header="0" footer="0"/>
  <pageSetup fitToHeight="0" horizontalDpi="600" verticalDpi="600" orientation="landscape" paperSize="9" scale="6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Huyen Trang</dc:creator>
  <cp:keywords/>
  <dc:description/>
  <cp:lastModifiedBy>Admin</cp:lastModifiedBy>
  <cp:lastPrinted>2024-06-05T10:57:06Z</cp:lastPrinted>
  <dcterms:created xsi:type="dcterms:W3CDTF">2022-12-14T22:36:11Z</dcterms:created>
  <dcterms:modified xsi:type="dcterms:W3CDTF">2024-06-05T15:09:56Z</dcterms:modified>
  <cp:category/>
  <cp:version/>
  <cp:contentType/>
  <cp:contentStatus/>
</cp:coreProperties>
</file>